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9095" windowHeight="8340" firstSheet="12" activeTab="21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 Results" sheetId="25" r:id="rId8"/>
    <sheet name="Pre27.08.19" sheetId="6" r:id="rId9"/>
    <sheet name="Pre28.08.19" sheetId="10" r:id="rId10"/>
    <sheet name="Pre29.08.19" sheetId="11" r:id="rId11"/>
    <sheet name="Pre30.08.19" sheetId="12" r:id="rId12"/>
    <sheet name="Inc02.09.19" sheetId="15" r:id="rId13"/>
    <sheet name="Inc04.09.19" sheetId="16" r:id="rId14"/>
    <sheet name="Inc06.09.19" sheetId="17" r:id="rId15"/>
    <sheet name="Inc09.09.19" sheetId="18" r:id="rId16"/>
    <sheet name="Inc11.09.19" sheetId="19" r:id="rId17"/>
    <sheet name="Inc13.09.19" sheetId="20" r:id="rId18"/>
    <sheet name="Inc16.09.19" sheetId="21" r:id="rId19"/>
    <sheet name="Inc23.09.19" sheetId="22" r:id="rId20"/>
    <sheet name="Inc30.09.19" sheetId="23" r:id="rId21"/>
    <sheet name="Inc07.10.19" sheetId="24" r:id="rId22"/>
  </sheets>
  <calcPr calcId="145621"/>
</workbook>
</file>

<file path=xl/calcChain.xml><?xml version="1.0" encoding="utf-8"?>
<calcChain xmlns="http://schemas.openxmlformats.org/spreadsheetml/2006/main">
  <c r="A32" i="24" l="1"/>
  <c r="A33" i="24"/>
  <c r="A34" i="24"/>
  <c r="A35" i="24"/>
  <c r="A36" i="24"/>
  <c r="A37" i="24"/>
  <c r="A38" i="24"/>
  <c r="A39" i="24"/>
  <c r="A40" i="24"/>
  <c r="A41" i="24"/>
  <c r="A42" i="24"/>
  <c r="A31" i="24"/>
  <c r="N94" i="25"/>
  <c r="N92" i="25"/>
  <c r="N90" i="25"/>
  <c r="N88" i="25"/>
  <c r="N86" i="25"/>
  <c r="N84" i="25"/>
  <c r="P17" i="16"/>
  <c r="P81" i="25" l="1"/>
  <c r="O81" i="25"/>
  <c r="N81" i="25"/>
  <c r="N79" i="25"/>
  <c r="P77" i="25"/>
  <c r="O77" i="25"/>
  <c r="N77" i="25"/>
  <c r="N75" i="25"/>
  <c r="P73" i="25"/>
  <c r="O73" i="25"/>
  <c r="N73" i="25"/>
  <c r="N71" i="25"/>
  <c r="P69" i="25"/>
  <c r="O69" i="25"/>
  <c r="N69" i="25"/>
  <c r="N67" i="25"/>
  <c r="P65" i="25"/>
  <c r="O65" i="25"/>
  <c r="N65" i="25"/>
  <c r="N63" i="25"/>
  <c r="Q60" i="25" l="1"/>
  <c r="P59" i="25"/>
  <c r="O59" i="25"/>
  <c r="N59" i="25"/>
  <c r="P57" i="25"/>
  <c r="O57" i="25"/>
  <c r="N57" i="25"/>
  <c r="P55" i="25"/>
  <c r="O55" i="25"/>
  <c r="N55" i="25"/>
  <c r="P53" i="25"/>
  <c r="O53" i="25"/>
  <c r="N53" i="25"/>
  <c r="P51" i="25"/>
  <c r="O51" i="25"/>
  <c r="N51" i="25"/>
  <c r="P49" i="25"/>
  <c r="O49" i="25"/>
  <c r="N49" i="25"/>
  <c r="P47" i="25"/>
  <c r="O47" i="25"/>
  <c r="N47" i="25"/>
  <c r="P45" i="25"/>
  <c r="O45" i="25"/>
  <c r="N45" i="25"/>
  <c r="P43" i="25"/>
  <c r="O43" i="25"/>
  <c r="N43" i="25"/>
  <c r="P41" i="25"/>
  <c r="O41" i="25"/>
  <c r="N41" i="25"/>
  <c r="P39" i="25"/>
  <c r="O39" i="25"/>
  <c r="N39" i="25"/>
  <c r="P37" i="25"/>
  <c r="O37" i="25"/>
  <c r="N37" i="25"/>
  <c r="P35" i="25"/>
  <c r="O35" i="25"/>
  <c r="N35" i="25"/>
  <c r="P33" i="25"/>
  <c r="O33" i="25"/>
  <c r="N33" i="25"/>
  <c r="P30" i="25"/>
  <c r="O30" i="25"/>
  <c r="N30" i="25"/>
  <c r="P28" i="25"/>
  <c r="O28" i="25"/>
  <c r="N28" i="25"/>
  <c r="P26" i="25"/>
  <c r="O26" i="25"/>
  <c r="N26" i="25"/>
  <c r="P24" i="25"/>
  <c r="O24" i="25"/>
  <c r="N24" i="25"/>
  <c r="P22" i="25"/>
  <c r="O22" i="25"/>
  <c r="N22" i="25"/>
  <c r="P20" i="25"/>
  <c r="O20" i="25"/>
  <c r="N20" i="25"/>
  <c r="P18" i="25"/>
  <c r="O18" i="25"/>
  <c r="N18" i="25"/>
  <c r="P16" i="25"/>
  <c r="O16" i="25"/>
  <c r="N16" i="25"/>
  <c r="P14" i="25"/>
  <c r="O14" i="25"/>
  <c r="N14" i="25"/>
  <c r="P12" i="25"/>
  <c r="O12" i="25"/>
  <c r="N12" i="25"/>
  <c r="P10" i="25"/>
  <c r="O10" i="25"/>
  <c r="N10" i="25"/>
  <c r="P8" i="25"/>
  <c r="O8" i="25"/>
  <c r="N8" i="25"/>
  <c r="P6" i="25"/>
  <c r="O6" i="25"/>
  <c r="N6" i="25"/>
  <c r="P4" i="25"/>
  <c r="O4" i="25"/>
  <c r="N4" i="25"/>
  <c r="R28" i="24" l="1"/>
  <c r="L28" i="24"/>
  <c r="I28" i="24"/>
  <c r="B28" i="24"/>
  <c r="J28" i="24" s="1"/>
  <c r="K28" i="24" s="1"/>
  <c r="R27" i="24"/>
  <c r="L27" i="24"/>
  <c r="I27" i="24"/>
  <c r="B27" i="24"/>
  <c r="J27" i="24" s="1"/>
  <c r="K27" i="24" s="1"/>
  <c r="R26" i="24"/>
  <c r="L26" i="24"/>
  <c r="I26" i="24"/>
  <c r="B26" i="24"/>
  <c r="J26" i="24" s="1"/>
  <c r="K26" i="24" s="1"/>
  <c r="R25" i="24"/>
  <c r="L25" i="24"/>
  <c r="I25" i="24"/>
  <c r="B25" i="24"/>
  <c r="J25" i="24" s="1"/>
  <c r="K25" i="24" s="1"/>
  <c r="R24" i="24"/>
  <c r="L24" i="24"/>
  <c r="I24" i="24"/>
  <c r="B24" i="24"/>
  <c r="J24" i="24" s="1"/>
  <c r="K24" i="24" s="1"/>
  <c r="R23" i="24"/>
  <c r="L23" i="24"/>
  <c r="I23" i="24"/>
  <c r="B23" i="24"/>
  <c r="J23" i="24" s="1"/>
  <c r="K23" i="24" s="1"/>
  <c r="R22" i="24"/>
  <c r="L22" i="24"/>
  <c r="I22" i="24"/>
  <c r="B22" i="24"/>
  <c r="J22" i="24" s="1"/>
  <c r="K22" i="24" s="1"/>
  <c r="V31" i="24" s="1"/>
  <c r="R21" i="24"/>
  <c r="L21" i="24"/>
  <c r="I21" i="24"/>
  <c r="B21" i="24"/>
  <c r="J21" i="24" s="1"/>
  <c r="K21" i="24" s="1"/>
  <c r="V30" i="24" s="1"/>
  <c r="R20" i="24"/>
  <c r="L20" i="24"/>
  <c r="I20" i="24"/>
  <c r="B20" i="24"/>
  <c r="J20" i="24" s="1"/>
  <c r="K20" i="24" s="1"/>
  <c r="R19" i="24"/>
  <c r="L19" i="24"/>
  <c r="I19" i="24"/>
  <c r="B19" i="24"/>
  <c r="J19" i="24" s="1"/>
  <c r="K19" i="24" s="1"/>
  <c r="R18" i="24"/>
  <c r="L18" i="24"/>
  <c r="I18" i="24"/>
  <c r="B18" i="24"/>
  <c r="J18" i="24" s="1"/>
  <c r="K18" i="24" s="1"/>
  <c r="R17" i="24"/>
  <c r="L17" i="24"/>
  <c r="I17" i="24"/>
  <c r="B17" i="24"/>
  <c r="J17" i="24" s="1"/>
  <c r="K17" i="24" s="1"/>
  <c r="F14" i="24"/>
  <c r="F13" i="24"/>
  <c r="I12" i="24"/>
  <c r="F12" i="24"/>
  <c r="F11" i="24"/>
  <c r="F10" i="24"/>
  <c r="F9" i="24"/>
  <c r="F8" i="24"/>
  <c r="F7" i="24"/>
  <c r="F6" i="24"/>
  <c r="F5" i="24"/>
  <c r="F4" i="24"/>
  <c r="F3" i="24"/>
  <c r="I10" i="24" s="1"/>
  <c r="I13" i="24" l="1"/>
  <c r="G18" i="24" s="1"/>
  <c r="G17" i="24"/>
  <c r="G20" i="24"/>
  <c r="G25" i="24"/>
  <c r="I9" i="24"/>
  <c r="R28" i="23"/>
  <c r="L28" i="23"/>
  <c r="I28" i="23"/>
  <c r="B28" i="23"/>
  <c r="J28" i="23" s="1"/>
  <c r="K28" i="23" s="1"/>
  <c r="R27" i="23"/>
  <c r="L27" i="23"/>
  <c r="I27" i="23"/>
  <c r="B27" i="23"/>
  <c r="J27" i="23" s="1"/>
  <c r="K27" i="23" s="1"/>
  <c r="R26" i="23"/>
  <c r="L26" i="23"/>
  <c r="I26" i="23"/>
  <c r="B26" i="23"/>
  <c r="J26" i="23" s="1"/>
  <c r="K26" i="23" s="1"/>
  <c r="R25" i="23"/>
  <c r="L25" i="23"/>
  <c r="I25" i="23"/>
  <c r="B25" i="23"/>
  <c r="J25" i="23" s="1"/>
  <c r="K25" i="23" s="1"/>
  <c r="R24" i="23"/>
  <c r="L24" i="23"/>
  <c r="I24" i="23"/>
  <c r="B24" i="23"/>
  <c r="J24" i="23" s="1"/>
  <c r="K24" i="23" s="1"/>
  <c r="R23" i="23"/>
  <c r="L23" i="23"/>
  <c r="I23" i="23"/>
  <c r="B23" i="23"/>
  <c r="J23" i="23" s="1"/>
  <c r="K23" i="23" s="1"/>
  <c r="R22" i="23"/>
  <c r="L22" i="23"/>
  <c r="I22" i="23"/>
  <c r="B22" i="23"/>
  <c r="J22" i="23" s="1"/>
  <c r="K22" i="23" s="1"/>
  <c r="V31" i="23" s="1"/>
  <c r="R21" i="23"/>
  <c r="L21" i="23"/>
  <c r="I21" i="23"/>
  <c r="B21" i="23"/>
  <c r="J21" i="23" s="1"/>
  <c r="K21" i="23" s="1"/>
  <c r="V30" i="23" s="1"/>
  <c r="R20" i="23"/>
  <c r="L20" i="23"/>
  <c r="I20" i="23"/>
  <c r="B20" i="23"/>
  <c r="J20" i="23" s="1"/>
  <c r="K20" i="23" s="1"/>
  <c r="R19" i="23"/>
  <c r="L19" i="23"/>
  <c r="I19" i="23"/>
  <c r="B19" i="23"/>
  <c r="J19" i="23" s="1"/>
  <c r="K19" i="23" s="1"/>
  <c r="R18" i="23"/>
  <c r="L18" i="23"/>
  <c r="I18" i="23"/>
  <c r="B18" i="23"/>
  <c r="J18" i="23" s="1"/>
  <c r="K18" i="23" s="1"/>
  <c r="R17" i="23"/>
  <c r="L17" i="23"/>
  <c r="I17" i="23"/>
  <c r="B17" i="23"/>
  <c r="J17" i="23" s="1"/>
  <c r="K17" i="23" s="1"/>
  <c r="F14" i="23"/>
  <c r="F13" i="23"/>
  <c r="F12" i="23"/>
  <c r="F11" i="23"/>
  <c r="F10" i="23"/>
  <c r="F9" i="23"/>
  <c r="F8" i="23"/>
  <c r="F7" i="23"/>
  <c r="F6" i="23"/>
  <c r="F5" i="23"/>
  <c r="F4" i="23"/>
  <c r="F3" i="23"/>
  <c r="I9" i="23" s="1"/>
  <c r="G24" i="24" l="1"/>
  <c r="G21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G27" i="24"/>
  <c r="G23" i="24"/>
  <c r="G19" i="24"/>
  <c r="G28" i="24"/>
  <c r="G26" i="24"/>
  <c r="G22" i="24"/>
  <c r="F22" i="23"/>
  <c r="F18" i="23"/>
  <c r="I12" i="23"/>
  <c r="I10" i="23"/>
  <c r="F25" i="23" s="1"/>
  <c r="I13" i="23"/>
  <c r="R28" i="22"/>
  <c r="L28" i="22"/>
  <c r="I28" i="22"/>
  <c r="B28" i="22"/>
  <c r="J28" i="22" s="1"/>
  <c r="K28" i="22" s="1"/>
  <c r="R27" i="22"/>
  <c r="L27" i="22"/>
  <c r="I27" i="22"/>
  <c r="B27" i="22"/>
  <c r="J27" i="22" s="1"/>
  <c r="K27" i="22" s="1"/>
  <c r="R26" i="22"/>
  <c r="L26" i="22"/>
  <c r="I26" i="22"/>
  <c r="B26" i="22"/>
  <c r="J26" i="22" s="1"/>
  <c r="K26" i="22" s="1"/>
  <c r="R25" i="22"/>
  <c r="L25" i="22"/>
  <c r="I25" i="22"/>
  <c r="B25" i="22"/>
  <c r="J25" i="22" s="1"/>
  <c r="K25" i="22" s="1"/>
  <c r="R24" i="22"/>
  <c r="L24" i="22"/>
  <c r="I24" i="22"/>
  <c r="B24" i="22"/>
  <c r="J24" i="22" s="1"/>
  <c r="K24" i="22" s="1"/>
  <c r="R23" i="22"/>
  <c r="L23" i="22"/>
  <c r="I23" i="22"/>
  <c r="B23" i="22"/>
  <c r="J23" i="22" s="1"/>
  <c r="K23" i="22" s="1"/>
  <c r="R22" i="22"/>
  <c r="L22" i="22"/>
  <c r="I22" i="22"/>
  <c r="B22" i="22"/>
  <c r="J22" i="22" s="1"/>
  <c r="K22" i="22" s="1"/>
  <c r="R21" i="22"/>
  <c r="L21" i="22"/>
  <c r="I21" i="22"/>
  <c r="B21" i="22"/>
  <c r="J21" i="22" s="1"/>
  <c r="K21" i="22" s="1"/>
  <c r="R20" i="22"/>
  <c r="L20" i="22"/>
  <c r="I20" i="22"/>
  <c r="B20" i="22"/>
  <c r="J20" i="22" s="1"/>
  <c r="K20" i="22" s="1"/>
  <c r="R19" i="22"/>
  <c r="L19" i="22"/>
  <c r="I19" i="22"/>
  <c r="B19" i="22"/>
  <c r="J19" i="22" s="1"/>
  <c r="K19" i="22" s="1"/>
  <c r="R18" i="22"/>
  <c r="L18" i="22"/>
  <c r="I18" i="22"/>
  <c r="B18" i="22"/>
  <c r="J18" i="22" s="1"/>
  <c r="K18" i="22" s="1"/>
  <c r="R17" i="22"/>
  <c r="L17" i="22"/>
  <c r="I17" i="22"/>
  <c r="B17" i="22"/>
  <c r="J17" i="22" s="1"/>
  <c r="K17" i="22" s="1"/>
  <c r="F14" i="22"/>
  <c r="F13" i="22"/>
  <c r="F12" i="22"/>
  <c r="F11" i="22"/>
  <c r="F10" i="22"/>
  <c r="F9" i="22"/>
  <c r="F8" i="22"/>
  <c r="F7" i="22"/>
  <c r="F6" i="22"/>
  <c r="F5" i="22"/>
  <c r="F4" i="22"/>
  <c r="F3" i="22"/>
  <c r="I9" i="22" s="1"/>
  <c r="T18" i="24" l="1"/>
  <c r="M18" i="24"/>
  <c r="T22" i="24"/>
  <c r="M22" i="24"/>
  <c r="T26" i="24"/>
  <c r="M26" i="24"/>
  <c r="T19" i="24"/>
  <c r="M19" i="24"/>
  <c r="T23" i="24"/>
  <c r="M23" i="24"/>
  <c r="T27" i="24"/>
  <c r="M27" i="24"/>
  <c r="T20" i="24"/>
  <c r="M20" i="24"/>
  <c r="T24" i="24"/>
  <c r="M24" i="24"/>
  <c r="T28" i="24"/>
  <c r="M28" i="24"/>
  <c r="T17" i="24"/>
  <c r="M17" i="24"/>
  <c r="T21" i="24"/>
  <c r="M21" i="24"/>
  <c r="T25" i="24"/>
  <c r="M25" i="24"/>
  <c r="F26" i="23"/>
  <c r="M26" i="23" s="1"/>
  <c r="M25" i="23"/>
  <c r="T25" i="23"/>
  <c r="M18" i="23"/>
  <c r="T18" i="23"/>
  <c r="M22" i="23"/>
  <c r="T22" i="23"/>
  <c r="F19" i="23"/>
  <c r="F23" i="23"/>
  <c r="F27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F20" i="23"/>
  <c r="F24" i="23"/>
  <c r="F28" i="23"/>
  <c r="F17" i="23"/>
  <c r="F21" i="23"/>
  <c r="F22" i="22"/>
  <c r="F18" i="22"/>
  <c r="I12" i="22"/>
  <c r="I10" i="22"/>
  <c r="F25" i="22" s="1"/>
  <c r="I13" i="22"/>
  <c r="A32" i="12"/>
  <c r="A33" i="12"/>
  <c r="A34" i="12"/>
  <c r="A35" i="12"/>
  <c r="A36" i="12"/>
  <c r="A37" i="12"/>
  <c r="A38" i="12"/>
  <c r="A39" i="12"/>
  <c r="A40" i="12"/>
  <c r="A41" i="12"/>
  <c r="A42" i="12"/>
  <c r="A31" i="12"/>
  <c r="N21" i="24" l="1"/>
  <c r="O21" i="24" s="1"/>
  <c r="U21" i="24"/>
  <c r="N28" i="24"/>
  <c r="O28" i="24" s="1"/>
  <c r="U28" i="24"/>
  <c r="N20" i="24"/>
  <c r="O20" i="24" s="1"/>
  <c r="U20" i="24"/>
  <c r="N23" i="24"/>
  <c r="O23" i="24" s="1"/>
  <c r="U23" i="24"/>
  <c r="N26" i="24"/>
  <c r="O26" i="24" s="1"/>
  <c r="U26" i="24"/>
  <c r="N18" i="24"/>
  <c r="O18" i="24" s="1"/>
  <c r="U18" i="24"/>
  <c r="N25" i="24"/>
  <c r="O25" i="24" s="1"/>
  <c r="U25" i="24"/>
  <c r="N17" i="24"/>
  <c r="O17" i="24" s="1"/>
  <c r="U17" i="24"/>
  <c r="N24" i="24"/>
  <c r="O24" i="24" s="1"/>
  <c r="U24" i="24"/>
  <c r="N27" i="24"/>
  <c r="O27" i="24" s="1"/>
  <c r="U27" i="24"/>
  <c r="N19" i="24"/>
  <c r="O19" i="24" s="1"/>
  <c r="U19" i="24"/>
  <c r="N22" i="24"/>
  <c r="O22" i="24" s="1"/>
  <c r="U22" i="24"/>
  <c r="T26" i="23"/>
  <c r="M17" i="23"/>
  <c r="T17" i="23"/>
  <c r="M27" i="23"/>
  <c r="T27" i="23"/>
  <c r="U26" i="23"/>
  <c r="N26" i="23"/>
  <c r="O26" i="23" s="1"/>
  <c r="U18" i="23"/>
  <c r="N18" i="23"/>
  <c r="O18" i="23" s="1"/>
  <c r="M28" i="23"/>
  <c r="T28" i="23"/>
  <c r="M23" i="23"/>
  <c r="T23" i="23"/>
  <c r="M24" i="23"/>
  <c r="T24" i="23"/>
  <c r="M19" i="23"/>
  <c r="T19" i="23"/>
  <c r="U22" i="23"/>
  <c r="N22" i="23"/>
  <c r="O22" i="23" s="1"/>
  <c r="U25" i="23"/>
  <c r="N25" i="23"/>
  <c r="O25" i="23" s="1"/>
  <c r="M21" i="23"/>
  <c r="T21" i="23"/>
  <c r="M20" i="23"/>
  <c r="T20" i="23"/>
  <c r="F26" i="22"/>
  <c r="M26" i="22" s="1"/>
  <c r="M25" i="22"/>
  <c r="T25" i="22"/>
  <c r="M18" i="22"/>
  <c r="T18" i="22"/>
  <c r="M22" i="22"/>
  <c r="T22" i="22"/>
  <c r="F19" i="22"/>
  <c r="F23" i="22"/>
  <c r="F27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F20" i="22"/>
  <c r="F24" i="22"/>
  <c r="F28" i="22"/>
  <c r="F17" i="22"/>
  <c r="F21" i="22"/>
  <c r="R28" i="21"/>
  <c r="L28" i="21"/>
  <c r="I28" i="21"/>
  <c r="B28" i="21"/>
  <c r="J28" i="21" s="1"/>
  <c r="K28" i="21" s="1"/>
  <c r="R27" i="21"/>
  <c r="L27" i="21"/>
  <c r="I27" i="21"/>
  <c r="B27" i="21"/>
  <c r="J27" i="21" s="1"/>
  <c r="K27" i="21" s="1"/>
  <c r="R26" i="21"/>
  <c r="L26" i="21"/>
  <c r="I26" i="21"/>
  <c r="B26" i="21"/>
  <c r="J26" i="21" s="1"/>
  <c r="K26" i="21" s="1"/>
  <c r="R25" i="21"/>
  <c r="L25" i="21"/>
  <c r="I25" i="21"/>
  <c r="B25" i="21"/>
  <c r="J25" i="21" s="1"/>
  <c r="K25" i="21" s="1"/>
  <c r="R24" i="21"/>
  <c r="L24" i="21"/>
  <c r="I24" i="21"/>
  <c r="B24" i="21"/>
  <c r="J24" i="21" s="1"/>
  <c r="K24" i="21" s="1"/>
  <c r="R23" i="21"/>
  <c r="L23" i="21"/>
  <c r="I23" i="21"/>
  <c r="B23" i="21"/>
  <c r="J23" i="21" s="1"/>
  <c r="K23" i="21" s="1"/>
  <c r="R22" i="21"/>
  <c r="L22" i="21"/>
  <c r="I22" i="21"/>
  <c r="B22" i="21"/>
  <c r="J22" i="21" s="1"/>
  <c r="K22" i="21" s="1"/>
  <c r="R21" i="21"/>
  <c r="L21" i="21"/>
  <c r="I21" i="21"/>
  <c r="B21" i="21"/>
  <c r="J21" i="21" s="1"/>
  <c r="K21" i="21" s="1"/>
  <c r="R20" i="21"/>
  <c r="L20" i="21"/>
  <c r="I20" i="21"/>
  <c r="B20" i="21"/>
  <c r="J20" i="21" s="1"/>
  <c r="K20" i="21" s="1"/>
  <c r="R19" i="21"/>
  <c r="L19" i="21"/>
  <c r="I19" i="21"/>
  <c r="B19" i="21"/>
  <c r="J19" i="21" s="1"/>
  <c r="K19" i="21" s="1"/>
  <c r="R18" i="21"/>
  <c r="L18" i="21"/>
  <c r="I18" i="21"/>
  <c r="B18" i="21"/>
  <c r="J18" i="21" s="1"/>
  <c r="K18" i="21" s="1"/>
  <c r="R17" i="21"/>
  <c r="L17" i="21"/>
  <c r="I17" i="21"/>
  <c r="B17" i="21"/>
  <c r="J17" i="21" s="1"/>
  <c r="K17" i="21" s="1"/>
  <c r="F14" i="21"/>
  <c r="F13" i="21"/>
  <c r="F12" i="21"/>
  <c r="F11" i="21"/>
  <c r="F10" i="21"/>
  <c r="F9" i="21"/>
  <c r="F8" i="21"/>
  <c r="F7" i="21"/>
  <c r="F6" i="21"/>
  <c r="F5" i="21"/>
  <c r="F4" i="21"/>
  <c r="F3" i="21"/>
  <c r="I9" i="21" s="1"/>
  <c r="V22" i="24" l="1"/>
  <c r="P22" i="24"/>
  <c r="S22" i="24" s="1"/>
  <c r="V27" i="24"/>
  <c r="P27" i="24"/>
  <c r="S27" i="24" s="1"/>
  <c r="V17" i="24"/>
  <c r="P17" i="24"/>
  <c r="S17" i="24" s="1"/>
  <c r="V18" i="24"/>
  <c r="P18" i="24"/>
  <c r="S18" i="24" s="1"/>
  <c r="V23" i="24"/>
  <c r="P23" i="24"/>
  <c r="S23" i="24" s="1"/>
  <c r="V28" i="24"/>
  <c r="P28" i="24"/>
  <c r="S28" i="24" s="1"/>
  <c r="V19" i="24"/>
  <c r="P19" i="24"/>
  <c r="S19" i="24" s="1"/>
  <c r="V24" i="24"/>
  <c r="P24" i="24"/>
  <c r="S24" i="24" s="1"/>
  <c r="V25" i="24"/>
  <c r="P25" i="24"/>
  <c r="S25" i="24" s="1"/>
  <c r="V26" i="24"/>
  <c r="P26" i="24"/>
  <c r="S26" i="24" s="1"/>
  <c r="V20" i="24"/>
  <c r="P20" i="24"/>
  <c r="S20" i="24" s="1"/>
  <c r="V21" i="24"/>
  <c r="P21" i="24"/>
  <c r="S21" i="24" s="1"/>
  <c r="U20" i="23"/>
  <c r="N20" i="23"/>
  <c r="O20" i="23" s="1"/>
  <c r="U19" i="23"/>
  <c r="N19" i="23"/>
  <c r="O19" i="23" s="1"/>
  <c r="U23" i="23"/>
  <c r="N23" i="23"/>
  <c r="O23" i="23" s="1"/>
  <c r="U27" i="23"/>
  <c r="N27" i="23"/>
  <c r="O27" i="23" s="1"/>
  <c r="V22" i="23"/>
  <c r="P22" i="23"/>
  <c r="S22" i="23" s="1"/>
  <c r="V26" i="23"/>
  <c r="P26" i="23"/>
  <c r="S26" i="23" s="1"/>
  <c r="U21" i="23"/>
  <c r="N21" i="23"/>
  <c r="O21" i="23" s="1"/>
  <c r="U24" i="23"/>
  <c r="N24" i="23"/>
  <c r="O24" i="23" s="1"/>
  <c r="U28" i="23"/>
  <c r="N28" i="23"/>
  <c r="O28" i="23" s="1"/>
  <c r="U17" i="23"/>
  <c r="N17" i="23"/>
  <c r="O17" i="23" s="1"/>
  <c r="V25" i="23"/>
  <c r="P25" i="23"/>
  <c r="S25" i="23" s="1"/>
  <c r="V18" i="23"/>
  <c r="P18" i="23"/>
  <c r="S18" i="23" s="1"/>
  <c r="T26" i="22"/>
  <c r="M17" i="22"/>
  <c r="T17" i="22"/>
  <c r="M27" i="22"/>
  <c r="T27" i="22"/>
  <c r="U26" i="22"/>
  <c r="N26" i="22"/>
  <c r="O26" i="22" s="1"/>
  <c r="U18" i="22"/>
  <c r="N18" i="22"/>
  <c r="O18" i="22" s="1"/>
  <c r="M28" i="22"/>
  <c r="T28" i="22"/>
  <c r="M23" i="22"/>
  <c r="T23" i="22"/>
  <c r="M24" i="22"/>
  <c r="T24" i="22"/>
  <c r="M19" i="22"/>
  <c r="T19" i="22"/>
  <c r="U22" i="22"/>
  <c r="N22" i="22"/>
  <c r="O22" i="22" s="1"/>
  <c r="U25" i="22"/>
  <c r="N25" i="22"/>
  <c r="O25" i="22" s="1"/>
  <c r="M21" i="22"/>
  <c r="T21" i="22"/>
  <c r="M20" i="22"/>
  <c r="T20" i="22"/>
  <c r="I12" i="21"/>
  <c r="I10" i="21"/>
  <c r="F25" i="21" s="1"/>
  <c r="I13" i="21"/>
  <c r="R28" i="20"/>
  <c r="L28" i="20"/>
  <c r="I28" i="20"/>
  <c r="B28" i="20"/>
  <c r="J28" i="20" s="1"/>
  <c r="K28" i="20" s="1"/>
  <c r="R27" i="20"/>
  <c r="L27" i="20"/>
  <c r="I27" i="20"/>
  <c r="B27" i="20"/>
  <c r="J27" i="20" s="1"/>
  <c r="K27" i="20" s="1"/>
  <c r="R26" i="20"/>
  <c r="L26" i="20"/>
  <c r="I26" i="20"/>
  <c r="B26" i="20"/>
  <c r="J26" i="20" s="1"/>
  <c r="K26" i="20" s="1"/>
  <c r="R25" i="20"/>
  <c r="L25" i="20"/>
  <c r="I25" i="20"/>
  <c r="B25" i="20"/>
  <c r="J25" i="20" s="1"/>
  <c r="K25" i="20" s="1"/>
  <c r="R24" i="20"/>
  <c r="L24" i="20"/>
  <c r="I24" i="20"/>
  <c r="B24" i="20"/>
  <c r="J24" i="20" s="1"/>
  <c r="K24" i="20" s="1"/>
  <c r="R23" i="20"/>
  <c r="L23" i="20"/>
  <c r="I23" i="20"/>
  <c r="B23" i="20"/>
  <c r="J23" i="20" s="1"/>
  <c r="K23" i="20" s="1"/>
  <c r="R22" i="20"/>
  <c r="L22" i="20"/>
  <c r="I22" i="20"/>
  <c r="B22" i="20"/>
  <c r="J22" i="20" s="1"/>
  <c r="K22" i="20" s="1"/>
  <c r="R21" i="20"/>
  <c r="L21" i="20"/>
  <c r="I21" i="20"/>
  <c r="B21" i="20"/>
  <c r="J21" i="20" s="1"/>
  <c r="K21" i="20" s="1"/>
  <c r="R20" i="20"/>
  <c r="L20" i="20"/>
  <c r="I20" i="20"/>
  <c r="B20" i="20"/>
  <c r="J20" i="20" s="1"/>
  <c r="K20" i="20" s="1"/>
  <c r="R19" i="20"/>
  <c r="L19" i="20"/>
  <c r="I19" i="20"/>
  <c r="B19" i="20"/>
  <c r="J19" i="20" s="1"/>
  <c r="K19" i="20" s="1"/>
  <c r="R18" i="20"/>
  <c r="L18" i="20"/>
  <c r="I18" i="20"/>
  <c r="B18" i="20"/>
  <c r="J18" i="20" s="1"/>
  <c r="K18" i="20" s="1"/>
  <c r="R17" i="20"/>
  <c r="L17" i="20"/>
  <c r="I17" i="20"/>
  <c r="B17" i="20"/>
  <c r="J17" i="20" s="1"/>
  <c r="K17" i="20" s="1"/>
  <c r="F14" i="20"/>
  <c r="F13" i="20"/>
  <c r="F12" i="20"/>
  <c r="F11" i="20"/>
  <c r="F10" i="20"/>
  <c r="F9" i="20"/>
  <c r="F8" i="20"/>
  <c r="F7" i="20"/>
  <c r="F6" i="20"/>
  <c r="F5" i="20"/>
  <c r="F4" i="20"/>
  <c r="F3" i="20"/>
  <c r="I9" i="20" s="1"/>
  <c r="V28" i="23" l="1"/>
  <c r="P28" i="23"/>
  <c r="S28" i="23" s="1"/>
  <c r="V21" i="23"/>
  <c r="P21" i="23"/>
  <c r="S21" i="23" s="1"/>
  <c r="V23" i="23"/>
  <c r="P23" i="23"/>
  <c r="S23" i="23" s="1"/>
  <c r="V20" i="23"/>
  <c r="P20" i="23"/>
  <c r="S20" i="23" s="1"/>
  <c r="V17" i="23"/>
  <c r="P17" i="23"/>
  <c r="S17" i="23" s="1"/>
  <c r="V24" i="23"/>
  <c r="P24" i="23"/>
  <c r="S24" i="23" s="1"/>
  <c r="V27" i="23"/>
  <c r="P27" i="23"/>
  <c r="S27" i="23" s="1"/>
  <c r="V19" i="23"/>
  <c r="P19" i="23"/>
  <c r="S19" i="23" s="1"/>
  <c r="U20" i="22"/>
  <c r="N20" i="22"/>
  <c r="O20" i="22" s="1"/>
  <c r="U19" i="22"/>
  <c r="N19" i="22"/>
  <c r="O19" i="22" s="1"/>
  <c r="U23" i="22"/>
  <c r="N23" i="22"/>
  <c r="O23" i="22" s="1"/>
  <c r="U27" i="22"/>
  <c r="N27" i="22"/>
  <c r="O27" i="22" s="1"/>
  <c r="V22" i="22"/>
  <c r="P22" i="22"/>
  <c r="S22" i="22" s="1"/>
  <c r="V26" i="22"/>
  <c r="P26" i="22"/>
  <c r="S26" i="22" s="1"/>
  <c r="U21" i="22"/>
  <c r="N21" i="22"/>
  <c r="O21" i="22" s="1"/>
  <c r="U24" i="22"/>
  <c r="N24" i="22"/>
  <c r="O24" i="22" s="1"/>
  <c r="U28" i="22"/>
  <c r="N28" i="22"/>
  <c r="O28" i="22" s="1"/>
  <c r="U17" i="22"/>
  <c r="N17" i="22"/>
  <c r="O17" i="22" s="1"/>
  <c r="V25" i="22"/>
  <c r="P25" i="22"/>
  <c r="S25" i="22" s="1"/>
  <c r="V18" i="22"/>
  <c r="P18" i="22"/>
  <c r="S18" i="22" s="1"/>
  <c r="F18" i="21"/>
  <c r="M18" i="21" s="1"/>
  <c r="F22" i="21"/>
  <c r="M22" i="21" s="1"/>
  <c r="F26" i="21"/>
  <c r="M26" i="21" s="1"/>
  <c r="M25" i="21"/>
  <c r="T25" i="21"/>
  <c r="T18" i="21"/>
  <c r="F19" i="21"/>
  <c r="F23" i="21"/>
  <c r="F27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F20" i="21"/>
  <c r="F24" i="21"/>
  <c r="F28" i="21"/>
  <c r="F17" i="21"/>
  <c r="F21" i="21"/>
  <c r="F22" i="20"/>
  <c r="F18" i="20"/>
  <c r="I12" i="20"/>
  <c r="I10" i="20"/>
  <c r="F25" i="20" s="1"/>
  <c r="I13" i="20"/>
  <c r="R28" i="19"/>
  <c r="L28" i="19"/>
  <c r="I28" i="19"/>
  <c r="B28" i="19"/>
  <c r="J28" i="19" s="1"/>
  <c r="K28" i="19" s="1"/>
  <c r="R27" i="19"/>
  <c r="L27" i="19"/>
  <c r="I27" i="19"/>
  <c r="B27" i="19"/>
  <c r="J27" i="19" s="1"/>
  <c r="K27" i="19" s="1"/>
  <c r="R26" i="19"/>
  <c r="L26" i="19"/>
  <c r="I26" i="19"/>
  <c r="B26" i="19"/>
  <c r="J26" i="19" s="1"/>
  <c r="K26" i="19" s="1"/>
  <c r="R25" i="19"/>
  <c r="L25" i="19"/>
  <c r="I25" i="19"/>
  <c r="B25" i="19"/>
  <c r="J25" i="19" s="1"/>
  <c r="K25" i="19" s="1"/>
  <c r="R24" i="19"/>
  <c r="L24" i="19"/>
  <c r="I24" i="19"/>
  <c r="B24" i="19"/>
  <c r="J24" i="19" s="1"/>
  <c r="K24" i="19" s="1"/>
  <c r="R23" i="19"/>
  <c r="L23" i="19"/>
  <c r="I23" i="19"/>
  <c r="B23" i="19"/>
  <c r="J23" i="19" s="1"/>
  <c r="K23" i="19" s="1"/>
  <c r="R22" i="19"/>
  <c r="L22" i="19"/>
  <c r="I22" i="19"/>
  <c r="B22" i="19"/>
  <c r="J22" i="19" s="1"/>
  <c r="K22" i="19" s="1"/>
  <c r="R21" i="19"/>
  <c r="L21" i="19"/>
  <c r="I21" i="19"/>
  <c r="B21" i="19"/>
  <c r="J21" i="19" s="1"/>
  <c r="K21" i="19" s="1"/>
  <c r="R20" i="19"/>
  <c r="L20" i="19"/>
  <c r="I20" i="19"/>
  <c r="B20" i="19"/>
  <c r="J20" i="19" s="1"/>
  <c r="K20" i="19" s="1"/>
  <c r="R19" i="19"/>
  <c r="L19" i="19"/>
  <c r="I19" i="19"/>
  <c r="B19" i="19"/>
  <c r="J19" i="19" s="1"/>
  <c r="K19" i="19" s="1"/>
  <c r="R18" i="19"/>
  <c r="L18" i="19"/>
  <c r="I18" i="19"/>
  <c r="B18" i="19"/>
  <c r="J18" i="19" s="1"/>
  <c r="K18" i="19" s="1"/>
  <c r="R17" i="19"/>
  <c r="L17" i="19"/>
  <c r="I17" i="19"/>
  <c r="B17" i="19"/>
  <c r="J17" i="19" s="1"/>
  <c r="K17" i="19" s="1"/>
  <c r="F14" i="19"/>
  <c r="F13" i="19"/>
  <c r="F12" i="19"/>
  <c r="F11" i="19"/>
  <c r="F10" i="19"/>
  <c r="F9" i="19"/>
  <c r="F8" i="19"/>
  <c r="F7" i="19"/>
  <c r="F6" i="19"/>
  <c r="F5" i="19"/>
  <c r="F4" i="19"/>
  <c r="F3" i="19"/>
  <c r="I9" i="19" s="1"/>
  <c r="V28" i="22" l="1"/>
  <c r="P28" i="22"/>
  <c r="S28" i="22" s="1"/>
  <c r="V21" i="22"/>
  <c r="P21" i="22"/>
  <c r="S21" i="22" s="1"/>
  <c r="V23" i="22"/>
  <c r="P23" i="22"/>
  <c r="S23" i="22" s="1"/>
  <c r="V20" i="22"/>
  <c r="P20" i="22"/>
  <c r="S20" i="22" s="1"/>
  <c r="V17" i="22"/>
  <c r="P17" i="22"/>
  <c r="S17" i="22" s="1"/>
  <c r="V24" i="22"/>
  <c r="P24" i="22"/>
  <c r="S24" i="22" s="1"/>
  <c r="V27" i="22"/>
  <c r="P27" i="22"/>
  <c r="S27" i="22" s="1"/>
  <c r="V19" i="22"/>
  <c r="P19" i="22"/>
  <c r="S19" i="22" s="1"/>
  <c r="T22" i="21"/>
  <c r="T26" i="21"/>
  <c r="M28" i="21"/>
  <c r="T28" i="21"/>
  <c r="M23" i="21"/>
  <c r="T23" i="21"/>
  <c r="M24" i="21"/>
  <c r="T24" i="21"/>
  <c r="M19" i="21"/>
  <c r="T19" i="21"/>
  <c r="U22" i="21"/>
  <c r="N22" i="21"/>
  <c r="O22" i="21" s="1"/>
  <c r="U25" i="21"/>
  <c r="N25" i="21"/>
  <c r="O25" i="21" s="1"/>
  <c r="M21" i="21"/>
  <c r="T21" i="21"/>
  <c r="M20" i="21"/>
  <c r="T20" i="21"/>
  <c r="M17" i="21"/>
  <c r="T17" i="21"/>
  <c r="M27" i="21"/>
  <c r="T27" i="21"/>
  <c r="U26" i="21"/>
  <c r="N26" i="21"/>
  <c r="O26" i="21" s="1"/>
  <c r="U18" i="21"/>
  <c r="N18" i="21"/>
  <c r="O18" i="21" s="1"/>
  <c r="F26" i="20"/>
  <c r="M26" i="20" s="1"/>
  <c r="M25" i="20"/>
  <c r="T25" i="20"/>
  <c r="M18" i="20"/>
  <c r="T18" i="20"/>
  <c r="M22" i="20"/>
  <c r="T22" i="20"/>
  <c r="F19" i="20"/>
  <c r="F23" i="20"/>
  <c r="F27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F20" i="20"/>
  <c r="F24" i="20"/>
  <c r="F28" i="20"/>
  <c r="F17" i="20"/>
  <c r="F21" i="20"/>
  <c r="I10" i="19"/>
  <c r="F25" i="19" s="1"/>
  <c r="I13" i="19"/>
  <c r="I12" i="19"/>
  <c r="R28" i="18"/>
  <c r="L28" i="18"/>
  <c r="I28" i="18"/>
  <c r="B28" i="18"/>
  <c r="J28" i="18" s="1"/>
  <c r="K28" i="18" s="1"/>
  <c r="R27" i="18"/>
  <c r="L27" i="18"/>
  <c r="I27" i="18"/>
  <c r="B27" i="18"/>
  <c r="J27" i="18" s="1"/>
  <c r="K27" i="18" s="1"/>
  <c r="R26" i="18"/>
  <c r="L26" i="18"/>
  <c r="I26" i="18"/>
  <c r="B26" i="18"/>
  <c r="J26" i="18" s="1"/>
  <c r="K26" i="18" s="1"/>
  <c r="R25" i="18"/>
  <c r="L25" i="18"/>
  <c r="I25" i="18"/>
  <c r="B25" i="18"/>
  <c r="J25" i="18" s="1"/>
  <c r="K25" i="18" s="1"/>
  <c r="R24" i="18"/>
  <c r="L24" i="18"/>
  <c r="I24" i="18"/>
  <c r="B24" i="18"/>
  <c r="J24" i="18" s="1"/>
  <c r="K24" i="18" s="1"/>
  <c r="R23" i="18"/>
  <c r="L23" i="18"/>
  <c r="I23" i="18"/>
  <c r="B23" i="18"/>
  <c r="J23" i="18" s="1"/>
  <c r="K23" i="18" s="1"/>
  <c r="R22" i="18"/>
  <c r="L22" i="18"/>
  <c r="I22" i="18"/>
  <c r="B22" i="18"/>
  <c r="J22" i="18" s="1"/>
  <c r="K22" i="18" s="1"/>
  <c r="R21" i="18"/>
  <c r="L21" i="18"/>
  <c r="I21" i="18"/>
  <c r="B21" i="18"/>
  <c r="J21" i="18" s="1"/>
  <c r="K21" i="18" s="1"/>
  <c r="R20" i="18"/>
  <c r="L20" i="18"/>
  <c r="I20" i="18"/>
  <c r="B20" i="18"/>
  <c r="J20" i="18" s="1"/>
  <c r="K20" i="18" s="1"/>
  <c r="R19" i="18"/>
  <c r="L19" i="18"/>
  <c r="I19" i="18"/>
  <c r="B19" i="18"/>
  <c r="J19" i="18" s="1"/>
  <c r="K19" i="18" s="1"/>
  <c r="R18" i="18"/>
  <c r="L18" i="18"/>
  <c r="I18" i="18"/>
  <c r="B18" i="18"/>
  <c r="J18" i="18" s="1"/>
  <c r="K18" i="18" s="1"/>
  <c r="R17" i="18"/>
  <c r="L17" i="18"/>
  <c r="I17" i="18"/>
  <c r="B17" i="18"/>
  <c r="J17" i="18" s="1"/>
  <c r="K17" i="18" s="1"/>
  <c r="F14" i="18"/>
  <c r="I13" i="18"/>
  <c r="F13" i="18"/>
  <c r="F12" i="18"/>
  <c r="F11" i="18"/>
  <c r="F10" i="18"/>
  <c r="F9" i="18"/>
  <c r="F8" i="18"/>
  <c r="F7" i="18"/>
  <c r="F6" i="18"/>
  <c r="F5" i="18"/>
  <c r="F4" i="18"/>
  <c r="F3" i="18"/>
  <c r="I9" i="18" s="1"/>
  <c r="U27" i="21" l="1"/>
  <c r="N27" i="21"/>
  <c r="O27" i="21" s="1"/>
  <c r="U20" i="21"/>
  <c r="N20" i="21"/>
  <c r="O20" i="21" s="1"/>
  <c r="U19" i="21"/>
  <c r="N19" i="21"/>
  <c r="O19" i="21" s="1"/>
  <c r="U23" i="21"/>
  <c r="N23" i="21"/>
  <c r="O23" i="21" s="1"/>
  <c r="V26" i="21"/>
  <c r="P26" i="21"/>
  <c r="S26" i="21" s="1"/>
  <c r="V22" i="21"/>
  <c r="P22" i="21"/>
  <c r="S22" i="21" s="1"/>
  <c r="U17" i="21"/>
  <c r="N17" i="21"/>
  <c r="O17" i="21" s="1"/>
  <c r="U21" i="21"/>
  <c r="N21" i="21"/>
  <c r="O21" i="21" s="1"/>
  <c r="U24" i="21"/>
  <c r="N24" i="21"/>
  <c r="O24" i="21" s="1"/>
  <c r="U28" i="21"/>
  <c r="N28" i="21"/>
  <c r="O28" i="21" s="1"/>
  <c r="V18" i="21"/>
  <c r="P18" i="21"/>
  <c r="S18" i="21" s="1"/>
  <c r="V25" i="21"/>
  <c r="P25" i="21"/>
  <c r="S25" i="21" s="1"/>
  <c r="T26" i="20"/>
  <c r="M17" i="20"/>
  <c r="T17" i="20"/>
  <c r="M27" i="20"/>
  <c r="T27" i="20"/>
  <c r="U26" i="20"/>
  <c r="N26" i="20"/>
  <c r="O26" i="20" s="1"/>
  <c r="U18" i="20"/>
  <c r="N18" i="20"/>
  <c r="O18" i="20" s="1"/>
  <c r="M28" i="20"/>
  <c r="T28" i="20"/>
  <c r="M23" i="20"/>
  <c r="T23" i="20"/>
  <c r="M24" i="20"/>
  <c r="T24" i="20"/>
  <c r="M19" i="20"/>
  <c r="T19" i="20"/>
  <c r="U22" i="20"/>
  <c r="N22" i="20"/>
  <c r="O22" i="20" s="1"/>
  <c r="U25" i="20"/>
  <c r="N25" i="20"/>
  <c r="O25" i="20" s="1"/>
  <c r="M21" i="20"/>
  <c r="T21" i="20"/>
  <c r="M20" i="20"/>
  <c r="T20" i="20"/>
  <c r="F23" i="19"/>
  <c r="M23" i="19" s="1"/>
  <c r="F18" i="19"/>
  <c r="M18" i="19" s="1"/>
  <c r="F26" i="19"/>
  <c r="M26" i="19" s="1"/>
  <c r="F19" i="19"/>
  <c r="M19" i="19" s="1"/>
  <c r="F27" i="19"/>
  <c r="T27" i="19" s="1"/>
  <c r="F22" i="19"/>
  <c r="T22" i="19" s="1"/>
  <c r="M25" i="19"/>
  <c r="T25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F20" i="19"/>
  <c r="F24" i="19"/>
  <c r="F28" i="19"/>
  <c r="F17" i="19"/>
  <c r="F21" i="19"/>
  <c r="F22" i="18"/>
  <c r="F18" i="18"/>
  <c r="I12" i="18"/>
  <c r="I10" i="18"/>
  <c r="F27" i="18" s="1"/>
  <c r="R28" i="17"/>
  <c r="L28" i="17"/>
  <c r="I28" i="17"/>
  <c r="B28" i="17"/>
  <c r="J28" i="17" s="1"/>
  <c r="K28" i="17" s="1"/>
  <c r="R27" i="17"/>
  <c r="L27" i="17"/>
  <c r="I27" i="17"/>
  <c r="B27" i="17"/>
  <c r="J27" i="17" s="1"/>
  <c r="K27" i="17" s="1"/>
  <c r="R26" i="17"/>
  <c r="L26" i="17"/>
  <c r="I26" i="17"/>
  <c r="B26" i="17"/>
  <c r="J26" i="17" s="1"/>
  <c r="K26" i="17" s="1"/>
  <c r="R25" i="17"/>
  <c r="L25" i="17"/>
  <c r="I25" i="17"/>
  <c r="B25" i="17"/>
  <c r="J25" i="17" s="1"/>
  <c r="K25" i="17" s="1"/>
  <c r="R24" i="17"/>
  <c r="L24" i="17"/>
  <c r="I24" i="17"/>
  <c r="B24" i="17"/>
  <c r="J24" i="17" s="1"/>
  <c r="K24" i="17" s="1"/>
  <c r="R23" i="17"/>
  <c r="L23" i="17"/>
  <c r="I23" i="17"/>
  <c r="B23" i="17"/>
  <c r="J23" i="17" s="1"/>
  <c r="K23" i="17" s="1"/>
  <c r="R22" i="17"/>
  <c r="L22" i="17"/>
  <c r="I22" i="17"/>
  <c r="B22" i="17"/>
  <c r="J22" i="17" s="1"/>
  <c r="K22" i="17" s="1"/>
  <c r="R21" i="17"/>
  <c r="L21" i="17"/>
  <c r="I21" i="17"/>
  <c r="B21" i="17"/>
  <c r="J21" i="17" s="1"/>
  <c r="K21" i="17" s="1"/>
  <c r="R20" i="17"/>
  <c r="L20" i="17"/>
  <c r="I20" i="17"/>
  <c r="B20" i="17"/>
  <c r="J20" i="17" s="1"/>
  <c r="K20" i="17" s="1"/>
  <c r="R19" i="17"/>
  <c r="L19" i="17"/>
  <c r="I19" i="17"/>
  <c r="B19" i="17"/>
  <c r="J19" i="17" s="1"/>
  <c r="K19" i="17" s="1"/>
  <c r="R18" i="17"/>
  <c r="L18" i="17"/>
  <c r="I18" i="17"/>
  <c r="B18" i="17"/>
  <c r="J18" i="17" s="1"/>
  <c r="K18" i="17" s="1"/>
  <c r="R17" i="17"/>
  <c r="L17" i="17"/>
  <c r="I17" i="17"/>
  <c r="B17" i="17"/>
  <c r="J17" i="17" s="1"/>
  <c r="K17" i="17" s="1"/>
  <c r="F14" i="17"/>
  <c r="F13" i="17"/>
  <c r="F12" i="17"/>
  <c r="F11" i="17"/>
  <c r="F10" i="17"/>
  <c r="F9" i="17"/>
  <c r="F8" i="17"/>
  <c r="F7" i="17"/>
  <c r="F6" i="17"/>
  <c r="F5" i="17"/>
  <c r="F4" i="17"/>
  <c r="F3" i="17"/>
  <c r="I9" i="17" s="1"/>
  <c r="V24" i="21" l="1"/>
  <c r="P24" i="21"/>
  <c r="S24" i="21" s="1"/>
  <c r="V17" i="21"/>
  <c r="P17" i="21"/>
  <c r="S17" i="21" s="1"/>
  <c r="V19" i="21"/>
  <c r="P19" i="21"/>
  <c r="S19" i="21" s="1"/>
  <c r="V27" i="21"/>
  <c r="P27" i="21"/>
  <c r="S27" i="21" s="1"/>
  <c r="V28" i="21"/>
  <c r="P28" i="21"/>
  <c r="S28" i="21" s="1"/>
  <c r="V21" i="21"/>
  <c r="P21" i="21"/>
  <c r="S21" i="21" s="1"/>
  <c r="V23" i="21"/>
  <c r="P23" i="21"/>
  <c r="S23" i="21" s="1"/>
  <c r="V20" i="21"/>
  <c r="P20" i="21"/>
  <c r="S20" i="21" s="1"/>
  <c r="U20" i="20"/>
  <c r="N20" i="20"/>
  <c r="O20" i="20" s="1"/>
  <c r="U19" i="20"/>
  <c r="N19" i="20"/>
  <c r="O19" i="20" s="1"/>
  <c r="U23" i="20"/>
  <c r="N23" i="20"/>
  <c r="O23" i="20" s="1"/>
  <c r="U27" i="20"/>
  <c r="N27" i="20"/>
  <c r="O27" i="20" s="1"/>
  <c r="V22" i="20"/>
  <c r="P22" i="20"/>
  <c r="S22" i="20" s="1"/>
  <c r="V26" i="20"/>
  <c r="P26" i="20"/>
  <c r="S26" i="20" s="1"/>
  <c r="U21" i="20"/>
  <c r="N21" i="20"/>
  <c r="O21" i="20" s="1"/>
  <c r="U24" i="20"/>
  <c r="N24" i="20"/>
  <c r="O24" i="20" s="1"/>
  <c r="U28" i="20"/>
  <c r="N28" i="20"/>
  <c r="O28" i="20" s="1"/>
  <c r="U17" i="20"/>
  <c r="N17" i="20"/>
  <c r="O17" i="20" s="1"/>
  <c r="V25" i="20"/>
  <c r="P25" i="20"/>
  <c r="S25" i="20" s="1"/>
  <c r="V18" i="20"/>
  <c r="P18" i="20"/>
  <c r="S18" i="20" s="1"/>
  <c r="T19" i="19"/>
  <c r="M27" i="19"/>
  <c r="U27" i="19" s="1"/>
  <c r="T23" i="19"/>
  <c r="M22" i="19"/>
  <c r="U22" i="19" s="1"/>
  <c r="T18" i="19"/>
  <c r="T26" i="19"/>
  <c r="M21" i="19"/>
  <c r="T21" i="19"/>
  <c r="M20" i="19"/>
  <c r="T20" i="19"/>
  <c r="U23" i="19"/>
  <c r="N23" i="19"/>
  <c r="O23" i="19" s="1"/>
  <c r="U26" i="19"/>
  <c r="N26" i="19"/>
  <c r="O26" i="19" s="1"/>
  <c r="U18" i="19"/>
  <c r="N18" i="19"/>
  <c r="O18" i="19" s="1"/>
  <c r="M17" i="19"/>
  <c r="T17" i="19"/>
  <c r="M28" i="19"/>
  <c r="T28" i="19"/>
  <c r="U19" i="19"/>
  <c r="N19" i="19"/>
  <c r="O19" i="19" s="1"/>
  <c r="U25" i="19"/>
  <c r="N25" i="19"/>
  <c r="O25" i="19" s="1"/>
  <c r="M24" i="19"/>
  <c r="T24" i="19"/>
  <c r="F26" i="18"/>
  <c r="M27" i="18"/>
  <c r="T27" i="18"/>
  <c r="M18" i="18"/>
  <c r="T18" i="18"/>
  <c r="M26" i="18"/>
  <c r="T26" i="18"/>
  <c r="F19" i="18"/>
  <c r="F23" i="18"/>
  <c r="G22" i="18"/>
  <c r="G21" i="18"/>
  <c r="G18" i="18"/>
  <c r="G28" i="18"/>
  <c r="G27" i="18"/>
  <c r="G26" i="18"/>
  <c r="G25" i="18"/>
  <c r="G24" i="18"/>
  <c r="G23" i="18"/>
  <c r="G20" i="18"/>
  <c r="G19" i="18"/>
  <c r="G17" i="18"/>
  <c r="F20" i="18"/>
  <c r="F24" i="18"/>
  <c r="F28" i="18"/>
  <c r="F17" i="18"/>
  <c r="F21" i="18"/>
  <c r="F25" i="18"/>
  <c r="M22" i="18"/>
  <c r="T22" i="18"/>
  <c r="I12" i="17"/>
  <c r="I10" i="17"/>
  <c r="F26" i="17" s="1"/>
  <c r="I13" i="17"/>
  <c r="W17" i="15"/>
  <c r="Y17" i="15" s="1"/>
  <c r="X17" i="15"/>
  <c r="Z17" i="15" s="1"/>
  <c r="W18" i="15"/>
  <c r="Y18" i="15" s="1"/>
  <c r="X18" i="15"/>
  <c r="Z18" i="15" s="1"/>
  <c r="W19" i="15"/>
  <c r="Y19" i="15" s="1"/>
  <c r="X19" i="15"/>
  <c r="Z19" i="15" s="1"/>
  <c r="W20" i="15"/>
  <c r="Y20" i="15" s="1"/>
  <c r="X20" i="15"/>
  <c r="Z20" i="15" s="1"/>
  <c r="W21" i="15"/>
  <c r="Y21" i="15" s="1"/>
  <c r="X21" i="15"/>
  <c r="Z21" i="15" s="1"/>
  <c r="W22" i="15"/>
  <c r="Y22" i="15" s="1"/>
  <c r="X22" i="15"/>
  <c r="Z22" i="15" s="1"/>
  <c r="R28" i="16"/>
  <c r="L28" i="16"/>
  <c r="I28" i="16"/>
  <c r="B28" i="16"/>
  <c r="J28" i="16" s="1"/>
  <c r="K28" i="16" s="1"/>
  <c r="R27" i="16"/>
  <c r="L27" i="16"/>
  <c r="I27" i="16"/>
  <c r="B27" i="16"/>
  <c r="J27" i="16" s="1"/>
  <c r="K27" i="16" s="1"/>
  <c r="R26" i="16"/>
  <c r="L26" i="16"/>
  <c r="I26" i="16"/>
  <c r="B26" i="16"/>
  <c r="J26" i="16" s="1"/>
  <c r="K26" i="16" s="1"/>
  <c r="R25" i="16"/>
  <c r="L25" i="16"/>
  <c r="I25" i="16"/>
  <c r="B25" i="16"/>
  <c r="J25" i="16" s="1"/>
  <c r="K25" i="16" s="1"/>
  <c r="R24" i="16"/>
  <c r="L24" i="16"/>
  <c r="I24" i="16"/>
  <c r="B24" i="16"/>
  <c r="J24" i="16" s="1"/>
  <c r="K24" i="16" s="1"/>
  <c r="R23" i="16"/>
  <c r="L23" i="16"/>
  <c r="I23" i="16"/>
  <c r="B23" i="16"/>
  <c r="J23" i="16" s="1"/>
  <c r="K23" i="16" s="1"/>
  <c r="R22" i="16"/>
  <c r="L22" i="16"/>
  <c r="I22" i="16"/>
  <c r="B22" i="16"/>
  <c r="J22" i="16" s="1"/>
  <c r="K22" i="16" s="1"/>
  <c r="R21" i="16"/>
  <c r="L21" i="16"/>
  <c r="I21" i="16"/>
  <c r="B21" i="16"/>
  <c r="J21" i="16" s="1"/>
  <c r="K21" i="16" s="1"/>
  <c r="R20" i="16"/>
  <c r="L20" i="16"/>
  <c r="I20" i="16"/>
  <c r="B20" i="16"/>
  <c r="J20" i="16" s="1"/>
  <c r="K20" i="16" s="1"/>
  <c r="R19" i="16"/>
  <c r="L19" i="16"/>
  <c r="I19" i="16"/>
  <c r="B19" i="16"/>
  <c r="J19" i="16" s="1"/>
  <c r="K19" i="16" s="1"/>
  <c r="R18" i="16"/>
  <c r="L18" i="16"/>
  <c r="I18" i="16"/>
  <c r="B18" i="16"/>
  <c r="J18" i="16" s="1"/>
  <c r="K18" i="16" s="1"/>
  <c r="R17" i="16"/>
  <c r="L17" i="16"/>
  <c r="I17" i="16"/>
  <c r="B17" i="16"/>
  <c r="J17" i="16" s="1"/>
  <c r="K17" i="16" s="1"/>
  <c r="F14" i="16"/>
  <c r="F13" i="16"/>
  <c r="F12" i="16"/>
  <c r="F11" i="16"/>
  <c r="F10" i="16"/>
  <c r="I9" i="16"/>
  <c r="F9" i="16"/>
  <c r="F8" i="16"/>
  <c r="F7" i="16"/>
  <c r="F6" i="16"/>
  <c r="F5" i="16"/>
  <c r="F4" i="16"/>
  <c r="F3" i="16"/>
  <c r="I13" i="16" s="1"/>
  <c r="V28" i="20" l="1"/>
  <c r="P28" i="20"/>
  <c r="S28" i="20" s="1"/>
  <c r="V21" i="20"/>
  <c r="P21" i="20"/>
  <c r="S21" i="20" s="1"/>
  <c r="V23" i="20"/>
  <c r="P23" i="20"/>
  <c r="S23" i="20" s="1"/>
  <c r="V20" i="20"/>
  <c r="P20" i="20"/>
  <c r="S20" i="20" s="1"/>
  <c r="V17" i="20"/>
  <c r="P17" i="20"/>
  <c r="S17" i="20" s="1"/>
  <c r="V24" i="20"/>
  <c r="P24" i="20"/>
  <c r="S24" i="20" s="1"/>
  <c r="V27" i="20"/>
  <c r="P27" i="20"/>
  <c r="S27" i="20" s="1"/>
  <c r="V19" i="20"/>
  <c r="P19" i="20"/>
  <c r="S19" i="20" s="1"/>
  <c r="N27" i="19"/>
  <c r="O27" i="19" s="1"/>
  <c r="P27" i="19" s="1"/>
  <c r="S27" i="19" s="1"/>
  <c r="N22" i="19"/>
  <c r="O22" i="19" s="1"/>
  <c r="V22" i="19" s="1"/>
  <c r="U24" i="19"/>
  <c r="N24" i="19"/>
  <c r="O24" i="19" s="1"/>
  <c r="U17" i="19"/>
  <c r="N17" i="19"/>
  <c r="O17" i="19" s="1"/>
  <c r="U20" i="19"/>
  <c r="N20" i="19"/>
  <c r="O20" i="19" s="1"/>
  <c r="V25" i="19"/>
  <c r="P25" i="19"/>
  <c r="S25" i="19" s="1"/>
  <c r="V19" i="19"/>
  <c r="P19" i="19"/>
  <c r="S19" i="19" s="1"/>
  <c r="V18" i="19"/>
  <c r="P18" i="19"/>
  <c r="S18" i="19" s="1"/>
  <c r="V23" i="19"/>
  <c r="P23" i="19"/>
  <c r="S23" i="19" s="1"/>
  <c r="U28" i="19"/>
  <c r="N28" i="19"/>
  <c r="O28" i="19" s="1"/>
  <c r="U21" i="19"/>
  <c r="N21" i="19"/>
  <c r="O21" i="19" s="1"/>
  <c r="V27" i="19"/>
  <c r="V26" i="19"/>
  <c r="P26" i="19"/>
  <c r="S26" i="19" s="1"/>
  <c r="U22" i="18"/>
  <c r="N22" i="18"/>
  <c r="O22" i="18" s="1"/>
  <c r="M19" i="18"/>
  <c r="T19" i="18"/>
  <c r="N18" i="18"/>
  <c r="O18" i="18" s="1"/>
  <c r="U18" i="18"/>
  <c r="M25" i="18"/>
  <c r="T25" i="18"/>
  <c r="M21" i="18"/>
  <c r="T21" i="18"/>
  <c r="M20" i="18"/>
  <c r="T20" i="18"/>
  <c r="N26" i="18"/>
  <c r="O26" i="18" s="1"/>
  <c r="U26" i="18"/>
  <c r="N27" i="18"/>
  <c r="O27" i="18" s="1"/>
  <c r="U27" i="18"/>
  <c r="M17" i="18"/>
  <c r="T17" i="18"/>
  <c r="M23" i="18"/>
  <c r="T23" i="18"/>
  <c r="M28" i="18"/>
  <c r="T28" i="18"/>
  <c r="M24" i="18"/>
  <c r="T24" i="18"/>
  <c r="M26" i="17"/>
  <c r="T26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F25" i="17"/>
  <c r="F18" i="17"/>
  <c r="F22" i="17"/>
  <c r="I12" i="16"/>
  <c r="I10" i="16"/>
  <c r="F17" i="16" s="1"/>
  <c r="F20" i="16"/>
  <c r="Y24" i="15"/>
  <c r="Y25" i="15"/>
  <c r="Y26" i="15"/>
  <c r="Y27" i="15"/>
  <c r="Y28" i="15"/>
  <c r="Y23" i="15"/>
  <c r="Z24" i="15"/>
  <c r="Z25" i="15"/>
  <c r="Z26" i="15"/>
  <c r="Z27" i="15"/>
  <c r="Z28" i="15"/>
  <c r="Z23" i="15"/>
  <c r="X24" i="15"/>
  <c r="X25" i="15"/>
  <c r="X26" i="15"/>
  <c r="X27" i="15"/>
  <c r="X28" i="15"/>
  <c r="X23" i="15"/>
  <c r="W24" i="15"/>
  <c r="W25" i="15"/>
  <c r="W26" i="15"/>
  <c r="W27" i="15"/>
  <c r="W28" i="15"/>
  <c r="W23" i="15"/>
  <c r="P22" i="19" l="1"/>
  <c r="S22" i="19" s="1"/>
  <c r="V21" i="19"/>
  <c r="P21" i="19"/>
  <c r="S21" i="19" s="1"/>
  <c r="V20" i="19"/>
  <c r="P20" i="19"/>
  <c r="S20" i="19" s="1"/>
  <c r="V24" i="19"/>
  <c r="P24" i="19"/>
  <c r="S24" i="19" s="1"/>
  <c r="V28" i="19"/>
  <c r="P28" i="19"/>
  <c r="S28" i="19" s="1"/>
  <c r="V17" i="19"/>
  <c r="P17" i="19"/>
  <c r="S17" i="19" s="1"/>
  <c r="V22" i="18"/>
  <c r="P22" i="18"/>
  <c r="S22" i="18" s="1"/>
  <c r="N28" i="18"/>
  <c r="O28" i="18" s="1"/>
  <c r="U28" i="18"/>
  <c r="N17" i="18"/>
  <c r="O17" i="18" s="1"/>
  <c r="U17" i="18"/>
  <c r="V26" i="18"/>
  <c r="P26" i="18"/>
  <c r="S26" i="18" s="1"/>
  <c r="N21" i="18"/>
  <c r="O21" i="18" s="1"/>
  <c r="U21" i="18"/>
  <c r="V18" i="18"/>
  <c r="P18" i="18"/>
  <c r="S18" i="18" s="1"/>
  <c r="N24" i="18"/>
  <c r="O24" i="18" s="1"/>
  <c r="U24" i="18"/>
  <c r="N23" i="18"/>
  <c r="O23" i="18" s="1"/>
  <c r="U23" i="18"/>
  <c r="V27" i="18"/>
  <c r="P27" i="18"/>
  <c r="S27" i="18" s="1"/>
  <c r="U20" i="18"/>
  <c r="N20" i="18"/>
  <c r="O20" i="18" s="1"/>
  <c r="N25" i="18"/>
  <c r="O25" i="18" s="1"/>
  <c r="U25" i="18"/>
  <c r="N19" i="18"/>
  <c r="O19" i="18" s="1"/>
  <c r="U19" i="18"/>
  <c r="M25" i="17"/>
  <c r="T25" i="17"/>
  <c r="M24" i="17"/>
  <c r="T24" i="17"/>
  <c r="M19" i="17"/>
  <c r="T19" i="17"/>
  <c r="M21" i="17"/>
  <c r="T21" i="17"/>
  <c r="M20" i="17"/>
  <c r="T20" i="17"/>
  <c r="M22" i="17"/>
  <c r="T22" i="17"/>
  <c r="M17" i="17"/>
  <c r="T17" i="17"/>
  <c r="M27" i="17"/>
  <c r="T27" i="17"/>
  <c r="U26" i="17"/>
  <c r="N26" i="17"/>
  <c r="O26" i="17" s="1"/>
  <c r="M18" i="17"/>
  <c r="T18" i="17"/>
  <c r="M28" i="17"/>
  <c r="T28" i="17"/>
  <c r="M23" i="17"/>
  <c r="T23" i="17"/>
  <c r="F24" i="16"/>
  <c r="M24" i="16" s="1"/>
  <c r="M17" i="16"/>
  <c r="T17" i="16"/>
  <c r="M20" i="16"/>
  <c r="T20" i="16"/>
  <c r="F27" i="16"/>
  <c r="F23" i="16"/>
  <c r="F1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F26" i="16"/>
  <c r="F22" i="16"/>
  <c r="F18" i="16"/>
  <c r="F28" i="16"/>
  <c r="F25" i="16"/>
  <c r="F21" i="16"/>
  <c r="I18" i="12"/>
  <c r="I19" i="12"/>
  <c r="I20" i="12"/>
  <c r="I21" i="12"/>
  <c r="I22" i="12"/>
  <c r="I23" i="12"/>
  <c r="I24" i="12"/>
  <c r="I25" i="12"/>
  <c r="I26" i="12"/>
  <c r="I27" i="12"/>
  <c r="I28" i="12"/>
  <c r="I17" i="12"/>
  <c r="I18" i="11"/>
  <c r="I19" i="11"/>
  <c r="I20" i="11"/>
  <c r="I21" i="11"/>
  <c r="I22" i="11"/>
  <c r="I23" i="11"/>
  <c r="I24" i="11"/>
  <c r="I25" i="11"/>
  <c r="I26" i="11"/>
  <c r="I27" i="11"/>
  <c r="I28" i="11"/>
  <c r="I17" i="11"/>
  <c r="I18" i="10"/>
  <c r="I19" i="10"/>
  <c r="I20" i="10"/>
  <c r="I21" i="10"/>
  <c r="I22" i="10"/>
  <c r="I23" i="10"/>
  <c r="I24" i="10"/>
  <c r="I25" i="10"/>
  <c r="I26" i="10"/>
  <c r="I27" i="10"/>
  <c r="I28" i="10"/>
  <c r="I17" i="10"/>
  <c r="I18" i="6"/>
  <c r="I19" i="6"/>
  <c r="I20" i="6"/>
  <c r="I21" i="6"/>
  <c r="I22" i="6"/>
  <c r="I23" i="6"/>
  <c r="I24" i="6"/>
  <c r="I25" i="6"/>
  <c r="I26" i="6"/>
  <c r="I27" i="6"/>
  <c r="I28" i="6"/>
  <c r="I17" i="6"/>
  <c r="V19" i="18" l="1"/>
  <c r="P19" i="18"/>
  <c r="S19" i="18" s="1"/>
  <c r="V23" i="18"/>
  <c r="P23" i="18"/>
  <c r="S23" i="18" s="1"/>
  <c r="V28" i="18"/>
  <c r="P28" i="18"/>
  <c r="S28" i="18" s="1"/>
  <c r="V25" i="18"/>
  <c r="P25" i="18"/>
  <c r="S25" i="18" s="1"/>
  <c r="V24" i="18"/>
  <c r="P24" i="18"/>
  <c r="S24" i="18" s="1"/>
  <c r="V21" i="18"/>
  <c r="P21" i="18"/>
  <c r="S21" i="18" s="1"/>
  <c r="V17" i="18"/>
  <c r="P17" i="18"/>
  <c r="S17" i="18" s="1"/>
  <c r="V20" i="18"/>
  <c r="P20" i="18"/>
  <c r="S20" i="18" s="1"/>
  <c r="U23" i="17"/>
  <c r="N23" i="17"/>
  <c r="O23" i="17" s="1"/>
  <c r="U18" i="17"/>
  <c r="N18" i="17"/>
  <c r="O18" i="17" s="1"/>
  <c r="U27" i="17"/>
  <c r="N27" i="17"/>
  <c r="O27" i="17" s="1"/>
  <c r="U22" i="17"/>
  <c r="N22" i="17"/>
  <c r="O22" i="17" s="1"/>
  <c r="U21" i="17"/>
  <c r="N21" i="17"/>
  <c r="O21" i="17" s="1"/>
  <c r="U24" i="17"/>
  <c r="N24" i="17"/>
  <c r="O24" i="17" s="1"/>
  <c r="V26" i="17"/>
  <c r="P26" i="17"/>
  <c r="S26" i="17" s="1"/>
  <c r="U28" i="17"/>
  <c r="N28" i="17"/>
  <c r="O28" i="17" s="1"/>
  <c r="U17" i="17"/>
  <c r="N17" i="17"/>
  <c r="O17" i="17" s="1"/>
  <c r="U20" i="17"/>
  <c r="N20" i="17"/>
  <c r="O20" i="17" s="1"/>
  <c r="U19" i="17"/>
  <c r="N19" i="17"/>
  <c r="O19" i="17" s="1"/>
  <c r="U25" i="17"/>
  <c r="N25" i="17"/>
  <c r="O25" i="17" s="1"/>
  <c r="T24" i="16"/>
  <c r="M19" i="16"/>
  <c r="T19" i="16"/>
  <c r="U20" i="16"/>
  <c r="N20" i="16"/>
  <c r="O20" i="16" s="1"/>
  <c r="U17" i="16"/>
  <c r="N17" i="16"/>
  <c r="O17" i="16" s="1"/>
  <c r="M18" i="16"/>
  <c r="T18" i="16"/>
  <c r="M23" i="16"/>
  <c r="T23" i="16"/>
  <c r="M21" i="16"/>
  <c r="T21" i="16"/>
  <c r="M22" i="16"/>
  <c r="T22" i="16"/>
  <c r="M27" i="16"/>
  <c r="T27" i="16"/>
  <c r="U24" i="16"/>
  <c r="N24" i="16"/>
  <c r="O24" i="16" s="1"/>
  <c r="M25" i="16"/>
  <c r="T25" i="16"/>
  <c r="M26" i="16"/>
  <c r="T26" i="16"/>
  <c r="M28" i="16"/>
  <c r="T28" i="16"/>
  <c r="A31" i="15"/>
  <c r="A32" i="15"/>
  <c r="A33" i="15"/>
  <c r="A34" i="15"/>
  <c r="A35" i="15"/>
  <c r="A36" i="15"/>
  <c r="A37" i="15"/>
  <c r="A38" i="15"/>
  <c r="A39" i="15"/>
  <c r="A40" i="15"/>
  <c r="A41" i="15"/>
  <c r="A30" i="15"/>
  <c r="B18" i="15"/>
  <c r="B19" i="15"/>
  <c r="J19" i="15"/>
  <c r="K19" i="15" s="1"/>
  <c r="V19" i="15" s="1"/>
  <c r="B20" i="15"/>
  <c r="B21" i="15"/>
  <c r="B22" i="15"/>
  <c r="B23" i="15"/>
  <c r="B24" i="15"/>
  <c r="B25" i="15"/>
  <c r="B26" i="15"/>
  <c r="B27" i="15"/>
  <c r="B28" i="15"/>
  <c r="B17" i="15"/>
  <c r="R28" i="15"/>
  <c r="L28" i="15"/>
  <c r="I28" i="15"/>
  <c r="R27" i="15"/>
  <c r="L27" i="15"/>
  <c r="I27" i="15"/>
  <c r="J27" i="15"/>
  <c r="K27" i="15" s="1"/>
  <c r="V27" i="15" s="1"/>
  <c r="R26" i="15"/>
  <c r="L26" i="15"/>
  <c r="I26" i="15"/>
  <c r="J26" i="15" s="1"/>
  <c r="K26" i="15" s="1"/>
  <c r="V26" i="15" s="1"/>
  <c r="R25" i="15"/>
  <c r="L25" i="15"/>
  <c r="J25" i="15"/>
  <c r="K25" i="15" s="1"/>
  <c r="V25" i="15" s="1"/>
  <c r="I25" i="15"/>
  <c r="R24" i="15"/>
  <c r="L24" i="15"/>
  <c r="I24" i="15"/>
  <c r="R23" i="15"/>
  <c r="L23" i="15"/>
  <c r="J23" i="15"/>
  <c r="K23" i="15"/>
  <c r="V23" i="15" s="1"/>
  <c r="I23" i="15"/>
  <c r="R22" i="15"/>
  <c r="L22" i="15"/>
  <c r="I22" i="15"/>
  <c r="J22" i="15" s="1"/>
  <c r="K22" i="15" s="1"/>
  <c r="V22" i="15" s="1"/>
  <c r="R21" i="15"/>
  <c r="L21" i="15"/>
  <c r="I21" i="15"/>
  <c r="J21" i="15" s="1"/>
  <c r="K21" i="15" s="1"/>
  <c r="V21" i="15" s="1"/>
  <c r="R20" i="15"/>
  <c r="L20" i="15"/>
  <c r="I20" i="15"/>
  <c r="R19" i="15"/>
  <c r="L19" i="15"/>
  <c r="I19" i="15"/>
  <c r="R18" i="15"/>
  <c r="L18" i="15"/>
  <c r="I18" i="15"/>
  <c r="R17" i="15"/>
  <c r="L17" i="15"/>
  <c r="J17" i="15"/>
  <c r="K17" i="15" s="1"/>
  <c r="V17" i="15" s="1"/>
  <c r="I17" i="15"/>
  <c r="F14" i="15"/>
  <c r="I9" i="15"/>
  <c r="F13" i="15"/>
  <c r="F12" i="15"/>
  <c r="F11" i="15"/>
  <c r="F10" i="15"/>
  <c r="F9" i="15"/>
  <c r="F8" i="15"/>
  <c r="F7" i="15"/>
  <c r="F6" i="15"/>
  <c r="F5" i="15"/>
  <c r="F4" i="15"/>
  <c r="F3" i="15"/>
  <c r="J18" i="15"/>
  <c r="K18" i="15" s="1"/>
  <c r="V18" i="15" s="1"/>
  <c r="J20" i="15"/>
  <c r="K20" i="15" s="1"/>
  <c r="V20" i="15" s="1"/>
  <c r="J24" i="15"/>
  <c r="K24" i="15" s="1"/>
  <c r="V24" i="15" s="1"/>
  <c r="I13" i="15"/>
  <c r="I10" i="15"/>
  <c r="F21" i="15"/>
  <c r="I12" i="15"/>
  <c r="R28" i="12"/>
  <c r="L28" i="12"/>
  <c r="J28" i="12"/>
  <c r="K28" i="12" s="1"/>
  <c r="V28" i="12" s="1"/>
  <c r="R27" i="12"/>
  <c r="L27" i="12"/>
  <c r="J27" i="12"/>
  <c r="K27" i="12" s="1"/>
  <c r="V27" i="12" s="1"/>
  <c r="R26" i="12"/>
  <c r="S26" i="12" s="1"/>
  <c r="L26" i="12"/>
  <c r="J26" i="12"/>
  <c r="K26" i="12" s="1"/>
  <c r="V26" i="12" s="1"/>
  <c r="R25" i="12"/>
  <c r="L25" i="12"/>
  <c r="J25" i="12"/>
  <c r="K25" i="12" s="1"/>
  <c r="V25" i="12" s="1"/>
  <c r="R24" i="12"/>
  <c r="L24" i="12"/>
  <c r="J24" i="12"/>
  <c r="K24" i="12" s="1"/>
  <c r="V24" i="12" s="1"/>
  <c r="R23" i="12"/>
  <c r="L23" i="12"/>
  <c r="J23" i="12"/>
  <c r="K23" i="12" s="1"/>
  <c r="V23" i="12" s="1"/>
  <c r="R22" i="12"/>
  <c r="L22" i="12"/>
  <c r="J22" i="12"/>
  <c r="K22" i="12" s="1"/>
  <c r="V22" i="12" s="1"/>
  <c r="R21" i="12"/>
  <c r="L21" i="12"/>
  <c r="J21" i="12"/>
  <c r="K21" i="12" s="1"/>
  <c r="V21" i="12" s="1"/>
  <c r="R20" i="12"/>
  <c r="L20" i="12"/>
  <c r="J20" i="12"/>
  <c r="K20" i="12" s="1"/>
  <c r="V20" i="12" s="1"/>
  <c r="R19" i="12"/>
  <c r="S19" i="12" s="1"/>
  <c r="L19" i="12"/>
  <c r="J19" i="12"/>
  <c r="K19" i="12" s="1"/>
  <c r="V19" i="12" s="1"/>
  <c r="R18" i="12"/>
  <c r="L18" i="12"/>
  <c r="J18" i="12"/>
  <c r="K18" i="12" s="1"/>
  <c r="V18" i="12" s="1"/>
  <c r="R17" i="12"/>
  <c r="L17" i="12"/>
  <c r="J17" i="12"/>
  <c r="K17" i="12" s="1"/>
  <c r="V17" i="12" s="1"/>
  <c r="F14" i="12"/>
  <c r="F13" i="12"/>
  <c r="F12" i="12"/>
  <c r="F11" i="12"/>
  <c r="F10" i="12"/>
  <c r="F9" i="12"/>
  <c r="F8" i="12"/>
  <c r="F7" i="12"/>
  <c r="F6" i="12"/>
  <c r="F5" i="12"/>
  <c r="F4" i="12"/>
  <c r="F3" i="12"/>
  <c r="I9" i="12"/>
  <c r="R28" i="11"/>
  <c r="L28" i="11"/>
  <c r="J28" i="11"/>
  <c r="K28" i="11" s="1"/>
  <c r="V28" i="11" s="1"/>
  <c r="R27" i="11"/>
  <c r="L27" i="11"/>
  <c r="J27" i="11"/>
  <c r="K27" i="11" s="1"/>
  <c r="V27" i="11" s="1"/>
  <c r="R26" i="11"/>
  <c r="L26" i="11"/>
  <c r="J26" i="11"/>
  <c r="K26" i="11" s="1"/>
  <c r="V26" i="11" s="1"/>
  <c r="R25" i="11"/>
  <c r="L25" i="11"/>
  <c r="J25" i="11"/>
  <c r="K25" i="11"/>
  <c r="V25" i="11" s="1"/>
  <c r="R24" i="11"/>
  <c r="L24" i="11"/>
  <c r="J24" i="11"/>
  <c r="K24" i="11" s="1"/>
  <c r="V24" i="11" s="1"/>
  <c r="R23" i="11"/>
  <c r="L23" i="11"/>
  <c r="J23" i="11"/>
  <c r="K23" i="11" s="1"/>
  <c r="V23" i="11" s="1"/>
  <c r="R22" i="11"/>
  <c r="L22" i="11"/>
  <c r="J22" i="11"/>
  <c r="K22" i="11" s="1"/>
  <c r="V22" i="11" s="1"/>
  <c r="R21" i="11"/>
  <c r="L21" i="11"/>
  <c r="J21" i="11"/>
  <c r="K21" i="11" s="1"/>
  <c r="V21" i="11" s="1"/>
  <c r="R20" i="11"/>
  <c r="L20" i="11"/>
  <c r="J20" i="11"/>
  <c r="K20" i="11" s="1"/>
  <c r="V20" i="11" s="1"/>
  <c r="R19" i="11"/>
  <c r="L19" i="11"/>
  <c r="J19" i="11"/>
  <c r="K19" i="11" s="1"/>
  <c r="V19" i="11" s="1"/>
  <c r="R18" i="11"/>
  <c r="L18" i="11"/>
  <c r="J18" i="11"/>
  <c r="K18" i="11" s="1"/>
  <c r="V18" i="11" s="1"/>
  <c r="R17" i="11"/>
  <c r="L17" i="11"/>
  <c r="J17" i="11"/>
  <c r="K17" i="11" s="1"/>
  <c r="V17" i="11" s="1"/>
  <c r="F14" i="11"/>
  <c r="F13" i="11"/>
  <c r="F12" i="11"/>
  <c r="F11" i="11"/>
  <c r="F10" i="11"/>
  <c r="F9" i="11"/>
  <c r="F8" i="11"/>
  <c r="F7" i="11"/>
  <c r="F6" i="11"/>
  <c r="F5" i="11"/>
  <c r="F4" i="11"/>
  <c r="F3" i="11"/>
  <c r="I9" i="11"/>
  <c r="F17" i="15"/>
  <c r="T17" i="15"/>
  <c r="F27" i="15"/>
  <c r="M27" i="15"/>
  <c r="F24" i="15"/>
  <c r="M24" i="15"/>
  <c r="F26" i="15"/>
  <c r="F23" i="15"/>
  <c r="M23" i="15"/>
  <c r="F20" i="15"/>
  <c r="M20" i="15"/>
  <c r="F22" i="15"/>
  <c r="M22" i="15"/>
  <c r="F19" i="15"/>
  <c r="T19" i="15"/>
  <c r="F25" i="15"/>
  <c r="M25" i="15"/>
  <c r="F18" i="15"/>
  <c r="M18" i="15"/>
  <c r="F28" i="15"/>
  <c r="M28" i="15"/>
  <c r="M21" i="15"/>
  <c r="T21" i="15"/>
  <c r="T23" i="15"/>
  <c r="T20" i="15"/>
  <c r="G27" i="15"/>
  <c r="G23" i="15"/>
  <c r="G19" i="15"/>
  <c r="G28" i="15"/>
  <c r="G24" i="15"/>
  <c r="G20" i="15"/>
  <c r="G25" i="15"/>
  <c r="G21" i="15"/>
  <c r="G17" i="15"/>
  <c r="G26" i="15"/>
  <c r="G22" i="15"/>
  <c r="G18" i="15"/>
  <c r="I12" i="12"/>
  <c r="I10" i="12"/>
  <c r="F18" i="12"/>
  <c r="I13" i="12"/>
  <c r="I12" i="11"/>
  <c r="I10" i="11"/>
  <c r="F22" i="11"/>
  <c r="I13" i="11"/>
  <c r="R28" i="10"/>
  <c r="L28" i="10"/>
  <c r="J28" i="10"/>
  <c r="K28" i="10" s="1"/>
  <c r="V28" i="10" s="1"/>
  <c r="R27" i="10"/>
  <c r="L27" i="10"/>
  <c r="J27" i="10"/>
  <c r="K27" i="10" s="1"/>
  <c r="V27" i="10" s="1"/>
  <c r="R26" i="10"/>
  <c r="L26" i="10"/>
  <c r="J26" i="10"/>
  <c r="K26" i="10" s="1"/>
  <c r="V26" i="10" s="1"/>
  <c r="R25" i="10"/>
  <c r="L25" i="10"/>
  <c r="J25" i="10"/>
  <c r="K25" i="10"/>
  <c r="R24" i="10"/>
  <c r="L24" i="10"/>
  <c r="J24" i="10"/>
  <c r="K24" i="10" s="1"/>
  <c r="V24" i="10" s="1"/>
  <c r="R23" i="10"/>
  <c r="L23" i="10"/>
  <c r="J23" i="10"/>
  <c r="K23" i="10" s="1"/>
  <c r="V23" i="10" s="1"/>
  <c r="R22" i="10"/>
  <c r="L22" i="10"/>
  <c r="J22" i="10"/>
  <c r="K22" i="10" s="1"/>
  <c r="V22" i="10" s="1"/>
  <c r="R21" i="10"/>
  <c r="L21" i="10"/>
  <c r="J21" i="10"/>
  <c r="K21" i="10" s="1"/>
  <c r="V21" i="10" s="1"/>
  <c r="R20" i="10"/>
  <c r="L20" i="10"/>
  <c r="J20" i="10"/>
  <c r="K20" i="10" s="1"/>
  <c r="V20" i="10" s="1"/>
  <c r="R19" i="10"/>
  <c r="L19" i="10"/>
  <c r="J19" i="10"/>
  <c r="K19" i="10" s="1"/>
  <c r="V19" i="10" s="1"/>
  <c r="R18" i="10"/>
  <c r="L18" i="10"/>
  <c r="J18" i="10"/>
  <c r="K18" i="10" s="1"/>
  <c r="V18" i="10" s="1"/>
  <c r="R17" i="10"/>
  <c r="L17" i="10"/>
  <c r="J17" i="10"/>
  <c r="K17" i="10"/>
  <c r="F14" i="10"/>
  <c r="F13" i="10"/>
  <c r="F12" i="10"/>
  <c r="F11" i="10"/>
  <c r="F10" i="10"/>
  <c r="F9" i="10"/>
  <c r="F8" i="10"/>
  <c r="F7" i="10"/>
  <c r="F6" i="10"/>
  <c r="F5" i="10"/>
  <c r="F4" i="10"/>
  <c r="F3" i="10"/>
  <c r="I9" i="10"/>
  <c r="T22" i="15"/>
  <c r="M17" i="15"/>
  <c r="N17" i="15"/>
  <c r="O17" i="15"/>
  <c r="T27" i="15"/>
  <c r="T25" i="15"/>
  <c r="T28" i="15"/>
  <c r="T24" i="15"/>
  <c r="T18" i="15"/>
  <c r="M26" i="15"/>
  <c r="T26" i="15"/>
  <c r="M19" i="15"/>
  <c r="U19" i="15"/>
  <c r="U28" i="15"/>
  <c r="N28" i="15"/>
  <c r="O28" i="15"/>
  <c r="U20" i="15"/>
  <c r="N20" i="15"/>
  <c r="O20" i="15"/>
  <c r="U24" i="15"/>
  <c r="N24" i="15"/>
  <c r="O24" i="15"/>
  <c r="N21" i="15"/>
  <c r="O21" i="15"/>
  <c r="U21" i="15"/>
  <c r="N22" i="15"/>
  <c r="O22" i="15"/>
  <c r="U22" i="15"/>
  <c r="U23" i="15"/>
  <c r="N23" i="15"/>
  <c r="O23" i="15"/>
  <c r="U27" i="15"/>
  <c r="N27" i="15"/>
  <c r="O27" i="15"/>
  <c r="N18" i="15"/>
  <c r="O18" i="15"/>
  <c r="U18" i="15"/>
  <c r="N25" i="15"/>
  <c r="O25" i="15"/>
  <c r="U25" i="15"/>
  <c r="T18" i="12"/>
  <c r="M18" i="12"/>
  <c r="F25" i="12"/>
  <c r="F19" i="12"/>
  <c r="F22" i="12"/>
  <c r="G27" i="12"/>
  <c r="G23" i="12"/>
  <c r="G19" i="12"/>
  <c r="G28" i="12"/>
  <c r="G24" i="12"/>
  <c r="G20" i="12"/>
  <c r="G25" i="12"/>
  <c r="G21" i="12"/>
  <c r="G17" i="12"/>
  <c r="G26" i="12"/>
  <c r="G22" i="12"/>
  <c r="G18" i="12"/>
  <c r="F20" i="12"/>
  <c r="F23" i="12"/>
  <c r="F26" i="12"/>
  <c r="F17" i="12"/>
  <c r="F24" i="12"/>
  <c r="F27" i="12"/>
  <c r="F21" i="12"/>
  <c r="F28" i="12"/>
  <c r="T22" i="11"/>
  <c r="M22" i="11"/>
  <c r="F20" i="11"/>
  <c r="F23" i="11"/>
  <c r="F26" i="11"/>
  <c r="F17" i="11"/>
  <c r="F24" i="11"/>
  <c r="F27" i="11"/>
  <c r="G27" i="11"/>
  <c r="G23" i="11"/>
  <c r="G19" i="11"/>
  <c r="G28" i="11"/>
  <c r="G24" i="11"/>
  <c r="G20" i="11"/>
  <c r="G25" i="11"/>
  <c r="G21" i="11"/>
  <c r="G17" i="11"/>
  <c r="G26" i="11"/>
  <c r="G22" i="11"/>
  <c r="G18" i="11"/>
  <c r="F21" i="11"/>
  <c r="F28" i="11"/>
  <c r="F18" i="11"/>
  <c r="F25" i="11"/>
  <c r="F19" i="11"/>
  <c r="I12" i="10"/>
  <c r="I10" i="10"/>
  <c r="F18" i="10"/>
  <c r="I13" i="10"/>
  <c r="Q6" i="4"/>
  <c r="Q7" i="4"/>
  <c r="Q8" i="4"/>
  <c r="T8" i="4"/>
  <c r="Q9" i="4"/>
  <c r="Q10" i="4"/>
  <c r="T6" i="4"/>
  <c r="T7" i="4"/>
  <c r="T9" i="4"/>
  <c r="T10" i="4"/>
  <c r="S20" i="4"/>
  <c r="S21" i="4"/>
  <c r="S22" i="4"/>
  <c r="S23" i="4"/>
  <c r="S24" i="4"/>
  <c r="U17" i="15"/>
  <c r="N19" i="15"/>
  <c r="O19" i="15"/>
  <c r="N26" i="15"/>
  <c r="O26" i="15"/>
  <c r="U26" i="15"/>
  <c r="P25" i="15"/>
  <c r="S25" i="15"/>
  <c r="P22" i="15"/>
  <c r="S22" i="15"/>
  <c r="P23" i="15"/>
  <c r="S23" i="15"/>
  <c r="P28" i="15"/>
  <c r="S28" i="15"/>
  <c r="P17" i="15"/>
  <c r="S17" i="15"/>
  <c r="P18" i="15"/>
  <c r="S18" i="15"/>
  <c r="P21" i="15"/>
  <c r="S21" i="15"/>
  <c r="P27" i="15"/>
  <c r="S27" i="15"/>
  <c r="P24" i="15"/>
  <c r="S24" i="15"/>
  <c r="P20" i="15"/>
  <c r="S20" i="15"/>
  <c r="T27" i="12"/>
  <c r="M27" i="12"/>
  <c r="T23" i="12"/>
  <c r="M23" i="12"/>
  <c r="M25" i="12"/>
  <c r="T25" i="12"/>
  <c r="M24" i="12"/>
  <c r="T24" i="12"/>
  <c r="M20" i="12"/>
  <c r="T20" i="12"/>
  <c r="N18" i="12"/>
  <c r="O18" i="12"/>
  <c r="U18" i="12"/>
  <c r="M28" i="12"/>
  <c r="T28" i="12"/>
  <c r="M17" i="12"/>
  <c r="T17" i="12"/>
  <c r="T22" i="12"/>
  <c r="M22" i="12"/>
  <c r="M21" i="12"/>
  <c r="T21" i="12"/>
  <c r="T26" i="12"/>
  <c r="M26" i="12"/>
  <c r="T19" i="12"/>
  <c r="M19" i="12"/>
  <c r="T18" i="11"/>
  <c r="M18" i="11"/>
  <c r="M24" i="11"/>
  <c r="T24" i="11"/>
  <c r="M20" i="11"/>
  <c r="T20" i="11"/>
  <c r="M28" i="11"/>
  <c r="T28" i="11"/>
  <c r="M17" i="11"/>
  <c r="T17" i="11"/>
  <c r="N22" i="11"/>
  <c r="O22" i="11"/>
  <c r="U22" i="11"/>
  <c r="T19" i="11"/>
  <c r="M19" i="11"/>
  <c r="M21" i="11"/>
  <c r="T21" i="11"/>
  <c r="T26" i="11"/>
  <c r="M26" i="11"/>
  <c r="M25" i="11"/>
  <c r="T25" i="11"/>
  <c r="T27" i="11"/>
  <c r="M27" i="11"/>
  <c r="T23" i="11"/>
  <c r="M23" i="11"/>
  <c r="F23" i="10"/>
  <c r="T23" i="10"/>
  <c r="F22" i="10"/>
  <c r="T22" i="10"/>
  <c r="F25" i="10"/>
  <c r="M25" i="10"/>
  <c r="F26" i="10"/>
  <c r="T26" i="10"/>
  <c r="F20" i="10"/>
  <c r="T20" i="10"/>
  <c r="F19" i="10"/>
  <c r="M19" i="10"/>
  <c r="T18" i="10"/>
  <c r="M18" i="10"/>
  <c r="M26" i="10"/>
  <c r="F17" i="10"/>
  <c r="F24" i="10"/>
  <c r="F27" i="10"/>
  <c r="G27" i="10"/>
  <c r="G23" i="10"/>
  <c r="G19" i="10"/>
  <c r="G28" i="10"/>
  <c r="G24" i="10"/>
  <c r="G20" i="10"/>
  <c r="G25" i="10"/>
  <c r="G21" i="10"/>
  <c r="G17" i="10"/>
  <c r="G26" i="10"/>
  <c r="G22" i="10"/>
  <c r="G18" i="10"/>
  <c r="F21" i="10"/>
  <c r="F28" i="10"/>
  <c r="S19" i="4"/>
  <c r="P19" i="15"/>
  <c r="S19" i="15"/>
  <c r="P26" i="15"/>
  <c r="S26" i="15"/>
  <c r="N21" i="12"/>
  <c r="O21" i="12"/>
  <c r="U21" i="12"/>
  <c r="N17" i="12"/>
  <c r="O17" i="12"/>
  <c r="U17" i="12"/>
  <c r="P18" i="12"/>
  <c r="S18" i="12"/>
  <c r="U24" i="12"/>
  <c r="N24" i="12"/>
  <c r="O24" i="12"/>
  <c r="N26" i="12"/>
  <c r="O26" i="12"/>
  <c r="U26" i="12"/>
  <c r="N22" i="12"/>
  <c r="O22" i="12"/>
  <c r="U22" i="12"/>
  <c r="U27" i="12"/>
  <c r="N27" i="12"/>
  <c r="O27" i="12"/>
  <c r="U28" i="12"/>
  <c r="N28" i="12"/>
  <c r="O28" i="12"/>
  <c r="U20" i="12"/>
  <c r="N20" i="12"/>
  <c r="O20" i="12"/>
  <c r="N25" i="12"/>
  <c r="O25" i="12"/>
  <c r="U25" i="12"/>
  <c r="U19" i="12"/>
  <c r="N19" i="12"/>
  <c r="O19" i="12"/>
  <c r="U23" i="12"/>
  <c r="N23" i="12"/>
  <c r="O23" i="12"/>
  <c r="N25" i="11"/>
  <c r="O25" i="11"/>
  <c r="U25" i="11"/>
  <c r="N21" i="11"/>
  <c r="O21" i="11"/>
  <c r="U21" i="11"/>
  <c r="P22" i="11"/>
  <c r="S22" i="11"/>
  <c r="U28" i="11"/>
  <c r="N28" i="11"/>
  <c r="O28" i="11"/>
  <c r="U24" i="11"/>
  <c r="N24" i="11"/>
  <c r="O24" i="11"/>
  <c r="U27" i="11"/>
  <c r="N27" i="11"/>
  <c r="O27" i="11"/>
  <c r="N26" i="11"/>
  <c r="O26" i="11"/>
  <c r="U26" i="11"/>
  <c r="U19" i="11"/>
  <c r="N19" i="11"/>
  <c r="O19" i="11"/>
  <c r="N18" i="11"/>
  <c r="O18" i="11"/>
  <c r="U18" i="11"/>
  <c r="N17" i="11"/>
  <c r="O17" i="11"/>
  <c r="U17" i="11"/>
  <c r="U20" i="11"/>
  <c r="N20" i="11"/>
  <c r="O20" i="11"/>
  <c r="U23" i="11"/>
  <c r="N23" i="11"/>
  <c r="O23" i="11"/>
  <c r="M23" i="10"/>
  <c r="N23" i="10"/>
  <c r="O23" i="10"/>
  <c r="M20" i="10"/>
  <c r="M22" i="10"/>
  <c r="N22" i="10"/>
  <c r="O22" i="10"/>
  <c r="T19" i="10"/>
  <c r="T25" i="10"/>
  <c r="M28" i="10"/>
  <c r="T28" i="10"/>
  <c r="M17" i="10"/>
  <c r="T17" i="10"/>
  <c r="N25" i="10"/>
  <c r="O25" i="10"/>
  <c r="U25" i="10"/>
  <c r="M21" i="10"/>
  <c r="T21" i="10"/>
  <c r="N26" i="10"/>
  <c r="O26" i="10"/>
  <c r="U26" i="10"/>
  <c r="U19" i="10"/>
  <c r="N19" i="10"/>
  <c r="O19" i="10"/>
  <c r="N18" i="10"/>
  <c r="O18" i="10"/>
  <c r="U18" i="10"/>
  <c r="T27" i="10"/>
  <c r="M27" i="10"/>
  <c r="U20" i="10"/>
  <c r="N20" i="10"/>
  <c r="O20" i="10"/>
  <c r="M24" i="10"/>
  <c r="T24" i="10"/>
  <c r="U23" i="10"/>
  <c r="I6" i="4"/>
  <c r="I7" i="4"/>
  <c r="I8" i="4"/>
  <c r="I9" i="4"/>
  <c r="I10" i="4"/>
  <c r="H6" i="4"/>
  <c r="H7" i="4"/>
  <c r="H8" i="4"/>
  <c r="H9" i="4"/>
  <c r="H10" i="4"/>
  <c r="D6" i="4"/>
  <c r="D7" i="4"/>
  <c r="D8" i="4"/>
  <c r="D9" i="4"/>
  <c r="D10" i="4"/>
  <c r="D11" i="4"/>
  <c r="I11" i="4"/>
  <c r="D12" i="4"/>
  <c r="I12" i="4"/>
  <c r="D13" i="4"/>
  <c r="I13" i="4"/>
  <c r="D14" i="4"/>
  <c r="I14" i="4"/>
  <c r="D15" i="4"/>
  <c r="I15" i="4"/>
  <c r="D16" i="4"/>
  <c r="I16" i="4"/>
  <c r="P25" i="12"/>
  <c r="S25" i="12"/>
  <c r="P22" i="12"/>
  <c r="S22" i="12"/>
  <c r="P17" i="12"/>
  <c r="S17" i="12"/>
  <c r="P19" i="12"/>
  <c r="P20" i="12"/>
  <c r="S20" i="12"/>
  <c r="P27" i="12"/>
  <c r="S27" i="12"/>
  <c r="P26" i="12"/>
  <c r="P21" i="12"/>
  <c r="S21" i="12"/>
  <c r="P23" i="12"/>
  <c r="S23" i="12"/>
  <c r="P28" i="12"/>
  <c r="S28" i="12"/>
  <c r="P24" i="12"/>
  <c r="S24" i="12"/>
  <c r="P17" i="11"/>
  <c r="S17" i="11"/>
  <c r="P21" i="11"/>
  <c r="S21" i="11"/>
  <c r="P20" i="11"/>
  <c r="S20" i="11"/>
  <c r="P24" i="11"/>
  <c r="S24" i="11"/>
  <c r="P18" i="11"/>
  <c r="S18" i="11"/>
  <c r="P26" i="11"/>
  <c r="S26" i="11"/>
  <c r="P25" i="11"/>
  <c r="S25" i="11"/>
  <c r="P23" i="11"/>
  <c r="S23" i="11"/>
  <c r="P19" i="11"/>
  <c r="S19" i="11"/>
  <c r="P27" i="11"/>
  <c r="S27" i="11"/>
  <c r="P28" i="11"/>
  <c r="S28" i="11"/>
  <c r="U22" i="10"/>
  <c r="P22" i="10"/>
  <c r="S22" i="10"/>
  <c r="U24" i="10"/>
  <c r="N24" i="10"/>
  <c r="O24" i="10"/>
  <c r="N21" i="10"/>
  <c r="O21" i="10"/>
  <c r="U21" i="10"/>
  <c r="N17" i="10"/>
  <c r="O17" i="10"/>
  <c r="U17" i="10"/>
  <c r="P23" i="10"/>
  <c r="S23" i="10"/>
  <c r="P20" i="10"/>
  <c r="S20" i="10"/>
  <c r="P18" i="10"/>
  <c r="S18" i="10"/>
  <c r="P26" i="10"/>
  <c r="S26" i="10"/>
  <c r="V25" i="10"/>
  <c r="P25" i="10"/>
  <c r="S25" i="10"/>
  <c r="U28" i="10"/>
  <c r="N28" i="10"/>
  <c r="O28" i="10"/>
  <c r="U27" i="10"/>
  <c r="N27" i="10"/>
  <c r="O27" i="10"/>
  <c r="P19" i="10"/>
  <c r="S19" i="10"/>
  <c r="I5" i="4"/>
  <c r="H5" i="4"/>
  <c r="D5" i="4"/>
  <c r="L4" i="1"/>
  <c r="L5" i="1"/>
  <c r="L6" i="1"/>
  <c r="L7" i="1"/>
  <c r="L3" i="1"/>
  <c r="G5" i="4"/>
  <c r="K4" i="1"/>
  <c r="K5" i="1"/>
  <c r="K6" i="1"/>
  <c r="K7" i="1"/>
  <c r="K3" i="1"/>
  <c r="J4" i="1"/>
  <c r="J5" i="1"/>
  <c r="J6" i="1"/>
  <c r="J7" i="1"/>
  <c r="J3" i="1"/>
  <c r="I13" i="6"/>
  <c r="I12" i="6"/>
  <c r="I10" i="6"/>
  <c r="I9" i="6"/>
  <c r="F14" i="6"/>
  <c r="V17" i="10"/>
  <c r="P17" i="10"/>
  <c r="S17" i="10"/>
  <c r="P27" i="10"/>
  <c r="S27" i="10"/>
  <c r="P21" i="10"/>
  <c r="S21" i="10"/>
  <c r="P28" i="10"/>
  <c r="S28" i="10"/>
  <c r="P24" i="10"/>
  <c r="S24" i="10"/>
  <c r="J24" i="6"/>
  <c r="K24" i="6" s="1"/>
  <c r="V24" i="6" s="1"/>
  <c r="J18" i="6"/>
  <c r="K18" i="6" s="1"/>
  <c r="V18" i="6" s="1"/>
  <c r="J19" i="6"/>
  <c r="K19" i="6"/>
  <c r="V19" i="6" s="1"/>
  <c r="J20" i="6"/>
  <c r="K20" i="6" s="1"/>
  <c r="V20" i="6" s="1"/>
  <c r="J21" i="6"/>
  <c r="K21" i="6" s="1"/>
  <c r="V21" i="6" s="1"/>
  <c r="J22" i="6"/>
  <c r="K22" i="6" s="1"/>
  <c r="V22" i="6" s="1"/>
  <c r="J23" i="6"/>
  <c r="K23" i="6"/>
  <c r="V23" i="6" s="1"/>
  <c r="J25" i="6"/>
  <c r="K25" i="6"/>
  <c r="V25" i="6" s="1"/>
  <c r="J26" i="6"/>
  <c r="K26" i="6"/>
  <c r="V26" i="6" s="1"/>
  <c r="J27" i="6"/>
  <c r="K27" i="6" s="1"/>
  <c r="V27" i="6" s="1"/>
  <c r="J28" i="6"/>
  <c r="K28" i="6" s="1"/>
  <c r="V28" i="6" s="1"/>
  <c r="J17" i="6"/>
  <c r="K17" i="6" s="1"/>
  <c r="V17" i="6" s="1"/>
  <c r="R26" i="6"/>
  <c r="R28" i="6"/>
  <c r="R27" i="6"/>
  <c r="R25" i="6"/>
  <c r="R24" i="6"/>
  <c r="R23" i="6"/>
  <c r="R22" i="6"/>
  <c r="R21" i="6"/>
  <c r="R20" i="6"/>
  <c r="R19" i="6"/>
  <c r="R18" i="6"/>
  <c r="R17" i="6"/>
  <c r="F13" i="6"/>
  <c r="F12" i="6"/>
  <c r="F11" i="6"/>
  <c r="F10" i="6"/>
  <c r="F9" i="6"/>
  <c r="F8" i="6"/>
  <c r="F7" i="6"/>
  <c r="F6" i="6"/>
  <c r="F5" i="6"/>
  <c r="F4" i="6"/>
  <c r="F3" i="6"/>
  <c r="K12" i="5"/>
  <c r="F12" i="5"/>
  <c r="G12" i="5"/>
  <c r="K13" i="5"/>
  <c r="F13" i="5"/>
  <c r="G13" i="5"/>
  <c r="K14" i="5"/>
  <c r="F14" i="5"/>
  <c r="G14" i="5"/>
  <c r="K11" i="5"/>
  <c r="F11" i="5"/>
  <c r="G11" i="5"/>
  <c r="K10" i="5"/>
  <c r="F10" i="5"/>
  <c r="G10" i="5"/>
  <c r="K9" i="5"/>
  <c r="F9" i="5"/>
  <c r="G9" i="5"/>
  <c r="K8" i="5"/>
  <c r="F8" i="5"/>
  <c r="G8" i="5"/>
  <c r="K7" i="5"/>
  <c r="F7" i="5"/>
  <c r="G7" i="5"/>
  <c r="K6" i="5"/>
  <c r="F6" i="5"/>
  <c r="G6" i="5"/>
  <c r="K5" i="5"/>
  <c r="F5" i="5"/>
  <c r="G5" i="5"/>
  <c r="K4" i="5"/>
  <c r="F4" i="5"/>
  <c r="G4" i="5"/>
  <c r="K3" i="5"/>
  <c r="F3" i="5"/>
  <c r="G3" i="5"/>
  <c r="G26" i="6"/>
  <c r="F26" i="6"/>
  <c r="T26" i="6"/>
  <c r="L28" i="6"/>
  <c r="L20" i="6"/>
  <c r="L21" i="6"/>
  <c r="L18" i="6"/>
  <c r="L22" i="6"/>
  <c r="L27" i="6"/>
  <c r="L19" i="6"/>
  <c r="L26" i="6"/>
  <c r="L23" i="6"/>
  <c r="L24" i="6"/>
  <c r="L17" i="6"/>
  <c r="L25" i="6"/>
  <c r="G27" i="6"/>
  <c r="G24" i="6"/>
  <c r="G22" i="6"/>
  <c r="G20" i="6"/>
  <c r="G18" i="6"/>
  <c r="G28" i="6"/>
  <c r="G25" i="6"/>
  <c r="G23" i="6"/>
  <c r="G21" i="6"/>
  <c r="G19" i="6"/>
  <c r="G17" i="6"/>
  <c r="F27" i="6"/>
  <c r="F24" i="6"/>
  <c r="F22" i="6"/>
  <c r="F20" i="6"/>
  <c r="F18" i="6"/>
  <c r="F28" i="6"/>
  <c r="F25" i="6"/>
  <c r="F23" i="6"/>
  <c r="F21" i="6"/>
  <c r="F19" i="6"/>
  <c r="F17" i="6"/>
  <c r="M26" i="6"/>
  <c r="N26" i="6"/>
  <c r="O26" i="6"/>
  <c r="T22" i="6"/>
  <c r="M22" i="6"/>
  <c r="M23" i="6"/>
  <c r="T23" i="6"/>
  <c r="T24" i="6"/>
  <c r="M24" i="6"/>
  <c r="M17" i="6"/>
  <c r="T17" i="6"/>
  <c r="M25" i="6"/>
  <c r="T25" i="6"/>
  <c r="T18" i="6"/>
  <c r="M18" i="6"/>
  <c r="T27" i="6"/>
  <c r="M27" i="6"/>
  <c r="M19" i="6"/>
  <c r="T19" i="6"/>
  <c r="M28" i="6"/>
  <c r="T28" i="6"/>
  <c r="T20" i="6"/>
  <c r="M20" i="6"/>
  <c r="M21" i="6"/>
  <c r="T21" i="6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U26" i="6"/>
  <c r="P26" i="6"/>
  <c r="S26" i="6"/>
  <c r="U20" i="6"/>
  <c r="N20" i="6"/>
  <c r="O20" i="6"/>
  <c r="U18" i="6"/>
  <c r="N18" i="6"/>
  <c r="O18" i="6"/>
  <c r="N28" i="6"/>
  <c r="O28" i="6"/>
  <c r="U28" i="6"/>
  <c r="N25" i="6"/>
  <c r="O25" i="6"/>
  <c r="U25" i="6"/>
  <c r="U27" i="6"/>
  <c r="N27" i="6"/>
  <c r="O27" i="6"/>
  <c r="U24" i="6"/>
  <c r="N24" i="6"/>
  <c r="O24" i="6"/>
  <c r="U22" i="6"/>
  <c r="N22" i="6"/>
  <c r="O22" i="6"/>
  <c r="N21" i="6"/>
  <c r="O21" i="6"/>
  <c r="U21" i="6"/>
  <c r="N19" i="6"/>
  <c r="O19" i="6"/>
  <c r="U19" i="6"/>
  <c r="N17" i="6"/>
  <c r="O17" i="6"/>
  <c r="U17" i="6"/>
  <c r="N23" i="6"/>
  <c r="O23" i="6"/>
  <c r="U23" i="6"/>
  <c r="M6" i="4"/>
  <c r="M7" i="4"/>
  <c r="M8" i="4"/>
  <c r="G9" i="4"/>
  <c r="G10" i="4"/>
  <c r="M11" i="4"/>
  <c r="G12" i="4"/>
  <c r="H12" i="4"/>
  <c r="M13" i="4"/>
  <c r="M14" i="4"/>
  <c r="M15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O5" i="4"/>
  <c r="M16" i="4"/>
  <c r="P16" i="4"/>
  <c r="G7" i="4"/>
  <c r="P23" i="6"/>
  <c r="S23" i="6"/>
  <c r="P28" i="6"/>
  <c r="S28" i="6"/>
  <c r="P18" i="6"/>
  <c r="S18" i="6"/>
  <c r="P17" i="6"/>
  <c r="S17" i="6"/>
  <c r="P21" i="6"/>
  <c r="S21" i="6"/>
  <c r="P25" i="6"/>
  <c r="S25" i="6"/>
  <c r="P22" i="6"/>
  <c r="S22" i="6"/>
  <c r="P27" i="6"/>
  <c r="S27" i="6"/>
  <c r="P20" i="6"/>
  <c r="S20" i="6"/>
  <c r="P19" i="6"/>
  <c r="S19" i="6"/>
  <c r="P24" i="6"/>
  <c r="S24" i="6"/>
  <c r="M10" i="4"/>
  <c r="G13" i="4"/>
  <c r="H13" i="4"/>
  <c r="M9" i="4"/>
  <c r="G14" i="4"/>
  <c r="H14" i="4"/>
  <c r="G6" i="4"/>
  <c r="P15" i="4"/>
  <c r="P11" i="4"/>
  <c r="P7" i="4"/>
  <c r="G8" i="4"/>
  <c r="M12" i="4"/>
  <c r="Q12" i="4"/>
  <c r="T12" i="4"/>
  <c r="G15" i="4"/>
  <c r="H15" i="4"/>
  <c r="P13" i="4"/>
  <c r="Q15" i="4"/>
  <c r="T15" i="4"/>
  <c r="Q13" i="4"/>
  <c r="T13" i="4"/>
  <c r="Q11" i="4"/>
  <c r="T11" i="4"/>
  <c r="P8" i="4"/>
  <c r="Q16" i="4"/>
  <c r="T16" i="4"/>
  <c r="P6" i="4"/>
  <c r="P14" i="4"/>
  <c r="Q14" i="4"/>
  <c r="T14" i="4"/>
  <c r="P10" i="4"/>
  <c r="P9" i="4"/>
  <c r="P12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M5" i="4"/>
  <c r="P5" i="4"/>
  <c r="Q5" i="4"/>
  <c r="T5" i="4"/>
  <c r="V25" i="17" l="1"/>
  <c r="P25" i="17"/>
  <c r="S25" i="17" s="1"/>
  <c r="V20" i="17"/>
  <c r="P20" i="17"/>
  <c r="S20" i="17" s="1"/>
  <c r="V28" i="17"/>
  <c r="P28" i="17"/>
  <c r="S28" i="17" s="1"/>
  <c r="V24" i="17"/>
  <c r="P24" i="17"/>
  <c r="S24" i="17" s="1"/>
  <c r="V22" i="17"/>
  <c r="P22" i="17"/>
  <c r="S22" i="17" s="1"/>
  <c r="V18" i="17"/>
  <c r="P18" i="17"/>
  <c r="S18" i="17" s="1"/>
  <c r="V19" i="17"/>
  <c r="P19" i="17"/>
  <c r="S19" i="17" s="1"/>
  <c r="V17" i="17"/>
  <c r="P17" i="17"/>
  <c r="S17" i="17" s="1"/>
  <c r="V21" i="17"/>
  <c r="P21" i="17"/>
  <c r="S21" i="17" s="1"/>
  <c r="V27" i="17"/>
  <c r="P27" i="17"/>
  <c r="S27" i="17" s="1"/>
  <c r="V23" i="17"/>
  <c r="P23" i="17"/>
  <c r="S23" i="17" s="1"/>
  <c r="V20" i="16"/>
  <c r="P20" i="16"/>
  <c r="S20" i="16" s="1"/>
  <c r="U28" i="16"/>
  <c r="N28" i="16"/>
  <c r="O28" i="16" s="1"/>
  <c r="U25" i="16"/>
  <c r="N25" i="16"/>
  <c r="O25" i="16" s="1"/>
  <c r="U27" i="16"/>
  <c r="N27" i="16"/>
  <c r="O27" i="16" s="1"/>
  <c r="U21" i="16"/>
  <c r="N21" i="16"/>
  <c r="O21" i="16" s="1"/>
  <c r="U18" i="16"/>
  <c r="N18" i="16"/>
  <c r="O18" i="16" s="1"/>
  <c r="V24" i="16"/>
  <c r="P24" i="16"/>
  <c r="S24" i="16" s="1"/>
  <c r="V17" i="16"/>
  <c r="S17" i="16"/>
  <c r="U26" i="16"/>
  <c r="N26" i="16"/>
  <c r="O26" i="16" s="1"/>
  <c r="U22" i="16"/>
  <c r="N22" i="16"/>
  <c r="O22" i="16" s="1"/>
  <c r="U23" i="16"/>
  <c r="N23" i="16"/>
  <c r="O23" i="16" s="1"/>
  <c r="U19" i="16"/>
  <c r="N19" i="16"/>
  <c r="O19" i="16" s="1"/>
  <c r="J28" i="15"/>
  <c r="K28" i="15" s="1"/>
  <c r="V28" i="15" s="1"/>
  <c r="V23" i="16" l="1"/>
  <c r="P23" i="16"/>
  <c r="S23" i="16" s="1"/>
  <c r="V26" i="16"/>
  <c r="P26" i="16"/>
  <c r="S26" i="16" s="1"/>
  <c r="V21" i="16"/>
  <c r="P21" i="16"/>
  <c r="S21" i="16" s="1"/>
  <c r="V25" i="16"/>
  <c r="P25" i="16"/>
  <c r="S25" i="16" s="1"/>
  <c r="V19" i="16"/>
  <c r="P19" i="16"/>
  <c r="S19" i="16" s="1"/>
  <c r="V22" i="16"/>
  <c r="P22" i="16"/>
  <c r="S22" i="16" s="1"/>
  <c r="V18" i="16"/>
  <c r="P18" i="16"/>
  <c r="S18" i="16" s="1"/>
  <c r="V27" i="16"/>
  <c r="P27" i="16"/>
  <c r="S27" i="16" s="1"/>
  <c r="V28" i="16"/>
  <c r="P28" i="16"/>
  <c r="S28" i="16" s="1"/>
</calcChain>
</file>

<file path=xl/sharedStrings.xml><?xml version="1.0" encoding="utf-8"?>
<sst xmlns="http://schemas.openxmlformats.org/spreadsheetml/2006/main" count="1735" uniqueCount="327">
  <si>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</si>
  <si>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</si>
  <si>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</si>
  <si>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</si>
  <si>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</si>
  <si>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</si>
  <si>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</si>
  <si>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</si>
  <si>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</si>
  <si>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</si>
  <si>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</si>
  <si>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</si>
  <si>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</si>
  <si>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</si>
  <si>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</si>
  <si>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</si>
  <si>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</si>
  <si>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</si>
  <si>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</si>
  <si>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</si>
  <si>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</si>
  <si>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</si>
  <si>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</si>
  <si>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</si>
  <si>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</si>
  <si>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</si>
  <si>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</si>
  <si>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</si>
  <si>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</si>
  <si>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</si>
  <si>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</si>
  <si>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</si>
  <si>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</si>
  <si>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</si>
  <si>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</si>
  <si>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</si>
  <si>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</si>
  <si>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</si>
  <si>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</si>
  <si>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</si>
  <si>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</si>
  <si>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</si>
  <si>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</si>
  <si>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</si>
  <si>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</si>
  <si>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</si>
  <si>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</si>
  <si>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</si>
  <si>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</si>
  <si>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</si>
  <si>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</si>
  <si>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</si>
  <si>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</si>
  <si>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</si>
  <si>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</si>
  <si>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</si>
  <si>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</si>
  <si>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</si>
  <si>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</si>
  <si>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</si>
  <si>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</si>
  <si>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</si>
  <si>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</si>
  <si>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</si>
  <si>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</si>
  <si>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</si>
  <si>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</si>
  <si>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</si>
  <si>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</si>
  <si>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</si>
  <si>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</si>
  <si>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</si>
  <si>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</si>
  <si>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</si>
  <si>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</si>
  <si>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</si>
  <si>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</si>
  <si>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</si>
  <si>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</si>
  <si>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</si>
  <si>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</si>
  <si>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</si>
  <si>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</si>
  <si>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</si>
  <si>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</si>
  <si>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</si>
  <si>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</si>
  <si>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</si>
  <si>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</si>
  <si>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</si>
  <si>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</si>
  <si>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</si>
  <si>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</si>
  <si>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</si>
  <si>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</si>
  <si>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</si>
  <si>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</si>
  <si>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</si>
  <si>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</si>
  <si>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</si>
  <si>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</si>
  <si>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</si>
  <si>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</si>
  <si>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</si>
  <si>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</si>
  <si>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</si>
  <si>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</si>
  <si>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</si>
  <si>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</si>
  <si>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</si>
  <si>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</si>
  <si>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</si>
  <si>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</si>
  <si>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</si>
  <si>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</si>
  <si>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</si>
  <si>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</si>
  <si>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</si>
  <si>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</si>
  <si>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</si>
  <si>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</si>
  <si>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</si>
  <si>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</si>
  <si>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</si>
  <si>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</si>
  <si>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</si>
  <si>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</si>
  <si>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</si>
  <si>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</si>
  <si>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</si>
  <si>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</si>
  <si>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</si>
  <si>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</si>
  <si>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</si>
  <si>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</si>
  <si>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</si>
  <si>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</si>
  <si>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</si>
  <si>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</si>
  <si>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</si>
  <si>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</si>
  <si>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</si>
  <si>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</si>
  <si>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</si>
  <si>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</si>
  <si>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</si>
  <si>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 xml:space="preserve">13C+14C sampled </t>
  </si>
  <si>
    <t>time</t>
  </si>
  <si>
    <t>Pre_moist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</si>
  <si>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</si>
  <si>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</si>
  <si>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</si>
  <si>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</si>
  <si>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plant growing inside</t>
  </si>
  <si>
    <t>13C/14C sampled 15:00 09.09.19</t>
  </si>
  <si>
    <t>13C,14C sampled 13:00; 06.09.19</t>
  </si>
  <si>
    <t xml:space="preserve">13C, 14C sampled 13:00; 06.09.19; plant growing inside </t>
  </si>
  <si>
    <t>14C sampled 10:30 13.09.19</t>
  </si>
  <si>
    <t>_Pre_30082019</t>
  </si>
  <si>
    <t>14C sampled 30.09.19; plant growing inside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</si>
  <si>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</si>
  <si>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</si>
  <si>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</si>
  <si>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</si>
  <si>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</si>
  <si>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</si>
  <si>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</si>
  <si>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</si>
  <si>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</si>
  <si>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</si>
  <si>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</si>
  <si>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ppm</t>
  </si>
  <si>
    <t>diff.abs.</t>
  </si>
  <si>
    <t>Average</t>
  </si>
  <si>
    <t>Standard- deviation</t>
  </si>
  <si>
    <t>Attention! Please note that values with Amplitude low can have a higher error bar.</t>
  </si>
  <si>
    <t>d13C</t>
  </si>
  <si>
    <t>13500</t>
  </si>
  <si>
    <t>HEW22-1_Pre_moist</t>
  </si>
  <si>
    <t>6538</t>
  </si>
  <si>
    <t/>
  </si>
  <si>
    <t>13501</t>
  </si>
  <si>
    <t>13502</t>
  </si>
  <si>
    <t>HEW22-2_Pre_moist</t>
  </si>
  <si>
    <t>6728</t>
  </si>
  <si>
    <t>13503</t>
  </si>
  <si>
    <t>13505</t>
  </si>
  <si>
    <t>HEW41-1_Pre_moist</t>
  </si>
  <si>
    <t>4304</t>
  </si>
  <si>
    <t>13506</t>
  </si>
  <si>
    <t>13507</t>
  </si>
  <si>
    <t>HEW41-2_Pre_moist</t>
  </si>
  <si>
    <t>3994</t>
  </si>
  <si>
    <t>13508</t>
  </si>
  <si>
    <t>13511</t>
  </si>
  <si>
    <t>HEW42-1_Pre_moist</t>
  </si>
  <si>
    <t>2045</t>
  </si>
  <si>
    <t>13512</t>
  </si>
  <si>
    <t>13513</t>
  </si>
  <si>
    <t>HEW42-2_Pre_moist</t>
  </si>
  <si>
    <t>2152</t>
  </si>
  <si>
    <t>13514</t>
  </si>
  <si>
    <t>13516</t>
  </si>
  <si>
    <t>HEG10-1_Pre_moist</t>
  </si>
  <si>
    <t>8639</t>
  </si>
  <si>
    <t>13517</t>
  </si>
  <si>
    <t>13518</t>
  </si>
  <si>
    <t>HEG10-2_Pre_moist</t>
  </si>
  <si>
    <t>8554</t>
  </si>
  <si>
    <t>13519</t>
  </si>
  <si>
    <t>13522</t>
  </si>
  <si>
    <t>HEG32-1_Pre_moist</t>
  </si>
  <si>
    <t>8250</t>
  </si>
  <si>
    <t>13523</t>
  </si>
  <si>
    <t>13524</t>
  </si>
  <si>
    <t>HEG32-2_Pre_moist</t>
  </si>
  <si>
    <t>7896</t>
  </si>
  <si>
    <t>13525</t>
  </si>
  <si>
    <t>13527</t>
  </si>
  <si>
    <t>HEG48-1_Pre_moist</t>
  </si>
  <si>
    <t>9091</t>
  </si>
  <si>
    <t>13528</t>
  </si>
  <si>
    <t>13529</t>
  </si>
  <si>
    <t>HEG48-2_Pre_moist</t>
  </si>
  <si>
    <t>8684</t>
  </si>
  <si>
    <t>13530</t>
  </si>
  <si>
    <t>13533</t>
  </si>
  <si>
    <t>STD_2992_1</t>
  </si>
  <si>
    <t>2992</t>
  </si>
  <si>
    <t>13534</t>
  </si>
  <si>
    <t>13535</t>
  </si>
  <si>
    <t>STD_2992_2</t>
  </si>
  <si>
    <t>13536</t>
  </si>
  <si>
    <r>
      <t xml:space="preserve">final time </t>
    </r>
    <r>
      <rPr>
        <b/>
        <sz val="9"/>
        <rFont val="Arial"/>
        <family val="2"/>
      </rPr>
      <t>date</t>
    </r>
  </si>
  <si>
    <t>13617</t>
  </si>
  <si>
    <t>13618</t>
  </si>
  <si>
    <t>13619</t>
  </si>
  <si>
    <t>13620</t>
  </si>
  <si>
    <t>13622</t>
  </si>
  <si>
    <t>13623</t>
  </si>
  <si>
    <t>13624</t>
  </si>
  <si>
    <t>13625</t>
  </si>
  <si>
    <t>13628</t>
  </si>
  <si>
    <t>13629</t>
  </si>
  <si>
    <t>13630</t>
  </si>
  <si>
    <t>13631</t>
  </si>
  <si>
    <t>13633</t>
  </si>
  <si>
    <t>13634</t>
  </si>
  <si>
    <t>13635</t>
  </si>
  <si>
    <t>13636</t>
  </si>
  <si>
    <t>13639</t>
  </si>
  <si>
    <t>13640</t>
  </si>
  <si>
    <t>13641</t>
  </si>
  <si>
    <t>13642</t>
  </si>
  <si>
    <t>13644</t>
  </si>
  <si>
    <t>13645</t>
  </si>
  <si>
    <t>13646</t>
  </si>
  <si>
    <t>13647</t>
  </si>
  <si>
    <t>13650</t>
  </si>
  <si>
    <t>13651</t>
  </si>
  <si>
    <t>13652</t>
  </si>
  <si>
    <t>13653</t>
  </si>
  <si>
    <t>Av</t>
  </si>
  <si>
    <t>Rt     [s]</t>
  </si>
  <si>
    <t>13670</t>
  </si>
  <si>
    <t>HEG10-1_Inc_moist</t>
  </si>
  <si>
    <t>10891</t>
  </si>
  <si>
    <t>13671</t>
  </si>
  <si>
    <t>13672</t>
  </si>
  <si>
    <t>HEG10-2_Inc_moist</t>
  </si>
  <si>
    <t>10822</t>
  </si>
  <si>
    <t>13673</t>
  </si>
  <si>
    <t>13675</t>
  </si>
  <si>
    <t>HEG32-1_Inc_moist</t>
  </si>
  <si>
    <t>9737</t>
  </si>
  <si>
    <t>13676</t>
  </si>
  <si>
    <t>13677</t>
  </si>
  <si>
    <t>HEG32-2_Inc_moist</t>
  </si>
  <si>
    <t>10558</t>
  </si>
  <si>
    <t>13678</t>
  </si>
  <si>
    <t>13681</t>
  </si>
  <si>
    <t>HEG48-1_Inc_moist</t>
  </si>
  <si>
    <t>10980</t>
  </si>
  <si>
    <t>13682</t>
  </si>
  <si>
    <t>13683</t>
  </si>
  <si>
    <t>HEG48-2_Inc_moist</t>
  </si>
  <si>
    <t>10380</t>
  </si>
  <si>
    <t>13684</t>
  </si>
  <si>
    <t>13686</t>
  </si>
  <si>
    <t>STD_2992_1_06092019</t>
  </si>
  <si>
    <t>13687</t>
  </si>
  <si>
    <t>13688</t>
  </si>
  <si>
    <t>STD_2992_2_06092019</t>
  </si>
  <si>
    <t>13689</t>
  </si>
  <si>
    <t>13692</t>
  </si>
  <si>
    <t>HEW22-1_Inc_moist_09092019</t>
  </si>
  <si>
    <t>9724</t>
  </si>
  <si>
    <t>13693</t>
  </si>
  <si>
    <t>13694</t>
  </si>
  <si>
    <t>HEW22-2_Inc_moist_09092019</t>
  </si>
  <si>
    <t>10505</t>
  </si>
  <si>
    <t>13695</t>
  </si>
  <si>
    <t>16931</t>
  </si>
  <si>
    <t>HEW41-1_Inc_moist_13092019</t>
  </si>
  <si>
    <t>16932</t>
  </si>
  <si>
    <t>16933</t>
  </si>
  <si>
    <t>HEW41-2_Inc_moist_13092019</t>
  </si>
  <si>
    <t>16934</t>
  </si>
  <si>
    <t>16936</t>
  </si>
  <si>
    <t>HEW42-1_Inc_moist_08102019</t>
  </si>
  <si>
    <t>16937</t>
  </si>
  <si>
    <t>16938</t>
  </si>
  <si>
    <t>HEW42-2_Inc_moist_30092019</t>
  </si>
  <si>
    <t>16939</t>
  </si>
  <si>
    <t>16942</t>
  </si>
  <si>
    <t>STD_06112019</t>
  </si>
  <si>
    <t>16943</t>
  </si>
  <si>
    <t>16944</t>
  </si>
  <si>
    <t>STD_flushed_06112019</t>
  </si>
  <si>
    <t>16945</t>
  </si>
  <si>
    <t>13C sampled 06.11.19; 14C sampled 10:30 13.09.19</t>
  </si>
  <si>
    <t>13C sampled 06.11.19; 14C sampled 07.10.19; leakage???</t>
  </si>
  <si>
    <t>13C sampled 06.11.19; 14C sampled 30.09.19; plant growing inside</t>
  </si>
  <si>
    <t>09092019</t>
  </si>
  <si>
    <t>07102019</t>
  </si>
  <si>
    <t>30092019</t>
  </si>
  <si>
    <t>06092019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</si>
</sst>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4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9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6" fillId="0" borderId="0"/>
  </cellStyleXfs>
  <cellXfs count="1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18" xfId="0" quotePrefix="1" applyNumberFormat="1" applyFill="1" applyBorder="1"/>
    <xf numFmtId="0" fontId="0" fillId="0" borderId="19" xfId="0" quotePrefix="1" applyNumberFormat="1" applyFill="1" applyBorder="1" applyAlignment="1">
      <alignment horizontal="center"/>
    </xf>
    <xf numFmtId="0" fontId="0" fillId="0" borderId="19" xfId="0" quotePrefix="1" applyNumberFormat="1" applyFill="1" applyBorder="1"/>
    <xf numFmtId="0" fontId="21" fillId="0" borderId="19" xfId="0" applyNumberFormat="1" applyFont="1" applyFill="1" applyBorder="1" applyAlignment="1">
      <alignment horizontal="center"/>
    </xf>
    <xf numFmtId="170" fontId="19" fillId="0" borderId="19" xfId="0" applyNumberFormat="1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7" fillId="0" borderId="19" xfId="0" applyNumberFormat="1" applyFont="1" applyFill="1" applyBorder="1" applyAlignment="1">
      <alignment horizontal="center"/>
    </xf>
    <xf numFmtId="1" fontId="17" fillId="0" borderId="19" xfId="0" applyNumberFormat="1" applyFont="1" applyFill="1" applyBorder="1" applyAlignment="1">
      <alignment horizontal="center"/>
    </xf>
    <xf numFmtId="0" fontId="22" fillId="0" borderId="20" xfId="0" applyFont="1" applyFill="1" applyBorder="1"/>
    <xf numFmtId="2" fontId="17" fillId="0" borderId="0" xfId="0" applyNumberFormat="1" applyFont="1" applyFill="1" applyBorder="1" applyAlignment="1">
      <alignment horizontal="center"/>
    </xf>
    <xf numFmtId="0" fontId="0" fillId="0" borderId="11" xfId="0" quotePrefix="1" applyNumberFormat="1" applyFill="1" applyBorder="1"/>
    <xf numFmtId="0" fontId="0" fillId="0" borderId="2" xfId="0" quotePrefix="1" applyNumberFormat="1" applyFill="1" applyBorder="1" applyAlignment="1">
      <alignment horizontal="center"/>
    </xf>
    <xf numFmtId="0" fontId="0" fillId="0" borderId="2" xfId="0" quotePrefix="1" applyNumberFormat="1" applyFill="1" applyBorder="1"/>
    <xf numFmtId="0" fontId="21" fillId="0" borderId="2" xfId="0" applyNumberFormat="1" applyFont="1" applyFill="1" applyBorder="1" applyAlignment="1">
      <alignment horizontal="center"/>
    </xf>
    <xf numFmtId="170" fontId="19" fillId="0" borderId="2" xfId="0" applyNumberFormat="1" applyFont="1" applyFill="1" applyBorder="1" applyAlignment="1">
      <alignment horizontal="center"/>
    </xf>
    <xf numFmtId="2" fontId="19" fillId="0" borderId="2" xfId="0" applyNumberFormat="1" applyFont="1" applyFill="1" applyBorder="1" applyAlignment="1">
      <alignment horizontal="center"/>
    </xf>
    <xf numFmtId="2" fontId="17" fillId="0" borderId="2" xfId="0" applyNumberFormat="1" applyFon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/>
    </xf>
    <xf numFmtId="2" fontId="22" fillId="0" borderId="21" xfId="0" applyNumberFormat="1" applyFont="1" applyFill="1" applyBorder="1"/>
    <xf numFmtId="2" fontId="19" fillId="0" borderId="0" xfId="0" applyNumberFormat="1" applyFont="1" applyFill="1" applyBorder="1" applyAlignment="1">
      <alignment horizontal="center"/>
    </xf>
    <xf numFmtId="2" fontId="23" fillId="0" borderId="19" xfId="0" applyNumberFormat="1" applyFont="1" applyFill="1" applyBorder="1" applyAlignment="1">
      <alignment horizontal="center"/>
    </xf>
    <xf numFmtId="2" fontId="20" fillId="0" borderId="21" xfId="0" applyNumberFormat="1" applyFont="1" applyFill="1" applyBorder="1"/>
    <xf numFmtId="0" fontId="0" fillId="0" borderId="12" xfId="0" quotePrefix="1" applyNumberFormat="1" applyFill="1" applyBorder="1"/>
    <xf numFmtId="0" fontId="0" fillId="0" borderId="0" xfId="0" quotePrefix="1" applyNumberFormat="1" applyFill="1" applyBorder="1" applyAlignment="1">
      <alignment horizontal="center"/>
    </xf>
    <xf numFmtId="0" fontId="0" fillId="0" borderId="0" xfId="0" quotePrefix="1" applyNumberFormat="1" applyFill="1" applyBorder="1"/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2" fontId="22" fillId="0" borderId="6" xfId="0" applyNumberFormat="1" applyFont="1" applyFill="1" applyBorder="1"/>
    <xf numFmtId="0" fontId="22" fillId="0" borderId="6" xfId="0" applyFont="1" applyFill="1" applyBorder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2" fillId="0" borderId="0" xfId="0" applyFont="1" applyFill="1"/>
    <xf numFmtId="1" fontId="0" fillId="0" borderId="0" xfId="0" quotePrefix="1" applyNumberFormat="1" applyAlignment="1">
      <alignment horizontal="center"/>
    </xf>
    <xf numFmtId="2" fontId="22" fillId="10" borderId="0" xfId="0" applyNumberFormat="1" applyFont="1" applyFill="1"/>
    <xf numFmtId="2" fontId="19" fillId="10" borderId="0" xfId="0" applyNumberFormat="1" applyFont="1" applyFill="1" applyBorder="1" applyAlignment="1">
      <alignment horizontal="center"/>
    </xf>
    <xf numFmtId="1" fontId="0" fillId="16" borderId="0" xfId="0" quotePrefix="1" applyNumberFormat="1" applyFill="1" applyAlignment="1">
      <alignment horizontal="center"/>
    </xf>
    <xf numFmtId="2" fontId="22" fillId="0" borderId="0" xfId="0" applyNumberFormat="1" applyFont="1" applyFill="1"/>
    <xf numFmtId="0" fontId="22" fillId="0" borderId="0" xfId="0" quotePrefix="1" applyNumberFormat="1" applyFont="1" applyFill="1"/>
    <xf numFmtId="0" fontId="22" fillId="0" borderId="0" xfId="0" quotePrefix="1" applyNumberFormat="1" applyFont="1" applyFill="1" applyAlignment="1">
      <alignment horizontal="center"/>
    </xf>
    <xf numFmtId="2" fontId="17" fillId="16" borderId="0" xfId="0" applyNumberFormat="1" applyFont="1" applyFill="1" applyBorder="1" applyAlignment="1">
      <alignment horizontal="center"/>
    </xf>
    <xf numFmtId="1" fontId="0" fillId="16" borderId="0" xfId="0" applyNumberFormat="1" applyFill="1" applyAlignment="1">
      <alignment horizontal="center"/>
    </xf>
    <xf numFmtId="2" fontId="17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2" fontId="22" fillId="17" borderId="0" xfId="0" applyNumberFormat="1" applyFont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7" fontId="22" fillId="0" borderId="0" xfId="0" applyNumberFormat="1" applyFont="1" applyBorder="1"/>
    <xf numFmtId="167" fontId="22" fillId="0" borderId="0" xfId="0" quotePrefix="1" applyNumberFormat="1" applyFont="1" applyFill="1" applyBorder="1"/>
    <xf numFmtId="49" fontId="0" fillId="0" borderId="0" xfId="0" applyNumberFormat="1"/>
  </cellXfs>
  <cellStyles count="3">
    <cellStyle name="Standard" xfId="0" builtinId="0"/>
    <cellStyle name="Standard 3" xfId="1"/>
    <cellStyle name="Standard_Au_Dataimport2003" xfId="2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'Pre27.08.19'!$D$3:$D$14</c:f>
              <c:numCache>
                <c:formatCode>0.00</c:formatCode>
                <c:ptCount val="12"/>
                <c:pt idx="0">
                  <c:v>1739.4</c:v>
                </c:pt>
                <c:pt idx="1">
                  <c:v>1531.6</c:v>
                </c:pt>
                <c:pt idx="2">
                  <c:v>1433.2</c:v>
                </c:pt>
                <c:pt idx="3">
                  <c:v>1203.2</c:v>
                </c:pt>
                <c:pt idx="4">
                  <c:v>1068.4000000000001</c:v>
                </c:pt>
                <c:pt idx="5">
                  <c:v>853.88</c:v>
                </c:pt>
                <c:pt idx="6">
                  <c:v>657.29</c:v>
                </c:pt>
                <c:pt idx="7">
                  <c:v>541.79</c:v>
                </c:pt>
                <c:pt idx="8">
                  <c:v>387.53</c:v>
                </c:pt>
                <c:pt idx="9" formatCode="General">
                  <c:v>143.91</c:v>
                </c:pt>
                <c:pt idx="10" formatCode="General">
                  <c:v>70.739999999999995</c:v>
                </c:pt>
                <c:pt idx="11" formatCode="General">
                  <c:v>31.478000000000002</c:v>
                </c:pt>
              </c:numCache>
            </c:numRef>
          </c:xVal>
          <c:yVal>
            <c:numRef>
              <c:f>'Pre27.08.19'!$F$3:$F$14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7760"/>
        <c:axId val="215238336"/>
      </c:scatterChart>
      <c:valAx>
        <c:axId val="2152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38336"/>
        <c:crosses val="autoZero"/>
        <c:crossBetween val="midCat"/>
      </c:valAx>
      <c:valAx>
        <c:axId val="2152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3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'Inc02.09.19'!$E$3:$E$14</c:f>
              <c:numCache>
                <c:formatCode>0.00</c:formatCode>
                <c:ptCount val="12"/>
                <c:pt idx="0">
                  <c:v>453.94</c:v>
                </c:pt>
                <c:pt idx="1">
                  <c:v>405.61</c:v>
                </c:pt>
                <c:pt idx="2">
                  <c:v>382.08</c:v>
                </c:pt>
                <c:pt idx="3">
                  <c:v>327.55</c:v>
                </c:pt>
                <c:pt idx="4">
                  <c:v>279.67</c:v>
                </c:pt>
                <c:pt idx="5">
                  <c:v>223.8</c:v>
                </c:pt>
                <c:pt idx="6">
                  <c:v>206.03</c:v>
                </c:pt>
                <c:pt idx="7">
                  <c:v>145.9</c:v>
                </c:pt>
                <c:pt idx="8">
                  <c:v>108.93</c:v>
                </c:pt>
                <c:pt idx="9" formatCode="General">
                  <c:v>44.442</c:v>
                </c:pt>
                <c:pt idx="10" formatCode="General">
                  <c:v>22.757999999999999</c:v>
                </c:pt>
                <c:pt idx="11" formatCode="General">
                  <c:v>11.795999999999999</c:v>
                </c:pt>
              </c:numCache>
            </c:numRef>
          </c:xVal>
          <c:yVal>
            <c:numRef>
              <c:f>'Inc02.09.19'!$F$3:$F$14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5840"/>
        <c:axId val="92036416"/>
      </c:scatterChart>
      <c:valAx>
        <c:axId val="920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036416"/>
        <c:crosses val="autoZero"/>
        <c:crossBetween val="midCat"/>
      </c:valAx>
      <c:valAx>
        <c:axId val="920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03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'Inc04.09.19'!$D$3:$D$14</c:f>
              <c:numCache>
                <c:formatCode>0.00</c:formatCode>
                <c:ptCount val="12"/>
                <c:pt idx="0">
                  <c:v>1711</c:v>
                </c:pt>
                <c:pt idx="1">
                  <c:v>1529.4</c:v>
                </c:pt>
                <c:pt idx="2">
                  <c:v>1417.9</c:v>
                </c:pt>
                <c:pt idx="3">
                  <c:v>1230.4000000000001</c:v>
                </c:pt>
                <c:pt idx="4">
                  <c:v>1074.0999999999999</c:v>
                </c:pt>
                <c:pt idx="5">
                  <c:v>882.86</c:v>
                </c:pt>
                <c:pt idx="6">
                  <c:v>748.13</c:v>
                </c:pt>
                <c:pt idx="7">
                  <c:v>541.41</c:v>
                </c:pt>
                <c:pt idx="8">
                  <c:v>365.13</c:v>
                </c:pt>
                <c:pt idx="9" formatCode="General">
                  <c:v>143.91999999999999</c:v>
                </c:pt>
                <c:pt idx="10" formatCode="General">
                  <c:v>65.097999999999999</c:v>
                </c:pt>
                <c:pt idx="11" formatCode="General">
                  <c:v>33.005000000000003</c:v>
                </c:pt>
              </c:numCache>
            </c:numRef>
          </c:xVal>
          <c:yVal>
            <c:numRef>
              <c:f>'Inc04.09.19'!$F$3:$F$14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8256"/>
        <c:axId val="93488832"/>
      </c:scatterChart>
      <c:valAx>
        <c:axId val="934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88832"/>
        <c:crosses val="autoZero"/>
        <c:crossBetween val="midCat"/>
      </c:valAx>
      <c:valAx>
        <c:axId val="9348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8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'Inc04.09.19'!$E$3:$E$14</c:f>
              <c:numCache>
                <c:formatCode>0.00</c:formatCode>
                <c:ptCount val="12"/>
                <c:pt idx="0">
                  <c:v>428.89</c:v>
                </c:pt>
                <c:pt idx="1">
                  <c:v>408.95</c:v>
                </c:pt>
                <c:pt idx="2">
                  <c:v>365.67</c:v>
                </c:pt>
                <c:pt idx="3">
                  <c:v>323.66000000000003</c:v>
                </c:pt>
                <c:pt idx="4">
                  <c:v>297.24</c:v>
                </c:pt>
                <c:pt idx="5">
                  <c:v>239.94</c:v>
                </c:pt>
                <c:pt idx="6">
                  <c:v>200.1</c:v>
                </c:pt>
                <c:pt idx="7">
                  <c:v>146.52000000000001</c:v>
                </c:pt>
                <c:pt idx="8">
                  <c:v>107.52</c:v>
                </c:pt>
                <c:pt idx="9" formatCode="General">
                  <c:v>42.02</c:v>
                </c:pt>
                <c:pt idx="10" formatCode="General">
                  <c:v>22.669</c:v>
                </c:pt>
                <c:pt idx="11" formatCode="General">
                  <c:v>11.807</c:v>
                </c:pt>
              </c:numCache>
            </c:numRef>
          </c:xVal>
          <c:yVal>
            <c:numRef>
              <c:f>'Inc04.09.19'!$F$3:$F$14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0560"/>
        <c:axId val="93491136"/>
      </c:scatterChart>
      <c:valAx>
        <c:axId val="9349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91136"/>
        <c:crosses val="autoZero"/>
        <c:crossBetween val="midCat"/>
      </c:valAx>
      <c:valAx>
        <c:axId val="9349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9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'Inc06.09.19'!$D$3:$D$14</c:f>
              <c:numCache>
                <c:formatCode>0.00</c:formatCode>
                <c:ptCount val="12"/>
                <c:pt idx="0">
                  <c:v>1717.7</c:v>
                </c:pt>
                <c:pt idx="1">
                  <c:v>1560.5</c:v>
                </c:pt>
                <c:pt idx="2">
                  <c:v>1410.2</c:v>
                </c:pt>
                <c:pt idx="3">
                  <c:v>1175.0999999999999</c:v>
                </c:pt>
                <c:pt idx="4">
                  <c:v>1092</c:v>
                </c:pt>
                <c:pt idx="5">
                  <c:v>903.02</c:v>
                </c:pt>
                <c:pt idx="6">
                  <c:v>769.4</c:v>
                </c:pt>
                <c:pt idx="7">
                  <c:v>520.54</c:v>
                </c:pt>
                <c:pt idx="8">
                  <c:v>418.73</c:v>
                </c:pt>
                <c:pt idx="9" formatCode="General">
                  <c:v>137.19</c:v>
                </c:pt>
                <c:pt idx="10" formatCode="General">
                  <c:v>70.613</c:v>
                </c:pt>
                <c:pt idx="11" formatCode="General">
                  <c:v>29.899000000000001</c:v>
                </c:pt>
              </c:numCache>
            </c:numRef>
          </c:xVal>
          <c:yVal>
            <c:numRef>
              <c:f>'Inc06.09.19'!$F$3:$F$14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2864"/>
        <c:axId val="93493440"/>
      </c:scatterChart>
      <c:valAx>
        <c:axId val="934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93440"/>
        <c:crosses val="autoZero"/>
        <c:crossBetween val="midCat"/>
      </c:valAx>
      <c:valAx>
        <c:axId val="934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349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'Inc06.09.19'!$E$3:$E$14</c:f>
              <c:numCache>
                <c:formatCode>0.00</c:formatCode>
                <c:ptCount val="12"/>
                <c:pt idx="0">
                  <c:v>429.26</c:v>
                </c:pt>
                <c:pt idx="1">
                  <c:v>400.51</c:v>
                </c:pt>
                <c:pt idx="2">
                  <c:v>377.23</c:v>
                </c:pt>
                <c:pt idx="3">
                  <c:v>323.89999999999998</c:v>
                </c:pt>
                <c:pt idx="4">
                  <c:v>281.45</c:v>
                </c:pt>
                <c:pt idx="5">
                  <c:v>239.49</c:v>
                </c:pt>
                <c:pt idx="6">
                  <c:v>201.65</c:v>
                </c:pt>
                <c:pt idx="7">
                  <c:v>147.99</c:v>
                </c:pt>
                <c:pt idx="8">
                  <c:v>113.97</c:v>
                </c:pt>
                <c:pt idx="9" formatCode="General">
                  <c:v>43.817</c:v>
                </c:pt>
                <c:pt idx="10" formatCode="General">
                  <c:v>22.698</c:v>
                </c:pt>
                <c:pt idx="11" formatCode="General">
                  <c:v>11.872999999999999</c:v>
                </c:pt>
              </c:numCache>
            </c:numRef>
          </c:xVal>
          <c:yVal>
            <c:numRef>
              <c:f>'Inc06.09.19'!$F$3:$F$14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792"/>
        <c:axId val="92578368"/>
      </c:scatterChart>
      <c:valAx>
        <c:axId val="925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78368"/>
        <c:crosses val="autoZero"/>
        <c:crossBetween val="midCat"/>
      </c:valAx>
      <c:valAx>
        <c:axId val="9257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7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'Inc09.09.19'!$D$3:$D$14</c:f>
              <c:numCache>
                <c:formatCode>0.00</c:formatCode>
                <c:ptCount val="12"/>
                <c:pt idx="0">
                  <c:v>1690</c:v>
                </c:pt>
                <c:pt idx="1">
                  <c:v>1515.9</c:v>
                </c:pt>
                <c:pt idx="2">
                  <c:v>1387.6</c:v>
                </c:pt>
                <c:pt idx="3">
                  <c:v>1219.5</c:v>
                </c:pt>
                <c:pt idx="4">
                  <c:v>1078.9000000000001</c:v>
                </c:pt>
                <c:pt idx="5">
                  <c:v>874.4</c:v>
                </c:pt>
                <c:pt idx="6">
                  <c:v>751.39</c:v>
                </c:pt>
                <c:pt idx="7">
                  <c:v>527.21</c:v>
                </c:pt>
                <c:pt idx="8">
                  <c:v>383.57</c:v>
                </c:pt>
                <c:pt idx="9" formatCode="General">
                  <c:v>144.72999999999999</c:v>
                </c:pt>
                <c:pt idx="10" formatCode="General">
                  <c:v>60.816000000000003</c:v>
                </c:pt>
                <c:pt idx="11" formatCode="General">
                  <c:v>30.032</c:v>
                </c:pt>
              </c:numCache>
            </c:numRef>
          </c:xVal>
          <c:yVal>
            <c:numRef>
              <c:f>'Inc09.09.19'!$F$3:$F$14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0096"/>
        <c:axId val="92580672"/>
      </c:scatterChart>
      <c:valAx>
        <c:axId val="925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80672"/>
        <c:crosses val="autoZero"/>
        <c:crossBetween val="midCat"/>
      </c:valAx>
      <c:valAx>
        <c:axId val="9258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'Inc09.09.19'!$E$3:$E$14</c:f>
              <c:numCache>
                <c:formatCode>0.00</c:formatCode>
                <c:ptCount val="12"/>
                <c:pt idx="0">
                  <c:v>421.73</c:v>
                </c:pt>
                <c:pt idx="1">
                  <c:v>379.23</c:v>
                </c:pt>
                <c:pt idx="2">
                  <c:v>354.56</c:v>
                </c:pt>
                <c:pt idx="3">
                  <c:v>311.77</c:v>
                </c:pt>
                <c:pt idx="4">
                  <c:v>287.52</c:v>
                </c:pt>
                <c:pt idx="5">
                  <c:v>236.9</c:v>
                </c:pt>
                <c:pt idx="6">
                  <c:v>205.75</c:v>
                </c:pt>
                <c:pt idx="7">
                  <c:v>145.07</c:v>
                </c:pt>
                <c:pt idx="8">
                  <c:v>108.01</c:v>
                </c:pt>
                <c:pt idx="9" formatCode="General">
                  <c:v>43.055</c:v>
                </c:pt>
                <c:pt idx="10" formatCode="General">
                  <c:v>21.329000000000001</c:v>
                </c:pt>
                <c:pt idx="11" formatCode="General">
                  <c:v>11.629</c:v>
                </c:pt>
              </c:numCache>
            </c:numRef>
          </c:xVal>
          <c:yVal>
            <c:numRef>
              <c:f>'Inc09.09.19'!$F$3:$F$14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2400"/>
        <c:axId val="92582976"/>
      </c:scatterChart>
      <c:valAx>
        <c:axId val="92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82976"/>
        <c:crosses val="autoZero"/>
        <c:crossBetween val="midCat"/>
      </c:valAx>
      <c:valAx>
        <c:axId val="9258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58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'Inc11.09.19'!$D$3:$D$14</c:f>
              <c:numCache>
                <c:formatCode>0.00</c:formatCode>
                <c:ptCount val="12"/>
                <c:pt idx="0">
                  <c:v>1725.4</c:v>
                </c:pt>
                <c:pt idx="1">
                  <c:v>1535.1</c:v>
                </c:pt>
                <c:pt idx="2">
                  <c:v>1413.7</c:v>
                </c:pt>
                <c:pt idx="3">
                  <c:v>1236.5999999999999</c:v>
                </c:pt>
                <c:pt idx="4">
                  <c:v>1102.3</c:v>
                </c:pt>
                <c:pt idx="5">
                  <c:v>883.11</c:v>
                </c:pt>
                <c:pt idx="6">
                  <c:v>742.75</c:v>
                </c:pt>
                <c:pt idx="7">
                  <c:v>545.05999999999995</c:v>
                </c:pt>
                <c:pt idx="8">
                  <c:v>375.29</c:v>
                </c:pt>
                <c:pt idx="9" formatCode="General">
                  <c:v>143.13999999999999</c:v>
                </c:pt>
                <c:pt idx="10" formatCode="General">
                  <c:v>65.043000000000006</c:v>
                </c:pt>
                <c:pt idx="11" formatCode="General">
                  <c:v>30.446000000000002</c:v>
                </c:pt>
              </c:numCache>
            </c:numRef>
          </c:xVal>
          <c:yVal>
            <c:numRef>
              <c:f>'Inc11.09.19'!$F$3:$F$14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4704"/>
        <c:axId val="92585280"/>
      </c:scatterChart>
      <c:valAx>
        <c:axId val="925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5280"/>
        <c:crosses val="autoZero"/>
        <c:crossBetween val="midCat"/>
      </c:valAx>
      <c:valAx>
        <c:axId val="9258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'Inc11.09.19'!$E$3:$E$14</c:f>
              <c:numCache>
                <c:formatCode>0.00</c:formatCode>
                <c:ptCount val="12"/>
                <c:pt idx="0">
                  <c:v>432.65</c:v>
                </c:pt>
                <c:pt idx="1">
                  <c:v>385.28</c:v>
                </c:pt>
                <c:pt idx="2">
                  <c:v>366.66</c:v>
                </c:pt>
                <c:pt idx="3">
                  <c:v>324.22000000000003</c:v>
                </c:pt>
                <c:pt idx="4">
                  <c:v>290.49</c:v>
                </c:pt>
                <c:pt idx="5">
                  <c:v>244.27</c:v>
                </c:pt>
                <c:pt idx="6">
                  <c:v>196.31</c:v>
                </c:pt>
                <c:pt idx="7">
                  <c:v>142.41999999999999</c:v>
                </c:pt>
                <c:pt idx="8">
                  <c:v>104.13</c:v>
                </c:pt>
                <c:pt idx="9" formatCode="General">
                  <c:v>44.468000000000004</c:v>
                </c:pt>
                <c:pt idx="10" formatCode="General">
                  <c:v>22.863</c:v>
                </c:pt>
                <c:pt idx="11" formatCode="General">
                  <c:v>11.015000000000001</c:v>
                </c:pt>
              </c:numCache>
            </c:numRef>
          </c:xVal>
          <c:yVal>
            <c:numRef>
              <c:f>'Inc11.09.19'!$F$3:$F$14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3904"/>
        <c:axId val="93644480"/>
      </c:scatterChart>
      <c:valAx>
        <c:axId val="936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4480"/>
        <c:crosses val="autoZero"/>
        <c:crossBetween val="midCat"/>
      </c:valAx>
      <c:valAx>
        <c:axId val="9364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'Inc13.09.19'!$D$3:$D$14</c:f>
              <c:numCache>
                <c:formatCode>0.00</c:formatCode>
                <c:ptCount val="12"/>
                <c:pt idx="0">
                  <c:v>1732.1</c:v>
                </c:pt>
                <c:pt idx="1">
                  <c:v>1517.6</c:v>
                </c:pt>
                <c:pt idx="2">
                  <c:v>1439.4</c:v>
                </c:pt>
                <c:pt idx="3">
                  <c:v>1213</c:v>
                </c:pt>
                <c:pt idx="4">
                  <c:v>1110.2</c:v>
                </c:pt>
                <c:pt idx="5">
                  <c:v>882.83</c:v>
                </c:pt>
                <c:pt idx="6">
                  <c:v>755.43</c:v>
                </c:pt>
                <c:pt idx="7">
                  <c:v>520.26</c:v>
                </c:pt>
                <c:pt idx="8">
                  <c:v>374.75</c:v>
                </c:pt>
                <c:pt idx="9" formatCode="General">
                  <c:v>140.86000000000001</c:v>
                </c:pt>
                <c:pt idx="10" formatCode="General">
                  <c:v>74.295000000000002</c:v>
                </c:pt>
                <c:pt idx="11" formatCode="General">
                  <c:v>28.009</c:v>
                </c:pt>
              </c:numCache>
            </c:numRef>
          </c:xVal>
          <c:yVal>
            <c:numRef>
              <c:f>'Inc13.09.19'!$F$3:$F$14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6208"/>
        <c:axId val="93646784"/>
      </c:scatterChart>
      <c:valAx>
        <c:axId val="936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6784"/>
        <c:crosses val="autoZero"/>
        <c:crossBetween val="midCat"/>
      </c:valAx>
      <c:valAx>
        <c:axId val="9364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'Pre27.08.19'!$E$3:$E$14</c:f>
              <c:numCache>
                <c:formatCode>0.00</c:formatCode>
                <c:ptCount val="12"/>
                <c:pt idx="0">
                  <c:v>436.65</c:v>
                </c:pt>
                <c:pt idx="1">
                  <c:v>417.77</c:v>
                </c:pt>
                <c:pt idx="2">
                  <c:v>366.03</c:v>
                </c:pt>
                <c:pt idx="3">
                  <c:v>329.89</c:v>
                </c:pt>
                <c:pt idx="4">
                  <c:v>286.67</c:v>
                </c:pt>
                <c:pt idx="5">
                  <c:v>243.55</c:v>
                </c:pt>
                <c:pt idx="6">
                  <c:v>178.69</c:v>
                </c:pt>
                <c:pt idx="7">
                  <c:v>148.43</c:v>
                </c:pt>
                <c:pt idx="8">
                  <c:v>110.56</c:v>
                </c:pt>
                <c:pt idx="9" formatCode="General">
                  <c:v>42.243000000000002</c:v>
                </c:pt>
                <c:pt idx="10" formatCode="General">
                  <c:v>22.97</c:v>
                </c:pt>
                <c:pt idx="11" formatCode="General">
                  <c:v>10.929</c:v>
                </c:pt>
              </c:numCache>
            </c:numRef>
          </c:xVal>
          <c:yVal>
            <c:numRef>
              <c:f>'Pre27.08.19'!$F$3:$F$14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0064"/>
        <c:axId val="215240640"/>
      </c:scatterChart>
      <c:valAx>
        <c:axId val="2152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40640"/>
        <c:crosses val="autoZero"/>
        <c:crossBetween val="midCat"/>
      </c:valAx>
      <c:valAx>
        <c:axId val="21524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4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'Inc13.09.19'!$E$3:$E$14</c:f>
              <c:numCache>
                <c:formatCode>0.00</c:formatCode>
                <c:ptCount val="12"/>
                <c:pt idx="0">
                  <c:v>437.11</c:v>
                </c:pt>
                <c:pt idx="1">
                  <c:v>418.08</c:v>
                </c:pt>
                <c:pt idx="2">
                  <c:v>368.24</c:v>
                </c:pt>
                <c:pt idx="3">
                  <c:v>338.26</c:v>
                </c:pt>
                <c:pt idx="4">
                  <c:v>293.11</c:v>
                </c:pt>
                <c:pt idx="5">
                  <c:v>244.92</c:v>
                </c:pt>
                <c:pt idx="6">
                  <c:v>196.88</c:v>
                </c:pt>
                <c:pt idx="7">
                  <c:v>154.55000000000001</c:v>
                </c:pt>
                <c:pt idx="8">
                  <c:v>113.62</c:v>
                </c:pt>
                <c:pt idx="9" formatCode="General">
                  <c:v>43.716000000000001</c:v>
                </c:pt>
                <c:pt idx="10" formatCode="General">
                  <c:v>23.434999999999999</c:v>
                </c:pt>
                <c:pt idx="11" formatCode="General">
                  <c:v>11.984999999999999</c:v>
                </c:pt>
              </c:numCache>
            </c:numRef>
          </c:xVal>
          <c:yVal>
            <c:numRef>
              <c:f>'Inc13.09.19'!$F$3:$F$14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8512"/>
        <c:axId val="93649088"/>
      </c:scatterChart>
      <c:valAx>
        <c:axId val="936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9088"/>
        <c:crosses val="autoZero"/>
        <c:crossBetween val="midCat"/>
      </c:valAx>
      <c:valAx>
        <c:axId val="9364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64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'Inc16.09.19'!$D$3:$D$14</c:f>
              <c:numCache>
                <c:formatCode>0.00</c:formatCode>
                <c:ptCount val="12"/>
                <c:pt idx="0">
                  <c:v>1757.6</c:v>
                </c:pt>
                <c:pt idx="1">
                  <c:v>1560.5</c:v>
                </c:pt>
                <c:pt idx="2">
                  <c:v>1425.4</c:v>
                </c:pt>
                <c:pt idx="3">
                  <c:v>1248.4000000000001</c:v>
                </c:pt>
                <c:pt idx="4">
                  <c:v>1113.7</c:v>
                </c:pt>
                <c:pt idx="5">
                  <c:v>899.39</c:v>
                </c:pt>
                <c:pt idx="6">
                  <c:v>753.54</c:v>
                </c:pt>
                <c:pt idx="7">
                  <c:v>547.85</c:v>
                </c:pt>
                <c:pt idx="8">
                  <c:v>413.41</c:v>
                </c:pt>
                <c:pt idx="9" formatCode="General">
                  <c:v>153.88999999999999</c:v>
                </c:pt>
                <c:pt idx="10" formatCode="General">
                  <c:v>68.814999999999998</c:v>
                </c:pt>
                <c:pt idx="11" formatCode="General">
                  <c:v>31.138999999999999</c:v>
                </c:pt>
              </c:numCache>
            </c:numRef>
          </c:xVal>
          <c:yVal>
            <c:numRef>
              <c:f>'Inc16.09.19'!$F$3:$F$14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6576"/>
        <c:axId val="156697152"/>
      </c:scatterChart>
      <c:valAx>
        <c:axId val="1566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697152"/>
        <c:crosses val="autoZero"/>
        <c:crossBetween val="midCat"/>
      </c:valAx>
      <c:valAx>
        <c:axId val="15669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69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'Inc16.09.19'!$E$3:$E$14</c:f>
              <c:numCache>
                <c:formatCode>0.00</c:formatCode>
                <c:ptCount val="12"/>
                <c:pt idx="0">
                  <c:v>446.66</c:v>
                </c:pt>
                <c:pt idx="1">
                  <c:v>424.54</c:v>
                </c:pt>
                <c:pt idx="2">
                  <c:v>375.87</c:v>
                </c:pt>
                <c:pt idx="3">
                  <c:v>322.16000000000003</c:v>
                </c:pt>
                <c:pt idx="4">
                  <c:v>288.89</c:v>
                </c:pt>
                <c:pt idx="5">
                  <c:v>245.66</c:v>
                </c:pt>
                <c:pt idx="6">
                  <c:v>211.1</c:v>
                </c:pt>
                <c:pt idx="7">
                  <c:v>145.19999999999999</c:v>
                </c:pt>
                <c:pt idx="8">
                  <c:v>116.56</c:v>
                </c:pt>
                <c:pt idx="9" formatCode="General">
                  <c:v>46.024999999999999</c:v>
                </c:pt>
                <c:pt idx="10" formatCode="General">
                  <c:v>22.097000000000001</c:v>
                </c:pt>
                <c:pt idx="11" formatCode="General">
                  <c:v>11.314</c:v>
                </c:pt>
              </c:numCache>
            </c:numRef>
          </c:xVal>
          <c:yVal>
            <c:numRef>
              <c:f>'Inc16.09.19'!$F$3:$F$14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8880"/>
        <c:axId val="156699456"/>
      </c:scatterChart>
      <c:valAx>
        <c:axId val="1566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699456"/>
        <c:crosses val="autoZero"/>
        <c:crossBetween val="midCat"/>
      </c:valAx>
      <c:valAx>
        <c:axId val="1566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6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'Inc23.09.19'!$D$3:$D$14</c:f>
              <c:numCache>
                <c:formatCode>0.00</c:formatCode>
                <c:ptCount val="12"/>
                <c:pt idx="0">
                  <c:v>1722</c:v>
                </c:pt>
                <c:pt idx="1">
                  <c:v>1531.7</c:v>
                </c:pt>
                <c:pt idx="2">
                  <c:v>1415.5</c:v>
                </c:pt>
                <c:pt idx="3">
                  <c:v>1234.0999999999999</c:v>
                </c:pt>
                <c:pt idx="4">
                  <c:v>1089.9000000000001</c:v>
                </c:pt>
                <c:pt idx="5">
                  <c:v>905.97</c:v>
                </c:pt>
                <c:pt idx="6">
                  <c:v>765.45</c:v>
                </c:pt>
                <c:pt idx="7">
                  <c:v>555.41999999999996</c:v>
                </c:pt>
                <c:pt idx="8">
                  <c:v>398.86</c:v>
                </c:pt>
                <c:pt idx="9" formatCode="General">
                  <c:v>146.84</c:v>
                </c:pt>
                <c:pt idx="10" formatCode="General">
                  <c:v>62.246000000000002</c:v>
                </c:pt>
                <c:pt idx="11" formatCode="General">
                  <c:v>30.405999999999999</c:v>
                </c:pt>
              </c:numCache>
            </c:numRef>
          </c:xVal>
          <c:yVal>
            <c:numRef>
              <c:f>'Inc23.09.19'!$F$3:$F$14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184"/>
        <c:axId val="156701760"/>
      </c:scatterChart>
      <c:valAx>
        <c:axId val="15670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701760"/>
        <c:crosses val="autoZero"/>
        <c:crossBetween val="midCat"/>
      </c:valAx>
      <c:valAx>
        <c:axId val="15670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70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'Inc23.09.19'!$E$3:$E$14</c:f>
              <c:numCache>
                <c:formatCode>0.00</c:formatCode>
                <c:ptCount val="12"/>
                <c:pt idx="0">
                  <c:v>438.27</c:v>
                </c:pt>
                <c:pt idx="1">
                  <c:v>401.25</c:v>
                </c:pt>
                <c:pt idx="2">
                  <c:v>374.82</c:v>
                </c:pt>
                <c:pt idx="3">
                  <c:v>322.86</c:v>
                </c:pt>
                <c:pt idx="4">
                  <c:v>271.95999999999998</c:v>
                </c:pt>
                <c:pt idx="5">
                  <c:v>235.33</c:v>
                </c:pt>
                <c:pt idx="6">
                  <c:v>209.81</c:v>
                </c:pt>
                <c:pt idx="7">
                  <c:v>145.22</c:v>
                </c:pt>
                <c:pt idx="8">
                  <c:v>108.25</c:v>
                </c:pt>
                <c:pt idx="9" formatCode="General">
                  <c:v>43.86</c:v>
                </c:pt>
                <c:pt idx="10" formatCode="General">
                  <c:v>20.699000000000002</c:v>
                </c:pt>
                <c:pt idx="11" formatCode="General">
                  <c:v>10.502000000000001</c:v>
                </c:pt>
              </c:numCache>
            </c:numRef>
          </c:xVal>
          <c:yVal>
            <c:numRef>
              <c:f>'Inc23.09.19'!$F$3:$F$14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3488"/>
        <c:axId val="156704064"/>
      </c:scatterChart>
      <c:valAx>
        <c:axId val="1567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704064"/>
        <c:crosses val="autoZero"/>
        <c:crossBetween val="midCat"/>
      </c:valAx>
      <c:valAx>
        <c:axId val="15670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70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'Inc30.09.19'!$D$3:$D$14</c:f>
              <c:numCache>
                <c:formatCode>0.00</c:formatCode>
                <c:ptCount val="12"/>
                <c:pt idx="0">
                  <c:v>1684</c:v>
                </c:pt>
                <c:pt idx="1">
                  <c:v>1467.3</c:v>
                </c:pt>
                <c:pt idx="2">
                  <c:v>1371.9</c:v>
                </c:pt>
                <c:pt idx="3">
                  <c:v>1195.4000000000001</c:v>
                </c:pt>
                <c:pt idx="4">
                  <c:v>1054.4000000000001</c:v>
                </c:pt>
                <c:pt idx="5">
                  <c:v>864.26</c:v>
                </c:pt>
                <c:pt idx="6">
                  <c:v>735.97</c:v>
                </c:pt>
                <c:pt idx="7">
                  <c:v>531.69000000000005</c:v>
                </c:pt>
                <c:pt idx="8">
                  <c:v>386.8</c:v>
                </c:pt>
                <c:pt idx="9" formatCode="General">
                  <c:v>146.78</c:v>
                </c:pt>
                <c:pt idx="10" formatCode="General">
                  <c:v>63.316000000000003</c:v>
                </c:pt>
                <c:pt idx="11" formatCode="General">
                  <c:v>26.082000000000001</c:v>
                </c:pt>
              </c:numCache>
            </c:numRef>
          </c:xVal>
          <c:yVal>
            <c:numRef>
              <c:f>'Inc30.09.19'!$F$3:$F$14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1456"/>
        <c:axId val="156772032"/>
      </c:scatterChart>
      <c:valAx>
        <c:axId val="1567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2032"/>
        <c:crosses val="autoZero"/>
        <c:crossBetween val="midCat"/>
      </c:valAx>
      <c:valAx>
        <c:axId val="15677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'Inc30.09.19'!$E$3:$E$14</c:f>
              <c:numCache>
                <c:formatCode>0.00</c:formatCode>
                <c:ptCount val="12"/>
                <c:pt idx="0">
                  <c:v>433.36</c:v>
                </c:pt>
                <c:pt idx="1">
                  <c:v>380.3</c:v>
                </c:pt>
                <c:pt idx="2">
                  <c:v>350.37</c:v>
                </c:pt>
                <c:pt idx="3">
                  <c:v>313.17</c:v>
                </c:pt>
                <c:pt idx="4">
                  <c:v>299.95</c:v>
                </c:pt>
                <c:pt idx="5">
                  <c:v>242.63</c:v>
                </c:pt>
                <c:pt idx="6">
                  <c:v>195.81</c:v>
                </c:pt>
                <c:pt idx="7">
                  <c:v>144.07</c:v>
                </c:pt>
                <c:pt idx="8">
                  <c:v>107.72</c:v>
                </c:pt>
                <c:pt idx="9" formatCode="General">
                  <c:v>43.078000000000003</c:v>
                </c:pt>
                <c:pt idx="10" formatCode="General">
                  <c:v>22.928999999999998</c:v>
                </c:pt>
                <c:pt idx="11" formatCode="General">
                  <c:v>11.077999999999999</c:v>
                </c:pt>
              </c:numCache>
            </c:numRef>
          </c:xVal>
          <c:yVal>
            <c:numRef>
              <c:f>'Inc30.09.19'!$F$3:$F$14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3760"/>
        <c:axId val="156774336"/>
      </c:scatterChart>
      <c:valAx>
        <c:axId val="1567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4336"/>
        <c:crosses val="autoZero"/>
        <c:crossBetween val="midCat"/>
      </c:valAx>
      <c:valAx>
        <c:axId val="15677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'Inc07.10.19'!$D$3:$D$14</c:f>
              <c:numCache>
                <c:formatCode>0.00</c:formatCode>
                <c:ptCount val="12"/>
                <c:pt idx="0">
                  <c:v>1729</c:v>
                </c:pt>
                <c:pt idx="1">
                  <c:v>1551.2</c:v>
                </c:pt>
                <c:pt idx="2">
                  <c:v>1426.8</c:v>
                </c:pt>
                <c:pt idx="3">
                  <c:v>1228.3</c:v>
                </c:pt>
                <c:pt idx="4">
                  <c:v>1078.4000000000001</c:v>
                </c:pt>
                <c:pt idx="5">
                  <c:v>882.16</c:v>
                </c:pt>
                <c:pt idx="6">
                  <c:v>759.91</c:v>
                </c:pt>
                <c:pt idx="7">
                  <c:v>506.19</c:v>
                </c:pt>
                <c:pt idx="8">
                  <c:v>392.68</c:v>
                </c:pt>
                <c:pt idx="9" formatCode="General">
                  <c:v>151.30000000000001</c:v>
                </c:pt>
                <c:pt idx="10" formatCode="General">
                  <c:v>59.243000000000002</c:v>
                </c:pt>
                <c:pt idx="11" formatCode="General">
                  <c:v>30.881</c:v>
                </c:pt>
              </c:numCache>
            </c:numRef>
          </c:xVal>
          <c:yVal>
            <c:numRef>
              <c:f>'Inc07.10.19'!$F$3:$F$14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6064"/>
        <c:axId val="156776640"/>
      </c:scatterChart>
      <c:valAx>
        <c:axId val="1567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6640"/>
        <c:crosses val="autoZero"/>
        <c:crossBetween val="midCat"/>
      </c:valAx>
      <c:valAx>
        <c:axId val="15677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677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'Inc07.10.19'!$E$3:$E$14</c:f>
              <c:numCache>
                <c:formatCode>0.00</c:formatCode>
                <c:ptCount val="12"/>
                <c:pt idx="0">
                  <c:v>447.78</c:v>
                </c:pt>
                <c:pt idx="1">
                  <c:v>421.32</c:v>
                </c:pt>
                <c:pt idx="2">
                  <c:v>368.3</c:v>
                </c:pt>
                <c:pt idx="3">
                  <c:v>335.36</c:v>
                </c:pt>
                <c:pt idx="4">
                  <c:v>290.86</c:v>
                </c:pt>
                <c:pt idx="5">
                  <c:v>249.32</c:v>
                </c:pt>
                <c:pt idx="6">
                  <c:v>206.98</c:v>
                </c:pt>
                <c:pt idx="7">
                  <c:v>147.88999999999999</c:v>
                </c:pt>
                <c:pt idx="8">
                  <c:v>110.08</c:v>
                </c:pt>
                <c:pt idx="9" formatCode="General">
                  <c:v>43.936999999999998</c:v>
                </c:pt>
                <c:pt idx="10" formatCode="General">
                  <c:v>22.521999999999998</c:v>
                </c:pt>
                <c:pt idx="11" formatCode="General">
                  <c:v>11.24</c:v>
                </c:pt>
              </c:numCache>
            </c:numRef>
          </c:xVal>
          <c:yVal>
            <c:numRef>
              <c:f>'Inc07.10.19'!$F$3:$F$14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9056"/>
        <c:axId val="157229632"/>
      </c:scatterChart>
      <c:valAx>
        <c:axId val="1572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7229632"/>
        <c:crosses val="autoZero"/>
        <c:crossBetween val="midCat"/>
      </c:valAx>
      <c:valAx>
        <c:axId val="15722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722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'Pre28.08.19'!$D$3:$D$14</c:f>
              <c:numCache>
                <c:formatCode>0.00</c:formatCode>
                <c:ptCount val="12"/>
                <c:pt idx="0">
                  <c:v>1747</c:v>
                </c:pt>
                <c:pt idx="1">
                  <c:v>1523.9</c:v>
                </c:pt>
                <c:pt idx="2">
                  <c:v>1406.7</c:v>
                </c:pt>
                <c:pt idx="3">
                  <c:v>1222.7</c:v>
                </c:pt>
                <c:pt idx="4">
                  <c:v>1072.2</c:v>
                </c:pt>
                <c:pt idx="5">
                  <c:v>905.71</c:v>
                </c:pt>
                <c:pt idx="6">
                  <c:v>755.84</c:v>
                </c:pt>
                <c:pt idx="7">
                  <c:v>523.79999999999995</c:v>
                </c:pt>
                <c:pt idx="8">
                  <c:v>405.65</c:v>
                </c:pt>
                <c:pt idx="9" formatCode="General">
                  <c:v>152.97</c:v>
                </c:pt>
                <c:pt idx="10" formatCode="General">
                  <c:v>73.025999999999996</c:v>
                </c:pt>
                <c:pt idx="11" formatCode="General">
                  <c:v>33.82</c:v>
                </c:pt>
              </c:numCache>
            </c:numRef>
          </c:xVal>
          <c:yVal>
            <c:numRef>
              <c:f>'Pre28.08.19'!$F$3:$F$14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2368"/>
        <c:axId val="215242944"/>
      </c:scatterChart>
      <c:valAx>
        <c:axId val="2152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42944"/>
        <c:crosses val="autoZero"/>
        <c:crossBetween val="midCat"/>
      </c:valAx>
      <c:valAx>
        <c:axId val="21524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24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'Pre28.08.19'!$E$3:$E$14</c:f>
              <c:numCache>
                <c:formatCode>0.00</c:formatCode>
                <c:ptCount val="12"/>
                <c:pt idx="0">
                  <c:v>434.37</c:v>
                </c:pt>
                <c:pt idx="1">
                  <c:v>393.32</c:v>
                </c:pt>
                <c:pt idx="2">
                  <c:v>383.62</c:v>
                </c:pt>
                <c:pt idx="3">
                  <c:v>308.8</c:v>
                </c:pt>
                <c:pt idx="4">
                  <c:v>305.07</c:v>
                </c:pt>
                <c:pt idx="5">
                  <c:v>238.05</c:v>
                </c:pt>
                <c:pt idx="6">
                  <c:v>203.47</c:v>
                </c:pt>
                <c:pt idx="7">
                  <c:v>156.29</c:v>
                </c:pt>
                <c:pt idx="8">
                  <c:v>113.16</c:v>
                </c:pt>
                <c:pt idx="9" formatCode="General">
                  <c:v>44.734999999999999</c:v>
                </c:pt>
                <c:pt idx="10" formatCode="General">
                  <c:v>22.265999999999998</c:v>
                </c:pt>
                <c:pt idx="11" formatCode="General">
                  <c:v>11.776999999999999</c:v>
                </c:pt>
              </c:numCache>
            </c:numRef>
          </c:xVal>
          <c:yVal>
            <c:numRef>
              <c:f>'Pre28.08.19'!$F$3:$F$14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57792"/>
        <c:axId val="215458368"/>
      </c:scatterChart>
      <c:valAx>
        <c:axId val="2154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58368"/>
        <c:crosses val="autoZero"/>
        <c:crossBetween val="midCat"/>
      </c:valAx>
      <c:valAx>
        <c:axId val="21545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5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'Pre29.08.19'!$D$3:$D$14</c:f>
              <c:numCache>
                <c:formatCode>0.00</c:formatCode>
                <c:ptCount val="12"/>
                <c:pt idx="0">
                  <c:v>1738.5</c:v>
                </c:pt>
                <c:pt idx="1">
                  <c:v>1511.4</c:v>
                </c:pt>
                <c:pt idx="2">
                  <c:v>1413.8</c:v>
                </c:pt>
                <c:pt idx="3">
                  <c:v>1235.7</c:v>
                </c:pt>
                <c:pt idx="4">
                  <c:v>1076.8</c:v>
                </c:pt>
                <c:pt idx="5">
                  <c:v>862.49</c:v>
                </c:pt>
                <c:pt idx="6">
                  <c:v>709.89</c:v>
                </c:pt>
                <c:pt idx="7">
                  <c:v>557.54999999999995</c:v>
                </c:pt>
                <c:pt idx="8">
                  <c:v>394.1</c:v>
                </c:pt>
                <c:pt idx="9" formatCode="General">
                  <c:v>145.63</c:v>
                </c:pt>
                <c:pt idx="10" formatCode="General">
                  <c:v>63.646000000000001</c:v>
                </c:pt>
                <c:pt idx="11" formatCode="General">
                  <c:v>32.427</c:v>
                </c:pt>
              </c:numCache>
            </c:numRef>
          </c:xVal>
          <c:yVal>
            <c:numRef>
              <c:f>'Pre29.08.19'!$F$3:$F$14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0096"/>
        <c:axId val="215460672"/>
      </c:scatterChart>
      <c:valAx>
        <c:axId val="2154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60672"/>
        <c:crosses val="autoZero"/>
        <c:crossBetween val="midCat"/>
      </c:valAx>
      <c:valAx>
        <c:axId val="21546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6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'Pre29.08.19'!$E$3:$E$14</c:f>
              <c:numCache>
                <c:formatCode>0.00</c:formatCode>
                <c:ptCount val="12"/>
                <c:pt idx="0">
                  <c:v>446.69</c:v>
                </c:pt>
                <c:pt idx="1">
                  <c:v>408.42</c:v>
                </c:pt>
                <c:pt idx="2">
                  <c:v>357.72</c:v>
                </c:pt>
                <c:pt idx="3">
                  <c:v>319.07</c:v>
                </c:pt>
                <c:pt idx="4">
                  <c:v>277.61</c:v>
                </c:pt>
                <c:pt idx="5">
                  <c:v>236.91</c:v>
                </c:pt>
                <c:pt idx="6">
                  <c:v>202.03</c:v>
                </c:pt>
                <c:pt idx="7">
                  <c:v>149.13</c:v>
                </c:pt>
                <c:pt idx="8">
                  <c:v>112.5</c:v>
                </c:pt>
                <c:pt idx="9" formatCode="General">
                  <c:v>45.005000000000003</c:v>
                </c:pt>
                <c:pt idx="10" formatCode="General">
                  <c:v>20.524999999999999</c:v>
                </c:pt>
                <c:pt idx="11" formatCode="General">
                  <c:v>11.279</c:v>
                </c:pt>
              </c:numCache>
            </c:numRef>
          </c:xVal>
          <c:yVal>
            <c:numRef>
              <c:f>'Pre29.08.19'!$F$3:$F$14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3552"/>
        <c:axId val="215464128"/>
      </c:scatterChart>
      <c:valAx>
        <c:axId val="2154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64128"/>
        <c:crosses val="autoZero"/>
        <c:crossBetween val="midCat"/>
      </c:valAx>
      <c:valAx>
        <c:axId val="21546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'Pre30.08.19'!$D$3:$D$14</c:f>
              <c:numCache>
                <c:formatCode>0.00</c:formatCode>
                <c:ptCount val="12"/>
                <c:pt idx="0">
                  <c:v>1764.3</c:v>
                </c:pt>
                <c:pt idx="1">
                  <c:v>1555.3</c:v>
                </c:pt>
                <c:pt idx="2">
                  <c:v>1422.3</c:v>
                </c:pt>
                <c:pt idx="3">
                  <c:v>1235.5</c:v>
                </c:pt>
                <c:pt idx="4">
                  <c:v>1052.5999999999999</c:v>
                </c:pt>
                <c:pt idx="5">
                  <c:v>893.67</c:v>
                </c:pt>
                <c:pt idx="6">
                  <c:v>716.4</c:v>
                </c:pt>
                <c:pt idx="7">
                  <c:v>548.38</c:v>
                </c:pt>
                <c:pt idx="8">
                  <c:v>389.25</c:v>
                </c:pt>
                <c:pt idx="9" formatCode="General">
                  <c:v>153.43</c:v>
                </c:pt>
                <c:pt idx="10" formatCode="General">
                  <c:v>67.837999999999994</c:v>
                </c:pt>
                <c:pt idx="11" formatCode="General">
                  <c:v>30.89</c:v>
                </c:pt>
              </c:numCache>
            </c:numRef>
          </c:xVal>
          <c:yVal>
            <c:numRef>
              <c:f>'Pre30.08.19'!$F$3:$F$14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4704"/>
        <c:axId val="92029504"/>
      </c:scatterChart>
      <c:valAx>
        <c:axId val="2154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029504"/>
        <c:crosses val="autoZero"/>
        <c:crossBetween val="midCat"/>
      </c:valAx>
      <c:valAx>
        <c:axId val="9202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546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'Pre30.08.19'!$E$3:$E$14</c:f>
              <c:numCache>
                <c:formatCode>0.00</c:formatCode>
                <c:ptCount val="12"/>
                <c:pt idx="0">
                  <c:v>453.07</c:v>
                </c:pt>
                <c:pt idx="1">
                  <c:v>409.76</c:v>
                </c:pt>
                <c:pt idx="2">
                  <c:v>387.79</c:v>
                </c:pt>
                <c:pt idx="3">
                  <c:v>321.26</c:v>
                </c:pt>
                <c:pt idx="4">
                  <c:v>254.93</c:v>
                </c:pt>
                <c:pt idx="5">
                  <c:v>243.41</c:v>
                </c:pt>
                <c:pt idx="6">
                  <c:v>207.74</c:v>
                </c:pt>
                <c:pt idx="7">
                  <c:v>144.12</c:v>
                </c:pt>
                <c:pt idx="8">
                  <c:v>113.53</c:v>
                </c:pt>
                <c:pt idx="9" formatCode="General">
                  <c:v>44.432000000000002</c:v>
                </c:pt>
                <c:pt idx="10" formatCode="General">
                  <c:v>22.234999999999999</c:v>
                </c:pt>
                <c:pt idx="11" formatCode="General">
                  <c:v>10.631</c:v>
                </c:pt>
              </c:numCache>
            </c:numRef>
          </c:xVal>
          <c:yVal>
            <c:numRef>
              <c:f>'Pre30.08.19'!$F$3:$F$14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1232"/>
        <c:axId val="92031808"/>
      </c:scatterChart>
      <c:valAx>
        <c:axId val="920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031808"/>
        <c:crosses val="autoZero"/>
        <c:crossBetween val="midCat"/>
      </c:valAx>
      <c:valAx>
        <c:axId val="9203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03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'Inc02.09.19'!$D$3:$D$14</c:f>
              <c:numCache>
                <c:formatCode>0.00</c:formatCode>
                <c:ptCount val="12"/>
                <c:pt idx="0">
                  <c:v>1712.9</c:v>
                </c:pt>
                <c:pt idx="1">
                  <c:v>1535.9</c:v>
                </c:pt>
                <c:pt idx="2">
                  <c:v>1376.9</c:v>
                </c:pt>
                <c:pt idx="3">
                  <c:v>1221.3</c:v>
                </c:pt>
                <c:pt idx="4">
                  <c:v>1090.4000000000001</c:v>
                </c:pt>
                <c:pt idx="5">
                  <c:v>859.96</c:v>
                </c:pt>
                <c:pt idx="6">
                  <c:v>731.29</c:v>
                </c:pt>
                <c:pt idx="7">
                  <c:v>549.79999999999995</c:v>
                </c:pt>
                <c:pt idx="8">
                  <c:v>363.52</c:v>
                </c:pt>
                <c:pt idx="9" formatCode="General">
                  <c:v>144.46</c:v>
                </c:pt>
                <c:pt idx="10" formatCode="General">
                  <c:v>67.057000000000002</c:v>
                </c:pt>
                <c:pt idx="11" formatCode="General">
                  <c:v>30.773</c:v>
                </c:pt>
              </c:numCache>
            </c:numRef>
          </c:xVal>
          <c:yVal>
            <c:numRef>
              <c:f>'Inc02.09.19'!$F$3:$F$14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3536"/>
        <c:axId val="92034112"/>
      </c:scatterChart>
      <c:valAx>
        <c:axId val="920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034112"/>
        <c:crosses val="autoZero"/>
        <c:crossBetween val="midCat"/>
      </c:valAx>
      <c:valAx>
        <c:axId val="9203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203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5" x14ac:dyDescent="0.25"/>
  <sheetData>
    <row r="3" spans="1:1" x14ac:dyDescent="0.25">
      <c r="A3" t="s">
        <v>150</v>
      </c>
    </row>
    <row r="4" spans="1:1" x14ac:dyDescent="0.25">
      <c r="A4" t="s">
        <v>149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0" zoomScaleNormal="80" workbookViewId="0">
      <selection activeCell="I17" sqref="I17:I28"/>
    </sheetView>
  </sheetViews>
  <sheetFormatPr baseColWidth="10" defaultRowHeight="15" x14ac:dyDescent="0.25"/>
  <cols>
    <col min="2" max="2" width="15.1406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43705</v>
      </c>
      <c r="C3" s="58">
        <v>2992</v>
      </c>
      <c r="D3" s="47">
        <v>1747</v>
      </c>
      <c r="E3" s="59">
        <v>434.37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43705</v>
      </c>
      <c r="C4" s="58">
        <v>2992</v>
      </c>
      <c r="D4" s="59">
        <v>1523.9</v>
      </c>
      <c r="E4" s="59">
        <v>393.32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43705</v>
      </c>
      <c r="C5" s="58">
        <v>2992</v>
      </c>
      <c r="D5" s="47">
        <v>1406.7</v>
      </c>
      <c r="E5" s="59">
        <v>383.62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43705</v>
      </c>
      <c r="C6" s="58">
        <v>2992</v>
      </c>
      <c r="D6" s="59">
        <v>1222.7</v>
      </c>
      <c r="E6" s="59">
        <v>308.8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43705</v>
      </c>
      <c r="C7" s="58">
        <v>2992</v>
      </c>
      <c r="D7" s="47">
        <v>1072.2</v>
      </c>
      <c r="E7" s="59">
        <v>305.07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43705</v>
      </c>
      <c r="C8" s="58">
        <v>2992</v>
      </c>
      <c r="D8" s="59">
        <v>905.71</v>
      </c>
      <c r="E8" s="59">
        <v>238.05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43705</v>
      </c>
      <c r="C9" s="58">
        <v>2992</v>
      </c>
      <c r="D9" s="47">
        <v>755.84</v>
      </c>
      <c r="E9" s="59">
        <v>203.47</v>
      </c>
      <c r="F9" s="60">
        <f t="shared" si="0"/>
        <v>5.984</v>
      </c>
      <c r="G9" s="63" t="s">
        <v>75</v>
      </c>
      <c r="H9" s="63"/>
      <c r="I9" s="64">
        <f>SLOPE(F3:F14,D3:D14)</f>
        <v>8.6203522739388746E-3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43705</v>
      </c>
      <c r="C10" s="58">
        <v>2992</v>
      </c>
      <c r="D10" s="47">
        <v>523.79999999999995</v>
      </c>
      <c r="E10" s="59">
        <v>156.29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-0.24990370151834274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43705</v>
      </c>
      <c r="C11" s="58">
        <v>2992</v>
      </c>
      <c r="D11" s="47">
        <v>405.65</v>
      </c>
      <c r="E11" s="59">
        <v>113.16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43705</v>
      </c>
      <c r="C12" s="58">
        <v>2992</v>
      </c>
      <c r="D12" s="65">
        <v>152.97</v>
      </c>
      <c r="E12" s="65">
        <v>44.734999999999999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3.3747014772404167E-2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43705</v>
      </c>
      <c r="C13" s="58">
        <v>2992</v>
      </c>
      <c r="D13" s="65">
        <v>73.025999999999996</v>
      </c>
      <c r="E13" s="65">
        <v>22.265999999999998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-0.54703448706444124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43705</v>
      </c>
      <c r="C14" s="58">
        <v>2992</v>
      </c>
      <c r="D14" s="65">
        <v>33.82</v>
      </c>
      <c r="E14" s="65">
        <v>11.776999999999999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 x14ac:dyDescent="0.25">
      <c r="A17" s="33" t="s">
        <v>132</v>
      </c>
      <c r="B17" s="77">
        <v>43705.486111111109</v>
      </c>
      <c r="C17" s="49">
        <v>4</v>
      </c>
      <c r="D17" s="78">
        <v>1734</v>
      </c>
      <c r="E17" s="79">
        <v>461.27</v>
      </c>
      <c r="F17" s="80">
        <f>((I$9*D17)+I$10)/C17/1000</f>
        <v>3.6744467853729165E-3</v>
      </c>
      <c r="G17" s="80">
        <f>((I$12*E17)+I$13)/C17/1000</f>
        <v>3.7548627542506072E-3</v>
      </c>
      <c r="H17" s="80"/>
      <c r="I17" s="81">
        <f>jar_information!M3</f>
        <v>43703.416666666664</v>
      </c>
      <c r="J17" s="82">
        <f t="shared" ref="J17:J28" si="1">B17-I17</f>
        <v>2.0694444444452529</v>
      </c>
      <c r="K17" s="82">
        <f>J17*24</f>
        <v>49.666666666686069</v>
      </c>
      <c r="L17" s="83">
        <f>jar_information!G3</f>
        <v>1050.5774088776614</v>
      </c>
      <c r="M17" s="82">
        <f>F17*L17</f>
        <v>3.8602907828359307</v>
      </c>
      <c r="N17" s="82">
        <f>M17*1.83</f>
        <v>7.0643321325897537</v>
      </c>
      <c r="O17" s="84">
        <f t="shared" ref="O17:O28" si="2">N17*(12/(12+(16*2)))</f>
        <v>1.9266360361608417</v>
      </c>
      <c r="P17" s="85">
        <f>O17*(400/(400+L17))</f>
        <v>0.53127424275868618</v>
      </c>
      <c r="Q17" s="86"/>
      <c r="R17" s="86">
        <f>Q17/314.7</f>
        <v>0</v>
      </c>
      <c r="S17" s="86">
        <f>R17/P17*100</f>
        <v>0</v>
      </c>
      <c r="T17" s="87">
        <f>F17*1000000</f>
        <v>3674.4467853729166</v>
      </c>
      <c r="U17" s="10">
        <f>M17/L17*100</f>
        <v>0.36744467853729162</v>
      </c>
      <c r="V17" s="103">
        <f>O17/K17</f>
        <v>3.8791329587115883E-2</v>
      </c>
    </row>
    <row r="18" spans="1:22" x14ac:dyDescent="0.25">
      <c r="A18" s="33" t="s">
        <v>133</v>
      </c>
      <c r="B18" s="77">
        <v>43705.486111111109</v>
      </c>
      <c r="C18" s="49">
        <v>4</v>
      </c>
      <c r="D18" s="88">
        <v>1703.4</v>
      </c>
      <c r="E18" s="89">
        <v>456.01</v>
      </c>
      <c r="F18" s="80">
        <f t="shared" ref="F18:F28" si="3">((I$9*D18)+I$10)/C18/1000</f>
        <v>3.6085010904772837E-3</v>
      </c>
      <c r="G18" s="80">
        <f t="shared" ref="G18:G28" si="4">((I$12*E18)+I$13)/C18/1000</f>
        <v>3.7104854298248961E-3</v>
      </c>
      <c r="H18" s="80"/>
      <c r="I18" s="81">
        <f>jar_information!M4</f>
        <v>43703.416666666664</v>
      </c>
      <c r="J18" s="82">
        <f t="shared" si="1"/>
        <v>2.0694444444452529</v>
      </c>
      <c r="K18" s="82">
        <f t="shared" ref="K18:K28" si="5">J18*24</f>
        <v>49.666666666686069</v>
      </c>
      <c r="L18" s="83">
        <f>jar_information!G4</f>
        <v>1050.5774088776614</v>
      </c>
      <c r="M18" s="82">
        <f t="shared" ref="M18:M28" si="6">F18*L18</f>
        <v>3.7910097255658401</v>
      </c>
      <c r="N18" s="82">
        <f t="shared" ref="N18:N28" si="7">M18*1.83</f>
        <v>6.9375477977854878</v>
      </c>
      <c r="O18" s="84">
        <f t="shared" si="2"/>
        <v>1.892058490305133</v>
      </c>
      <c r="P18" s="85">
        <f t="shared" ref="P18:P28" si="8">O18*(400/(400+L18))</f>
        <v>0.52173940631518689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3608.5010904772839</v>
      </c>
      <c r="U18" s="10">
        <f t="shared" ref="U18:U28" si="11">M18/L18*100</f>
        <v>0.36085010904772835</v>
      </c>
      <c r="V18" s="103">
        <f t="shared" ref="V18:V28" si="12">O18/K18</f>
        <v>3.8095137388679069E-2</v>
      </c>
    </row>
    <row r="19" spans="1:22" x14ac:dyDescent="0.25">
      <c r="A19" s="33" t="s">
        <v>134</v>
      </c>
      <c r="B19" s="77">
        <v>43705.486111111109</v>
      </c>
      <c r="C19" s="49">
        <v>5</v>
      </c>
      <c r="D19" s="90">
        <v>1417.6</v>
      </c>
      <c r="E19" s="91">
        <v>376.84</v>
      </c>
      <c r="F19" s="80">
        <f t="shared" si="3"/>
        <v>2.3940615364034814E-3</v>
      </c>
      <c r="G19" s="80">
        <f t="shared" si="4"/>
        <v>2.4340381119536689E-3</v>
      </c>
      <c r="H19" s="80"/>
      <c r="I19" s="81">
        <f>jar_information!M5</f>
        <v>43703.416666666664</v>
      </c>
      <c r="J19" s="82">
        <f t="shared" si="1"/>
        <v>2.0694444444452529</v>
      </c>
      <c r="K19" s="82">
        <f t="shared" si="5"/>
        <v>49.666666666686069</v>
      </c>
      <c r="L19" s="83">
        <f>jar_information!G5</f>
        <v>1050.5774088776614</v>
      </c>
      <c r="M19" s="82">
        <f t="shared" si="6"/>
        <v>2.5151469656084422</v>
      </c>
      <c r="N19" s="82">
        <f t="shared" si="7"/>
        <v>4.6027189470634493</v>
      </c>
      <c r="O19" s="84">
        <f t="shared" si="2"/>
        <v>1.2552869855627589</v>
      </c>
      <c r="P19" s="85">
        <f t="shared" si="8"/>
        <v>0.34614822425340197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2394.0615364034816</v>
      </c>
      <c r="U19" s="10">
        <f t="shared" si="11"/>
        <v>0.23940615364034815</v>
      </c>
      <c r="V19" s="103">
        <f t="shared" si="12"/>
        <v>2.5274234608636276E-2</v>
      </c>
    </row>
    <row r="20" spans="1:22" x14ac:dyDescent="0.25">
      <c r="A20" s="33" t="s">
        <v>135</v>
      </c>
      <c r="B20" s="77">
        <v>43705.486111111109</v>
      </c>
      <c r="C20" s="49">
        <v>5</v>
      </c>
      <c r="D20" s="90">
        <v>1340.7</v>
      </c>
      <c r="E20" s="91">
        <v>348.04</v>
      </c>
      <c r="F20" s="80">
        <f t="shared" si="3"/>
        <v>2.2614805184303015E-3</v>
      </c>
      <c r="G20" s="80">
        <f t="shared" si="4"/>
        <v>2.2396553068646211E-3</v>
      </c>
      <c r="H20" s="80"/>
      <c r="I20" s="81">
        <f>jar_information!M6</f>
        <v>43703.416666666664</v>
      </c>
      <c r="J20" s="82">
        <f t="shared" si="1"/>
        <v>2.0694444444452529</v>
      </c>
      <c r="K20" s="82">
        <f t="shared" si="5"/>
        <v>49.666666666686069</v>
      </c>
      <c r="L20" s="83">
        <f>jar_information!G6</f>
        <v>1055.454159400779</v>
      </c>
      <c r="M20" s="82">
        <f t="shared" si="6"/>
        <v>2.3868890195810915</v>
      </c>
      <c r="N20" s="82">
        <f t="shared" si="7"/>
        <v>4.3680069058333979</v>
      </c>
      <c r="O20" s="84">
        <f t="shared" si="2"/>
        <v>1.1912746106818357</v>
      </c>
      <c r="P20" s="85">
        <f t="shared" si="8"/>
        <v>0.32739598234335104</v>
      </c>
      <c r="Q20" s="86"/>
      <c r="R20" s="86">
        <f t="shared" si="9"/>
        <v>0</v>
      </c>
      <c r="S20" s="86">
        <f t="shared" si="13"/>
        <v>0</v>
      </c>
      <c r="T20" s="87">
        <f t="shared" si="10"/>
        <v>2261.4805184303013</v>
      </c>
      <c r="U20" s="10">
        <f t="shared" si="11"/>
        <v>0.22614805184303013</v>
      </c>
      <c r="V20" s="103">
        <f t="shared" si="12"/>
        <v>2.3985394845933632E-2</v>
      </c>
    </row>
    <row r="21" spans="1:22" x14ac:dyDescent="0.25">
      <c r="A21" s="33" t="s">
        <v>136</v>
      </c>
      <c r="B21" s="77">
        <v>43705.486111111109</v>
      </c>
      <c r="C21" s="49">
        <v>5</v>
      </c>
      <c r="D21" s="90">
        <v>744.04</v>
      </c>
      <c r="E21" s="91">
        <v>207.05</v>
      </c>
      <c r="F21" s="80">
        <f t="shared" si="3"/>
        <v>1.2327966408766274E-3</v>
      </c>
      <c r="G21" s="80">
        <f t="shared" si="4"/>
        <v>1.2880569843123685E-3</v>
      </c>
      <c r="H21" s="80"/>
      <c r="I21" s="81">
        <f>jar_information!M7</f>
        <v>43703.416666666664</v>
      </c>
      <c r="J21" s="82">
        <f t="shared" si="1"/>
        <v>2.0694444444452529</v>
      </c>
      <c r="K21" s="82">
        <f t="shared" si="5"/>
        <v>49.666666666686069</v>
      </c>
      <c r="L21" s="83">
        <f>jar_information!G7</f>
        <v>1065.2508812788285</v>
      </c>
      <c r="M21" s="82">
        <f t="shared" si="6"/>
        <v>1.3132377081314068</v>
      </c>
      <c r="N21" s="82">
        <f t="shared" si="7"/>
        <v>2.4032250058804747</v>
      </c>
      <c r="O21" s="84">
        <f t="shared" si="2"/>
        <v>0.65542500160376582</v>
      </c>
      <c r="P21" s="85">
        <f t="shared" si="8"/>
        <v>0.1789249909289882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1232.7966408766274</v>
      </c>
      <c r="U21" s="10">
        <f t="shared" si="11"/>
        <v>0.12327966408766274</v>
      </c>
      <c r="V21" s="103">
        <f t="shared" si="12"/>
        <v>1.3196476542352545E-2</v>
      </c>
    </row>
    <row r="22" spans="1:22" x14ac:dyDescent="0.25">
      <c r="A22" s="33" t="s">
        <v>145</v>
      </c>
      <c r="B22" s="77">
        <v>43705.486111111109</v>
      </c>
      <c r="C22" s="49">
        <v>5</v>
      </c>
      <c r="D22" s="90">
        <v>727.72</v>
      </c>
      <c r="E22" s="91">
        <v>199.12</v>
      </c>
      <c r="F22" s="80">
        <f t="shared" si="3"/>
        <v>1.204659811054491E-3</v>
      </c>
      <c r="G22" s="80">
        <f t="shared" si="4"/>
        <v>1.2345342188833353E-3</v>
      </c>
      <c r="H22" s="80"/>
      <c r="I22" s="81">
        <f>jar_information!M8</f>
        <v>43703.416666666664</v>
      </c>
      <c r="J22" s="82">
        <f t="shared" si="1"/>
        <v>2.0694444444452529</v>
      </c>
      <c r="K22" s="82">
        <f t="shared" si="5"/>
        <v>49.666666666686069</v>
      </c>
      <c r="L22" s="83">
        <f>jar_information!G8</f>
        <v>1050.5774088776614</v>
      </c>
      <c r="M22" s="82">
        <f t="shared" si="6"/>
        <v>1.2655883828766803</v>
      </c>
      <c r="N22" s="82">
        <f t="shared" si="7"/>
        <v>2.3160267406643249</v>
      </c>
      <c r="O22" s="84">
        <f t="shared" si="2"/>
        <v>0.6316436565448158</v>
      </c>
      <c r="P22" s="85">
        <f t="shared" si="8"/>
        <v>0.17417716632813968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1204.659811054491</v>
      </c>
      <c r="U22" s="10">
        <f t="shared" si="11"/>
        <v>0.12046598110544909</v>
      </c>
      <c r="V22" s="103">
        <f t="shared" si="12"/>
        <v>1.2717657514320182E-2</v>
      </c>
    </row>
    <row r="23" spans="1:22" x14ac:dyDescent="0.25">
      <c r="A23" s="33" t="s">
        <v>137</v>
      </c>
      <c r="B23" s="77">
        <v>43705.486111111109</v>
      </c>
      <c r="C23" s="49">
        <v>2</v>
      </c>
      <c r="D23" s="90">
        <v>1116.2</v>
      </c>
      <c r="E23" s="91">
        <v>302.52</v>
      </c>
      <c r="F23" s="80">
        <f t="shared" si="3"/>
        <v>4.686066753326115E-3</v>
      </c>
      <c r="G23" s="80">
        <f t="shared" si="4"/>
        <v>4.8310562109416342E-3</v>
      </c>
      <c r="H23" s="80"/>
      <c r="I23" s="81">
        <f>jar_information!M9</f>
        <v>43703.416666666664</v>
      </c>
      <c r="J23" s="82">
        <f t="shared" si="1"/>
        <v>2.0694444444452529</v>
      </c>
      <c r="K23" s="82">
        <f t="shared" si="5"/>
        <v>49.666666666686069</v>
      </c>
      <c r="L23" s="83">
        <f>jar_information!G9</f>
        <v>1050.5774088776614</v>
      </c>
      <c r="M23" s="82">
        <f t="shared" si="6"/>
        <v>4.9230758675371051</v>
      </c>
      <c r="N23" s="82">
        <f t="shared" si="7"/>
        <v>9.0092288375929019</v>
      </c>
      <c r="O23" s="84">
        <f t="shared" si="2"/>
        <v>2.4570624102526093</v>
      </c>
      <c r="P23" s="85">
        <f t="shared" si="8"/>
        <v>0.67754051461581322</v>
      </c>
      <c r="Q23" s="86"/>
      <c r="R23" s="86">
        <f t="shared" si="9"/>
        <v>0</v>
      </c>
      <c r="S23" s="86">
        <f t="shared" si="13"/>
        <v>0</v>
      </c>
      <c r="T23" s="87">
        <f t="shared" si="10"/>
        <v>4686.0667533261148</v>
      </c>
      <c r="U23" s="10">
        <f t="shared" si="11"/>
        <v>0.46860667533261152</v>
      </c>
      <c r="V23" s="103">
        <f t="shared" si="12"/>
        <v>4.9471055239966095E-2</v>
      </c>
    </row>
    <row r="24" spans="1:22" x14ac:dyDescent="0.25">
      <c r="A24" s="33" t="s">
        <v>140</v>
      </c>
      <c r="B24" s="77">
        <v>43705.486111111109</v>
      </c>
      <c r="C24" s="49">
        <v>2</v>
      </c>
      <c r="D24" s="90">
        <v>1165.4000000000001</v>
      </c>
      <c r="E24" s="91">
        <v>306.8</v>
      </c>
      <c r="F24" s="80">
        <f t="shared" si="3"/>
        <v>4.8981274192650111E-3</v>
      </c>
      <c r="G24" s="80">
        <f t="shared" si="4"/>
        <v>4.9032748225545791E-3</v>
      </c>
      <c r="H24" s="80"/>
      <c r="I24" s="81">
        <f>jar_information!M10</f>
        <v>43703.416666666664</v>
      </c>
      <c r="J24" s="82">
        <f t="shared" si="1"/>
        <v>2.0694444444452529</v>
      </c>
      <c r="K24" s="82">
        <f t="shared" si="5"/>
        <v>49.666666666686069</v>
      </c>
      <c r="L24" s="83">
        <f>jar_information!G10</f>
        <v>1055.454159400779</v>
      </c>
      <c r="M24" s="82">
        <f t="shared" si="6"/>
        <v>5.1697489579382587</v>
      </c>
      <c r="N24" s="82">
        <f t="shared" si="7"/>
        <v>9.4606405930270139</v>
      </c>
      <c r="O24" s="84">
        <f t="shared" si="2"/>
        <v>2.5801747071891854</v>
      </c>
      <c r="P24" s="85">
        <f t="shared" si="8"/>
        <v>0.709105042030719</v>
      </c>
      <c r="Q24" s="86"/>
      <c r="R24" s="86">
        <f t="shared" si="9"/>
        <v>0</v>
      </c>
      <c r="S24" s="86">
        <f t="shared" si="13"/>
        <v>0</v>
      </c>
      <c r="T24" s="87">
        <f t="shared" si="10"/>
        <v>4898.1274192650108</v>
      </c>
      <c r="U24" s="10">
        <f t="shared" si="11"/>
        <v>0.48981274192650109</v>
      </c>
      <c r="V24" s="103">
        <f t="shared" si="12"/>
        <v>5.1949826319225047E-2</v>
      </c>
    </row>
    <row r="25" spans="1:22" x14ac:dyDescent="0.25">
      <c r="A25" s="33" t="s">
        <v>138</v>
      </c>
      <c r="B25" s="77">
        <v>43705.486111111109</v>
      </c>
      <c r="C25" s="49">
        <v>2</v>
      </c>
      <c r="D25" s="90">
        <v>1099.0999999999999</v>
      </c>
      <c r="E25" s="91">
        <v>301.18</v>
      </c>
      <c r="F25" s="80">
        <f t="shared" si="3"/>
        <v>4.6123627413839369E-3</v>
      </c>
      <c r="G25" s="80">
        <f t="shared" si="4"/>
        <v>4.8084457110441235E-3</v>
      </c>
      <c r="H25" s="80"/>
      <c r="I25" s="81">
        <f>jar_information!M11</f>
        <v>43703.416666666664</v>
      </c>
      <c r="J25" s="82">
        <f t="shared" si="1"/>
        <v>2.0694444444452529</v>
      </c>
      <c r="K25" s="82">
        <f t="shared" si="5"/>
        <v>49.666666666686069</v>
      </c>
      <c r="L25" s="83">
        <f>jar_information!G11</f>
        <v>1021.6154823015972</v>
      </c>
      <c r="M25" s="82">
        <f t="shared" si="6"/>
        <v>4.7120611865888682</v>
      </c>
      <c r="N25" s="82">
        <f t="shared" si="7"/>
        <v>8.6230719714576285</v>
      </c>
      <c r="O25" s="84">
        <f t="shared" si="2"/>
        <v>2.3517469013066257</v>
      </c>
      <c r="P25" s="85">
        <f t="shared" si="8"/>
        <v>0.66171111122091741</v>
      </c>
      <c r="Q25" s="86"/>
      <c r="R25" s="86">
        <f t="shared" si="9"/>
        <v>0</v>
      </c>
      <c r="S25" s="86">
        <f t="shared" si="13"/>
        <v>0</v>
      </c>
      <c r="T25" s="87">
        <f t="shared" si="10"/>
        <v>4612.3627413839367</v>
      </c>
      <c r="U25" s="10">
        <f t="shared" si="11"/>
        <v>0.46123627413839369</v>
      </c>
      <c r="V25" s="103">
        <f t="shared" si="12"/>
        <v>4.7350608751121619E-2</v>
      </c>
    </row>
    <row r="26" spans="1:22" x14ac:dyDescent="0.25">
      <c r="A26" s="33" t="s">
        <v>141</v>
      </c>
      <c r="B26" s="77">
        <v>43705.486111111109</v>
      </c>
      <c r="C26" s="49">
        <v>2</v>
      </c>
      <c r="D26" s="90">
        <v>1128.9000000000001</v>
      </c>
      <c r="E26" s="91">
        <v>295.08</v>
      </c>
      <c r="F26" s="80">
        <f t="shared" si="3"/>
        <v>4.740805990265628E-3</v>
      </c>
      <c r="G26" s="80">
        <f t="shared" si="4"/>
        <v>4.7055173159882904E-3</v>
      </c>
      <c r="H26" s="80"/>
      <c r="I26" s="81">
        <f>jar_information!M12</f>
        <v>43703.416666666664</v>
      </c>
      <c r="J26" s="82">
        <f t="shared" si="1"/>
        <v>2.0694444444452529</v>
      </c>
      <c r="K26" s="82">
        <f t="shared" si="5"/>
        <v>49.666666666686069</v>
      </c>
      <c r="L26" s="83">
        <f>jar_information!G12</f>
        <v>1045.7149806761979</v>
      </c>
      <c r="M26" s="82">
        <f t="shared" si="6"/>
        <v>4.9575318445002248</v>
      </c>
      <c r="N26" s="82">
        <f t="shared" si="7"/>
        <v>9.0722832754354119</v>
      </c>
      <c r="O26" s="84">
        <f t="shared" si="2"/>
        <v>2.4742590751187485</v>
      </c>
      <c r="P26" s="85">
        <f t="shared" si="8"/>
        <v>0.68457728063701029</v>
      </c>
      <c r="Q26" s="86"/>
      <c r="R26" s="86">
        <f t="shared" si="9"/>
        <v>0</v>
      </c>
      <c r="S26" s="86">
        <f t="shared" si="13"/>
        <v>0</v>
      </c>
      <c r="T26" s="87">
        <f t="shared" si="10"/>
        <v>4740.8059902656278</v>
      </c>
      <c r="U26" s="10">
        <f t="shared" si="11"/>
        <v>0.4740805990265628</v>
      </c>
      <c r="V26" s="103">
        <f t="shared" si="12"/>
        <v>4.9817296814451989E-2</v>
      </c>
    </row>
    <row r="27" spans="1:22" x14ac:dyDescent="0.25">
      <c r="A27" s="33" t="s">
        <v>139</v>
      </c>
      <c r="B27" s="77">
        <v>43705.486111111109</v>
      </c>
      <c r="C27" s="49">
        <v>2</v>
      </c>
      <c r="D27" s="90">
        <v>1200.8</v>
      </c>
      <c r="E27" s="91">
        <v>334.4</v>
      </c>
      <c r="F27" s="80">
        <f t="shared" si="3"/>
        <v>5.0507076545137294E-3</v>
      </c>
      <c r="G27" s="80">
        <f t="shared" si="4"/>
        <v>5.3689836264137567E-3</v>
      </c>
      <c r="H27" s="80"/>
      <c r="I27" s="81">
        <f>jar_information!M13</f>
        <v>43703.416666666664</v>
      </c>
      <c r="J27" s="82">
        <f t="shared" si="1"/>
        <v>2.0694444444452529</v>
      </c>
      <c r="K27" s="82">
        <f t="shared" si="5"/>
        <v>49.666666666686069</v>
      </c>
      <c r="L27" s="83">
        <f>jar_information!G13</f>
        <v>1040.8668117949733</v>
      </c>
      <c r="M27" s="82">
        <f t="shared" si="6"/>
        <v>5.2571139736621726</v>
      </c>
      <c r="N27" s="82">
        <f t="shared" si="7"/>
        <v>9.6205185718017763</v>
      </c>
      <c r="O27" s="84">
        <f t="shared" si="2"/>
        <v>2.6237777923095753</v>
      </c>
      <c r="P27" s="85">
        <f t="shared" si="8"/>
        <v>0.72838870902744435</v>
      </c>
      <c r="Q27" s="86"/>
      <c r="R27" s="86">
        <f t="shared" si="9"/>
        <v>0</v>
      </c>
      <c r="S27" s="86">
        <f t="shared" si="13"/>
        <v>0</v>
      </c>
      <c r="T27" s="87">
        <f t="shared" si="10"/>
        <v>5050.7076545137297</v>
      </c>
      <c r="U27" s="10">
        <f t="shared" si="11"/>
        <v>0.50507076545137297</v>
      </c>
      <c r="V27" s="103">
        <f t="shared" si="12"/>
        <v>5.2827740784735913E-2</v>
      </c>
    </row>
    <row r="28" spans="1:22" x14ac:dyDescent="0.25">
      <c r="A28" s="33" t="s">
        <v>142</v>
      </c>
      <c r="B28" s="77">
        <v>43705.486111111109</v>
      </c>
      <c r="C28" s="49">
        <v>2</v>
      </c>
      <c r="D28" s="90">
        <v>1151.5999999999999</v>
      </c>
      <c r="E28" s="91">
        <v>320.67</v>
      </c>
      <c r="F28" s="80">
        <f t="shared" si="3"/>
        <v>4.8386469885748316E-3</v>
      </c>
      <c r="G28" s="80">
        <f t="shared" si="4"/>
        <v>5.1373103700012024E-3</v>
      </c>
      <c r="H28" s="80"/>
      <c r="I28" s="81">
        <f>jar_information!M14</f>
        <v>43703.416666666664</v>
      </c>
      <c r="J28" s="82">
        <f t="shared" si="1"/>
        <v>2.0694444444452529</v>
      </c>
      <c r="K28" s="82">
        <f t="shared" si="5"/>
        <v>49.666666666686069</v>
      </c>
      <c r="L28" s="83">
        <f>jar_information!G14</f>
        <v>1050.5774088776614</v>
      </c>
      <c r="M28" s="82">
        <f t="shared" si="6"/>
        <v>5.0833732157306457</v>
      </c>
      <c r="N28" s="82">
        <f t="shared" si="7"/>
        <v>9.3025729847870817</v>
      </c>
      <c r="O28" s="84">
        <f t="shared" si="2"/>
        <v>2.5370653594873858</v>
      </c>
      <c r="P28" s="85">
        <f t="shared" si="8"/>
        <v>0.69960150873998794</v>
      </c>
      <c r="Q28" s="86"/>
      <c r="R28" s="86">
        <f t="shared" si="9"/>
        <v>0</v>
      </c>
      <c r="S28" s="86">
        <f t="shared" si="13"/>
        <v>0</v>
      </c>
      <c r="T28" s="87">
        <f t="shared" si="10"/>
        <v>4838.646988574832</v>
      </c>
      <c r="U28" s="10">
        <f t="shared" si="11"/>
        <v>0.48386469885748318</v>
      </c>
      <c r="V28" s="103">
        <f t="shared" si="12"/>
        <v>5.1081852875564993E-2</v>
      </c>
    </row>
  </sheetData>
  <conditionalFormatting sqref="O17:O28">
    <cfRule type="cellIs" dxfId="25" priority="1" operator="greaterThan">
      <formula>4</formula>
    </cfRule>
    <cfRule type="cellIs" dxfId="24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90" zoomScaleNormal="90" workbookViewId="0">
      <selection activeCell="I17" sqref="I17:I28"/>
    </sheetView>
  </sheetViews>
  <sheetFormatPr baseColWidth="10" defaultRowHeight="15" x14ac:dyDescent="0.25"/>
  <cols>
    <col min="2" max="2" width="15.1406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43706</v>
      </c>
      <c r="C3" s="58">
        <v>2992</v>
      </c>
      <c r="D3" s="47">
        <v>1738.5</v>
      </c>
      <c r="E3" s="59">
        <v>446.69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43706</v>
      </c>
      <c r="C4" s="58">
        <v>2992</v>
      </c>
      <c r="D4" s="59">
        <v>1511.4</v>
      </c>
      <c r="E4" s="59">
        <v>408.42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43706</v>
      </c>
      <c r="C5" s="58">
        <v>2992</v>
      </c>
      <c r="D5" s="47">
        <v>1413.8</v>
      </c>
      <c r="E5" s="59">
        <v>357.72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43706</v>
      </c>
      <c r="C6" s="58">
        <v>2992</v>
      </c>
      <c r="D6" s="59">
        <v>1235.7</v>
      </c>
      <c r="E6" s="59">
        <v>319.07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43706</v>
      </c>
      <c r="C7" s="58">
        <v>2992</v>
      </c>
      <c r="D7" s="47">
        <v>1076.8</v>
      </c>
      <c r="E7" s="59">
        <v>277.61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43706</v>
      </c>
      <c r="C8" s="58">
        <v>2992</v>
      </c>
      <c r="D8" s="59">
        <v>862.49</v>
      </c>
      <c r="E8" s="59">
        <v>236.91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43706</v>
      </c>
      <c r="C9" s="58">
        <v>2992</v>
      </c>
      <c r="D9" s="47">
        <v>709.89</v>
      </c>
      <c r="E9" s="59">
        <v>202.03</v>
      </c>
      <c r="F9" s="60">
        <f t="shared" si="0"/>
        <v>5.984</v>
      </c>
      <c r="G9" s="63" t="s">
        <v>75</v>
      </c>
      <c r="H9" s="63"/>
      <c r="I9" s="64">
        <f>SLOPE(F3:F14,D3:D14)</f>
        <v>8.6119408836173288E-3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43706</v>
      </c>
      <c r="C10" s="58">
        <v>2992</v>
      </c>
      <c r="D10" s="47">
        <v>557.54999999999995</v>
      </c>
      <c r="E10" s="59">
        <v>149.13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-0.18461259068006797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43706</v>
      </c>
      <c r="C11" s="58">
        <v>2992</v>
      </c>
      <c r="D11" s="47">
        <v>394.1</v>
      </c>
      <c r="E11" s="59">
        <v>112.5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43706</v>
      </c>
      <c r="C12" s="58">
        <v>2992</v>
      </c>
      <c r="D12" s="65">
        <v>145.63</v>
      </c>
      <c r="E12" s="65">
        <v>45.005000000000003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3.3653010832349589E-2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43706</v>
      </c>
      <c r="C13" s="58">
        <v>2992</v>
      </c>
      <c r="D13" s="65">
        <v>63.646000000000001</v>
      </c>
      <c r="E13" s="65">
        <v>20.524999999999999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-0.44791696159050076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43706</v>
      </c>
      <c r="C14" s="58">
        <v>2992</v>
      </c>
      <c r="D14" s="65">
        <v>32.427</v>
      </c>
      <c r="E14" s="65">
        <v>11.279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 x14ac:dyDescent="0.25">
      <c r="A17" s="33" t="s">
        <v>132</v>
      </c>
      <c r="B17" s="77">
        <v>43706.416666666664</v>
      </c>
      <c r="C17" s="49">
        <v>1</v>
      </c>
      <c r="D17" s="78">
        <v>648.75</v>
      </c>
      <c r="E17" s="79">
        <v>184.24</v>
      </c>
      <c r="F17" s="80">
        <f>((I$9*D17)+I$10)/C17/1000</f>
        <v>5.4023840575666733E-3</v>
      </c>
      <c r="G17" s="80">
        <f>((I$12*E17)+I$13)/C17/1000</f>
        <v>5.7523137541615876E-3</v>
      </c>
      <c r="H17" s="80"/>
      <c r="I17" s="81">
        <f>jar_information!M3</f>
        <v>43703.416666666664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5.6756226449603817</v>
      </c>
      <c r="N17" s="82">
        <f>M17*1.83</f>
        <v>10.386389440277499</v>
      </c>
      <c r="O17" s="84">
        <f t="shared" ref="O17:O28" si="2">N17*(12/(12+(16*2)))</f>
        <v>2.8326516655302267</v>
      </c>
      <c r="P17" s="85">
        <f>O17*(400/(400+L17))</f>
        <v>0.78111010090027577</v>
      </c>
      <c r="Q17" s="86"/>
      <c r="R17" s="86">
        <f>Q17/314.7</f>
        <v>0</v>
      </c>
      <c r="S17" s="86">
        <f>R17/P17*100</f>
        <v>0</v>
      </c>
      <c r="T17" s="87">
        <f>F17*1000000</f>
        <v>5402.3840575666736</v>
      </c>
      <c r="U17" s="10">
        <f>M17/L17*100</f>
        <v>0.54023840575666737</v>
      </c>
      <c r="V17" s="103">
        <f>O17/K17</f>
        <v>3.9342384243475373E-2</v>
      </c>
    </row>
    <row r="18" spans="1:22" x14ac:dyDescent="0.25">
      <c r="A18" s="33" t="s">
        <v>133</v>
      </c>
      <c r="B18" s="77">
        <v>43706.416666666664</v>
      </c>
      <c r="C18" s="49">
        <v>1</v>
      </c>
      <c r="D18" s="88">
        <v>656.36</v>
      </c>
      <c r="E18" s="89">
        <v>167.7</v>
      </c>
      <c r="F18" s="80">
        <f t="shared" ref="F18:F28" si="3">((I$9*D18)+I$10)/C18/1000</f>
        <v>5.4679209276910015E-3</v>
      </c>
      <c r="G18" s="80">
        <f t="shared" ref="G18:G28" si="4">((I$12*E18)+I$13)/C18/1000</f>
        <v>5.1956929549945245E-3</v>
      </c>
      <c r="H18" s="80"/>
      <c r="I18" s="81">
        <f>jar_information!M4</f>
        <v>43703.416666666664</v>
      </c>
      <c r="J18" s="82">
        <f t="shared" si="1"/>
        <v>3</v>
      </c>
      <c r="K18" s="82">
        <f t="shared" ref="K18:K28" si="5">J18*24</f>
        <v>72</v>
      </c>
      <c r="L18" s="83">
        <f>jar_information!G4</f>
        <v>1050.5774088776614</v>
      </c>
      <c r="M18" s="82">
        <f t="shared" ref="M18:M28" si="6">F18*L18</f>
        <v>5.7444742001615507</v>
      </c>
      <c r="N18" s="82">
        <f t="shared" ref="N18:N28" si="7">M18*1.83</f>
        <v>10.512387786295639</v>
      </c>
      <c r="O18" s="84">
        <f t="shared" si="2"/>
        <v>2.8670148508079012</v>
      </c>
      <c r="P18" s="85">
        <f t="shared" ref="P18:P28" si="8">O18*(400/(400+L18))</f>
        <v>0.79058582692975032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5467.9209276910015</v>
      </c>
      <c r="U18" s="10">
        <f t="shared" ref="U18:U28" si="11">M18/L18*100</f>
        <v>0.54679209276910012</v>
      </c>
      <c r="V18" s="103">
        <f t="shared" ref="V18:V28" si="12">O18/K18</f>
        <v>3.9819650705665295E-2</v>
      </c>
    </row>
    <row r="19" spans="1:22" x14ac:dyDescent="0.25">
      <c r="A19" s="33" t="s">
        <v>134</v>
      </c>
      <c r="B19" s="77">
        <v>43706.416666666664</v>
      </c>
      <c r="C19" s="49">
        <v>3</v>
      </c>
      <c r="D19" s="90">
        <v>1211.8</v>
      </c>
      <c r="E19" s="91">
        <v>311.39</v>
      </c>
      <c r="F19" s="80">
        <f t="shared" si="3"/>
        <v>3.4171124573624703E-3</v>
      </c>
      <c r="G19" s="80">
        <f t="shared" si="4"/>
        <v>3.3437646938316123E-3</v>
      </c>
      <c r="H19" s="80"/>
      <c r="I19" s="81">
        <f>jar_information!M5</f>
        <v>43703.416666666664</v>
      </c>
      <c r="J19" s="82">
        <f t="shared" si="1"/>
        <v>3</v>
      </c>
      <c r="K19" s="82">
        <f t="shared" si="5"/>
        <v>72</v>
      </c>
      <c r="L19" s="83">
        <f>jar_information!G5</f>
        <v>1050.5774088776614</v>
      </c>
      <c r="M19" s="82">
        <f t="shared" si="6"/>
        <v>3.5899411512994419</v>
      </c>
      <c r="N19" s="82">
        <f t="shared" si="7"/>
        <v>6.5695923068779791</v>
      </c>
      <c r="O19" s="84">
        <f t="shared" si="2"/>
        <v>1.7917069927849032</v>
      </c>
      <c r="P19" s="85">
        <f t="shared" si="8"/>
        <v>0.49406725399678736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3417.1124573624702</v>
      </c>
      <c r="U19" s="10">
        <f t="shared" si="11"/>
        <v>0.341711245736247</v>
      </c>
      <c r="V19" s="103">
        <f t="shared" si="12"/>
        <v>2.4884819344234768E-2</v>
      </c>
    </row>
    <row r="20" spans="1:22" x14ac:dyDescent="0.25">
      <c r="A20" s="33" t="s">
        <v>135</v>
      </c>
      <c r="B20" s="77">
        <v>43706.416666666664</v>
      </c>
      <c r="C20" s="49">
        <v>3</v>
      </c>
      <c r="D20" s="90">
        <v>1151.9000000000001</v>
      </c>
      <c r="E20" s="91">
        <v>305.13</v>
      </c>
      <c r="F20" s="80">
        <f t="shared" si="3"/>
        <v>3.2451607043862442E-3</v>
      </c>
      <c r="G20" s="80">
        <f t="shared" si="4"/>
        <v>3.2735420778947765E-3</v>
      </c>
      <c r="H20" s="80"/>
      <c r="I20" s="81">
        <f>jar_information!M6</f>
        <v>43703.416666666664</v>
      </c>
      <c r="J20" s="82">
        <f t="shared" si="1"/>
        <v>3</v>
      </c>
      <c r="K20" s="82">
        <f t="shared" si="5"/>
        <v>72</v>
      </c>
      <c r="L20" s="83">
        <f>jar_information!G6</f>
        <v>1055.454159400779</v>
      </c>
      <c r="M20" s="82">
        <f t="shared" si="6"/>
        <v>3.4251183633684232</v>
      </c>
      <c r="N20" s="82">
        <f t="shared" si="7"/>
        <v>6.2679666049642151</v>
      </c>
      <c r="O20" s="84">
        <f t="shared" si="2"/>
        <v>1.709445437717513</v>
      </c>
      <c r="P20" s="85">
        <f t="shared" si="8"/>
        <v>0.46980399256856126</v>
      </c>
      <c r="Q20" s="86"/>
      <c r="R20" s="86">
        <f t="shared" si="9"/>
        <v>0</v>
      </c>
      <c r="S20" s="86">
        <f t="shared" si="13"/>
        <v>0</v>
      </c>
      <c r="T20" s="87">
        <f t="shared" si="10"/>
        <v>3245.1607043862441</v>
      </c>
      <c r="U20" s="10">
        <f t="shared" si="11"/>
        <v>0.3245160704386244</v>
      </c>
      <c r="V20" s="103">
        <f t="shared" si="12"/>
        <v>2.3742297746076571E-2</v>
      </c>
    </row>
    <row r="21" spans="1:22" x14ac:dyDescent="0.25">
      <c r="A21" s="33" t="s">
        <v>136</v>
      </c>
      <c r="B21" s="77">
        <v>43706.416666666664</v>
      </c>
      <c r="C21" s="49">
        <v>5</v>
      </c>
      <c r="D21" s="90">
        <v>952.01</v>
      </c>
      <c r="E21" s="91">
        <v>256.47000000000003</v>
      </c>
      <c r="F21" s="80">
        <f t="shared" si="3"/>
        <v>1.6028082499864929E-3</v>
      </c>
      <c r="G21" s="80">
        <f t="shared" si="4"/>
        <v>1.6366141453164401E-3</v>
      </c>
      <c r="H21" s="80"/>
      <c r="I21" s="81">
        <f>jar_information!M7</f>
        <v>43703.416666666664</v>
      </c>
      <c r="J21" s="82">
        <f t="shared" si="1"/>
        <v>3</v>
      </c>
      <c r="K21" s="82">
        <f t="shared" si="5"/>
        <v>72</v>
      </c>
      <c r="L21" s="83">
        <f>jar_information!G7</f>
        <v>1065.2508812788285</v>
      </c>
      <c r="M21" s="82">
        <f t="shared" si="6"/>
        <v>1.7073929008190885</v>
      </c>
      <c r="N21" s="82">
        <f t="shared" si="7"/>
        <v>3.1245290084989321</v>
      </c>
      <c r="O21" s="84">
        <f t="shared" si="2"/>
        <v>0.85214427504516321</v>
      </c>
      <c r="P21" s="85">
        <f t="shared" si="8"/>
        <v>0.23262754138088257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1602.8082499864929</v>
      </c>
      <c r="U21" s="10">
        <f t="shared" si="11"/>
        <v>0.16028082499864929</v>
      </c>
      <c r="V21" s="103">
        <f t="shared" si="12"/>
        <v>1.1835337153405045E-2</v>
      </c>
    </row>
    <row r="22" spans="1:22" x14ac:dyDescent="0.25">
      <c r="A22" s="33" t="s">
        <v>145</v>
      </c>
      <c r="B22" s="77">
        <v>43706.416666666664</v>
      </c>
      <c r="C22" s="49">
        <v>5</v>
      </c>
      <c r="D22" s="90">
        <v>1026.3</v>
      </c>
      <c r="E22" s="91">
        <v>269.16000000000003</v>
      </c>
      <c r="F22" s="80">
        <f t="shared" si="3"/>
        <v>1.7307644676352793E-3</v>
      </c>
      <c r="G22" s="80">
        <f t="shared" si="4"/>
        <v>1.7220254868089431E-3</v>
      </c>
      <c r="H22" s="80"/>
      <c r="I22" s="81">
        <f>jar_information!M8</f>
        <v>43703.416666666664</v>
      </c>
      <c r="J22" s="82">
        <f t="shared" si="1"/>
        <v>3</v>
      </c>
      <c r="K22" s="82">
        <f t="shared" si="5"/>
        <v>72</v>
      </c>
      <c r="L22" s="83">
        <f>jar_information!G8</f>
        <v>1050.5774088776614</v>
      </c>
      <c r="M22" s="82">
        <f t="shared" si="6"/>
        <v>1.8183020497857967</v>
      </c>
      <c r="N22" s="82">
        <f t="shared" si="7"/>
        <v>3.3274927511080081</v>
      </c>
      <c r="O22" s="84">
        <f t="shared" si="2"/>
        <v>0.9074980230294567</v>
      </c>
      <c r="P22" s="85">
        <f t="shared" si="8"/>
        <v>0.25024463154478732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1730.7644676352793</v>
      </c>
      <c r="U22" s="10">
        <f t="shared" si="11"/>
        <v>0.17307644676352793</v>
      </c>
      <c r="V22" s="103">
        <f t="shared" si="12"/>
        <v>1.2604139208742454E-2</v>
      </c>
    </row>
    <row r="23" spans="1:22" x14ac:dyDescent="0.25">
      <c r="A23" s="33" t="s">
        <v>137</v>
      </c>
      <c r="B23" s="77">
        <v>43706.416666666664</v>
      </c>
      <c r="C23" s="49">
        <v>1</v>
      </c>
      <c r="D23" s="90">
        <v>860.67</v>
      </c>
      <c r="E23" s="91">
        <v>226.52</v>
      </c>
      <c r="F23" s="80">
        <f t="shared" si="3"/>
        <v>7.2274265696228579E-3</v>
      </c>
      <c r="G23" s="80">
        <f t="shared" si="4"/>
        <v>7.1751630521533286E-3</v>
      </c>
      <c r="H23" s="80"/>
      <c r="I23" s="81">
        <f>jar_information!M9</f>
        <v>43703.416666666664</v>
      </c>
      <c r="J23" s="82">
        <f t="shared" si="1"/>
        <v>3</v>
      </c>
      <c r="K23" s="82">
        <f t="shared" si="5"/>
        <v>72</v>
      </c>
      <c r="L23" s="83">
        <f>jar_information!G9</f>
        <v>1050.5774088776614</v>
      </c>
      <c r="M23" s="82">
        <f t="shared" si="6"/>
        <v>7.5929710783679463</v>
      </c>
      <c r="N23" s="82">
        <f t="shared" si="7"/>
        <v>13.895137073413343</v>
      </c>
      <c r="O23" s="84">
        <f t="shared" si="2"/>
        <v>3.7895828382036387</v>
      </c>
      <c r="P23" s="85">
        <f t="shared" si="8"/>
        <v>1.0449860352190949</v>
      </c>
      <c r="Q23" s="86"/>
      <c r="R23" s="86">
        <f t="shared" si="9"/>
        <v>0</v>
      </c>
      <c r="S23" s="86">
        <f t="shared" si="13"/>
        <v>0</v>
      </c>
      <c r="T23" s="87">
        <f t="shared" si="10"/>
        <v>7227.4265696228576</v>
      </c>
      <c r="U23" s="10">
        <f t="shared" si="11"/>
        <v>0.72274265696228579</v>
      </c>
      <c r="V23" s="103">
        <f t="shared" si="12"/>
        <v>5.2633094975050539E-2</v>
      </c>
    </row>
    <row r="24" spans="1:22" x14ac:dyDescent="0.25">
      <c r="A24" s="33" t="s">
        <v>140</v>
      </c>
      <c r="B24" s="77">
        <v>43706.416666666664</v>
      </c>
      <c r="C24" s="49">
        <v>1</v>
      </c>
      <c r="D24" s="90">
        <v>799.04</v>
      </c>
      <c r="E24" s="91">
        <v>226.14</v>
      </c>
      <c r="F24" s="80">
        <f t="shared" si="3"/>
        <v>6.6966726529655218E-3</v>
      </c>
      <c r="G24" s="80">
        <f t="shared" si="4"/>
        <v>7.1623749080370345E-3</v>
      </c>
      <c r="H24" s="80"/>
      <c r="I24" s="81">
        <f>jar_information!M10</f>
        <v>43703.416666666664</v>
      </c>
      <c r="J24" s="82">
        <f t="shared" si="1"/>
        <v>3</v>
      </c>
      <c r="K24" s="82">
        <f t="shared" si="5"/>
        <v>72</v>
      </c>
      <c r="L24" s="83">
        <f>jar_information!G10</f>
        <v>1055.454159400779</v>
      </c>
      <c r="M24" s="82">
        <f t="shared" si="6"/>
        <v>7.0680310057179092</v>
      </c>
      <c r="N24" s="82">
        <f t="shared" si="7"/>
        <v>12.934496740463775</v>
      </c>
      <c r="O24" s="84">
        <f t="shared" si="2"/>
        <v>3.527590020126484</v>
      </c>
      <c r="P24" s="85">
        <f t="shared" si="8"/>
        <v>0.96948158685501118</v>
      </c>
      <c r="Q24" s="86"/>
      <c r="R24" s="86">
        <f t="shared" si="9"/>
        <v>0</v>
      </c>
      <c r="S24" s="86">
        <f t="shared" si="13"/>
        <v>0</v>
      </c>
      <c r="T24" s="87">
        <f t="shared" si="10"/>
        <v>6696.6726529655216</v>
      </c>
      <c r="U24" s="10">
        <f t="shared" si="11"/>
        <v>0.66966726529655218</v>
      </c>
      <c r="V24" s="103">
        <f t="shared" si="12"/>
        <v>4.8994305835090055E-2</v>
      </c>
    </row>
    <row r="25" spans="1:22" x14ac:dyDescent="0.25">
      <c r="A25" s="33" t="s">
        <v>138</v>
      </c>
      <c r="B25" s="77">
        <v>43706.416666666664</v>
      </c>
      <c r="C25" s="49">
        <v>1</v>
      </c>
      <c r="D25" s="90">
        <v>774.24</v>
      </c>
      <c r="E25" s="91">
        <v>215.3</v>
      </c>
      <c r="F25" s="80">
        <f t="shared" si="3"/>
        <v>6.4830965190518126E-3</v>
      </c>
      <c r="G25" s="80">
        <f t="shared" si="4"/>
        <v>6.7975762706143656E-3</v>
      </c>
      <c r="H25" s="80"/>
      <c r="I25" s="81">
        <f>jar_information!M11</f>
        <v>43703.416666666664</v>
      </c>
      <c r="J25" s="82">
        <f t="shared" si="1"/>
        <v>3</v>
      </c>
      <c r="K25" s="82">
        <f t="shared" si="5"/>
        <v>72</v>
      </c>
      <c r="L25" s="83">
        <f>jar_information!G11</f>
        <v>1021.6154823015972</v>
      </c>
      <c r="M25" s="82">
        <f t="shared" si="6"/>
        <v>6.6232317771189235</v>
      </c>
      <c r="N25" s="82">
        <f t="shared" si="7"/>
        <v>12.120514152127631</v>
      </c>
      <c r="O25" s="84">
        <f t="shared" si="2"/>
        <v>3.3055947687620812</v>
      </c>
      <c r="P25" s="85">
        <f t="shared" si="8"/>
        <v>0.93009532040557674</v>
      </c>
      <c r="Q25" s="86"/>
      <c r="R25" s="86">
        <f t="shared" si="9"/>
        <v>0</v>
      </c>
      <c r="S25" s="86">
        <f t="shared" si="13"/>
        <v>0</v>
      </c>
      <c r="T25" s="87">
        <f t="shared" si="10"/>
        <v>6483.0965190518127</v>
      </c>
      <c r="U25" s="10">
        <f t="shared" si="11"/>
        <v>0.64830965190518131</v>
      </c>
      <c r="V25" s="103">
        <f t="shared" si="12"/>
        <v>4.5911038455028905E-2</v>
      </c>
    </row>
    <row r="26" spans="1:22" x14ac:dyDescent="0.25">
      <c r="A26" s="33" t="s">
        <v>141</v>
      </c>
      <c r="B26" s="77">
        <v>43706.416666666664</v>
      </c>
      <c r="C26" s="49">
        <v>1</v>
      </c>
      <c r="D26" s="90">
        <v>817.24</v>
      </c>
      <c r="E26" s="91">
        <v>261.88</v>
      </c>
      <c r="F26" s="80">
        <f t="shared" si="3"/>
        <v>6.8534099770473575E-3</v>
      </c>
      <c r="G26" s="80">
        <f t="shared" si="4"/>
        <v>8.3651335151852108E-3</v>
      </c>
      <c r="H26" s="80"/>
      <c r="I26" s="81">
        <f>jar_information!M12</f>
        <v>43703.416666666664</v>
      </c>
      <c r="J26" s="82">
        <f t="shared" si="1"/>
        <v>3</v>
      </c>
      <c r="K26" s="82">
        <f t="shared" si="5"/>
        <v>72</v>
      </c>
      <c r="L26" s="83">
        <f>jar_information!G12</f>
        <v>1045.7149806761979</v>
      </c>
      <c r="M26" s="82">
        <f t="shared" si="6"/>
        <v>7.1667134817141394</v>
      </c>
      <c r="N26" s="82">
        <f t="shared" si="7"/>
        <v>13.115085671536875</v>
      </c>
      <c r="O26" s="84">
        <f t="shared" si="2"/>
        <v>3.5768415467827839</v>
      </c>
      <c r="P26" s="85">
        <f t="shared" si="8"/>
        <v>0.98963947793078921</v>
      </c>
      <c r="Q26" s="86"/>
      <c r="R26" s="86">
        <f t="shared" si="9"/>
        <v>0</v>
      </c>
      <c r="S26" s="86">
        <f t="shared" si="13"/>
        <v>0</v>
      </c>
      <c r="T26" s="87">
        <f t="shared" si="10"/>
        <v>6853.4099770473576</v>
      </c>
      <c r="U26" s="10">
        <f t="shared" si="11"/>
        <v>0.68534099770473578</v>
      </c>
      <c r="V26" s="103">
        <f t="shared" si="12"/>
        <v>4.9678354816427552E-2</v>
      </c>
    </row>
    <row r="27" spans="1:22" x14ac:dyDescent="0.25">
      <c r="A27" s="33" t="s">
        <v>139</v>
      </c>
      <c r="B27" s="77">
        <v>43706.416666666664</v>
      </c>
      <c r="C27" s="49">
        <v>1</v>
      </c>
      <c r="D27" s="90">
        <v>840.73</v>
      </c>
      <c r="E27" s="91">
        <v>244.22</v>
      </c>
      <c r="F27" s="80">
        <f t="shared" si="3"/>
        <v>7.055704468403529E-3</v>
      </c>
      <c r="G27" s="80">
        <f t="shared" si="4"/>
        <v>7.7708213438859152E-3</v>
      </c>
      <c r="H27" s="80"/>
      <c r="I27" s="81">
        <f>jar_information!M13</f>
        <v>43703.416666666664</v>
      </c>
      <c r="J27" s="82">
        <f t="shared" si="1"/>
        <v>3</v>
      </c>
      <c r="K27" s="82">
        <f t="shared" si="5"/>
        <v>72</v>
      </c>
      <c r="L27" s="83">
        <f>jar_information!G13</f>
        <v>1040.8668117949733</v>
      </c>
      <c r="M27" s="82">
        <f t="shared" si="6"/>
        <v>7.3440486149947279</v>
      </c>
      <c r="N27" s="82">
        <f t="shared" si="7"/>
        <v>13.439608965440353</v>
      </c>
      <c r="O27" s="84">
        <f t="shared" si="2"/>
        <v>3.6653478996655506</v>
      </c>
      <c r="P27" s="85">
        <f t="shared" si="8"/>
        <v>1.0175396836573423</v>
      </c>
      <c r="Q27" s="86"/>
      <c r="R27" s="86">
        <f t="shared" si="9"/>
        <v>0</v>
      </c>
      <c r="S27" s="86">
        <f t="shared" si="13"/>
        <v>0</v>
      </c>
      <c r="T27" s="87">
        <f t="shared" si="10"/>
        <v>7055.7044684035291</v>
      </c>
      <c r="U27" s="10">
        <f t="shared" si="11"/>
        <v>0.70557044684035286</v>
      </c>
      <c r="V27" s="103">
        <f t="shared" si="12"/>
        <v>5.0907609717577094E-2</v>
      </c>
    </row>
    <row r="28" spans="1:22" x14ac:dyDescent="0.25">
      <c r="A28" s="33" t="s">
        <v>142</v>
      </c>
      <c r="B28" s="77">
        <v>43706.416666666664</v>
      </c>
      <c r="C28" s="49">
        <v>1</v>
      </c>
      <c r="D28" s="90">
        <v>839.21</v>
      </c>
      <c r="E28" s="91">
        <v>227.54</v>
      </c>
      <c r="F28" s="80">
        <f t="shared" si="3"/>
        <v>7.042614318260431E-3</v>
      </c>
      <c r="G28" s="80">
        <f t="shared" si="4"/>
        <v>7.2094891232023246E-3</v>
      </c>
      <c r="H28" s="80"/>
      <c r="I28" s="81">
        <f>jar_information!M14</f>
        <v>43703.416666666664</v>
      </c>
      <c r="J28" s="82">
        <f t="shared" si="1"/>
        <v>3</v>
      </c>
      <c r="K28" s="82">
        <f t="shared" si="5"/>
        <v>72</v>
      </c>
      <c r="L28" s="83">
        <f>jar_information!G14</f>
        <v>1050.5774088776614</v>
      </c>
      <c r="M28" s="82">
        <f t="shared" si="6"/>
        <v>7.3988115022027614</v>
      </c>
      <c r="N28" s="82">
        <f t="shared" si="7"/>
        <v>13.539825049031053</v>
      </c>
      <c r="O28" s="84">
        <f t="shared" si="2"/>
        <v>3.6926795588266508</v>
      </c>
      <c r="P28" s="85">
        <f t="shared" si="8"/>
        <v>1.018264736849513</v>
      </c>
      <c r="Q28" s="86"/>
      <c r="R28" s="86">
        <f t="shared" si="9"/>
        <v>0</v>
      </c>
      <c r="S28" s="86">
        <f t="shared" si="13"/>
        <v>0</v>
      </c>
      <c r="T28" s="87">
        <f t="shared" si="10"/>
        <v>7042.614318260431</v>
      </c>
      <c r="U28" s="10">
        <f t="shared" si="11"/>
        <v>0.70426143182604306</v>
      </c>
      <c r="V28" s="103">
        <f t="shared" si="12"/>
        <v>5.1287216094814597E-2</v>
      </c>
    </row>
  </sheetData>
  <conditionalFormatting sqref="O17:O28">
    <cfRule type="cellIs" dxfId="23" priority="1" operator="greaterThan">
      <formula>4</formula>
    </cfRule>
    <cfRule type="cellIs" dxfId="2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90" zoomScaleNormal="90" workbookViewId="0">
      <selection activeCell="Q29" sqref="Q29"/>
    </sheetView>
  </sheetViews>
  <sheetFormatPr baseColWidth="10" defaultRowHeight="15" x14ac:dyDescent="0.25"/>
  <cols>
    <col min="1" max="1" width="23" bestFit="1" customWidth="1"/>
    <col min="2" max="2" width="15.1406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43707</v>
      </c>
      <c r="C3" s="58">
        <v>2992</v>
      </c>
      <c r="D3" s="47">
        <v>1764.3</v>
      </c>
      <c r="E3" s="59">
        <v>453.07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43707</v>
      </c>
      <c r="C4" s="58">
        <v>2992</v>
      </c>
      <c r="D4" s="59">
        <v>1555.3</v>
      </c>
      <c r="E4" s="59">
        <v>409.76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43707</v>
      </c>
      <c r="C5" s="58">
        <v>2992</v>
      </c>
      <c r="D5" s="47">
        <v>1422.3</v>
      </c>
      <c r="E5" s="59">
        <v>387.79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43707</v>
      </c>
      <c r="C6" s="58">
        <v>2992</v>
      </c>
      <c r="D6" s="59">
        <v>1235.5</v>
      </c>
      <c r="E6" s="59">
        <v>321.26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43707</v>
      </c>
      <c r="C7" s="58">
        <v>2992</v>
      </c>
      <c r="D7" s="47">
        <v>1052.5999999999999</v>
      </c>
      <c r="E7" s="59">
        <v>254.93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43707</v>
      </c>
      <c r="C8" s="58">
        <v>2992</v>
      </c>
      <c r="D8" s="59">
        <v>893.67</v>
      </c>
      <c r="E8" s="59">
        <v>243.41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43707</v>
      </c>
      <c r="C9" s="58">
        <v>2992</v>
      </c>
      <c r="D9" s="47">
        <v>716.4</v>
      </c>
      <c r="E9" s="59">
        <v>207.74</v>
      </c>
      <c r="F9" s="60">
        <f t="shared" si="0"/>
        <v>5.984</v>
      </c>
      <c r="G9" s="63" t="s">
        <v>75</v>
      </c>
      <c r="H9" s="63"/>
      <c r="I9" s="64">
        <f>SLOPE(F3:F14,D3:D14)</f>
        <v>8.4978137341701586E-3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43707</v>
      </c>
      <c r="C10" s="58">
        <v>2992</v>
      </c>
      <c r="D10" s="47">
        <v>548.38</v>
      </c>
      <c r="E10" s="59">
        <v>144.12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-0.15422519311186633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43707</v>
      </c>
      <c r="C11" s="58">
        <v>2992</v>
      </c>
      <c r="D11" s="47">
        <v>389.25</v>
      </c>
      <c r="E11" s="59">
        <v>113.53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43707</v>
      </c>
      <c r="C12" s="58">
        <v>2992</v>
      </c>
      <c r="D12" s="65">
        <v>153.43</v>
      </c>
      <c r="E12" s="65">
        <v>44.432000000000002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3.284744304138703E-2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43707</v>
      </c>
      <c r="C13" s="58">
        <v>2992</v>
      </c>
      <c r="D13" s="65">
        <v>67.837999999999994</v>
      </c>
      <c r="E13" s="65">
        <v>22.234999999999999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-0.34547889186537617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43707</v>
      </c>
      <c r="C14" s="58">
        <v>2992</v>
      </c>
      <c r="D14" s="65">
        <v>30.89</v>
      </c>
      <c r="E14" s="65">
        <v>10.631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v>43707.375</v>
      </c>
      <c r="C17" s="49">
        <v>1</v>
      </c>
      <c r="D17" s="78">
        <v>787.54</v>
      </c>
      <c r="E17" s="79">
        <v>223.47</v>
      </c>
      <c r="F17" s="80">
        <f>((I$9*D17)+I$10)/C17/1000</f>
        <v>6.5381430350965001E-3</v>
      </c>
      <c r="G17" s="80">
        <f>((I$12*E17)+I$13)/C17/1000</f>
        <v>6.9949392045933834E-3</v>
      </c>
      <c r="H17" s="80"/>
      <c r="I17" s="81">
        <f>jar_information!M3</f>
        <v>43703.416666666664</v>
      </c>
      <c r="J17" s="82">
        <f t="shared" ref="J17:J28" si="1">B17-I17</f>
        <v>3.9583333333357587</v>
      </c>
      <c r="K17" s="82">
        <f>J17*24</f>
        <v>95.000000000058208</v>
      </c>
      <c r="L17" s="83">
        <f>jar_information!G3</f>
        <v>1050.5774088776614</v>
      </c>
      <c r="M17" s="82">
        <f>F17*L17</f>
        <v>6.8688253686832095</v>
      </c>
      <c r="N17" s="82">
        <f>M17*1.83</f>
        <v>12.569950424690274</v>
      </c>
      <c r="O17" s="84">
        <f t="shared" ref="O17:O28" si="2">N17*(12/(12+(16*2)))</f>
        <v>3.4281682976428018</v>
      </c>
      <c r="P17" s="85">
        <f>O17*(400/(400+L17))</f>
        <v>0.94532515856433719</v>
      </c>
      <c r="Q17" s="86">
        <v>269</v>
      </c>
      <c r="R17" s="86">
        <f>Q17/314.7</f>
        <v>0.85478233238004453</v>
      </c>
      <c r="S17" s="86">
        <f>R17/P17*100</f>
        <v>90.422044165015166</v>
      </c>
      <c r="T17" s="87">
        <f>F17*1000000</f>
        <v>6538.1430350965002</v>
      </c>
      <c r="U17" s="10">
        <f>M17/L17*100</f>
        <v>0.65381430350964997</v>
      </c>
      <c r="V17" s="103">
        <f>O17/K17</f>
        <v>3.6085982080428437E-2</v>
      </c>
      <c r="W17" t="s">
        <v>146</v>
      </c>
    </row>
    <row r="18" spans="1:23" x14ac:dyDescent="0.25">
      <c r="A18" s="33" t="s">
        <v>133</v>
      </c>
      <c r="B18" s="77">
        <v>43707.375</v>
      </c>
      <c r="C18" s="49">
        <v>1</v>
      </c>
      <c r="D18" s="88">
        <v>809.89</v>
      </c>
      <c r="E18" s="89">
        <v>217.1</v>
      </c>
      <c r="F18" s="80">
        <f t="shared" ref="F18:F28" si="3">((I$9*D18)+I$10)/C18/1000</f>
        <v>6.7280691720552031E-3</v>
      </c>
      <c r="G18" s="80">
        <f t="shared" ref="G18:G28" si="4">((I$12*E18)+I$13)/C18/1000</f>
        <v>6.7857009924197475E-3</v>
      </c>
      <c r="H18" s="80"/>
      <c r="I18" s="81">
        <f>jar_information!M4</f>
        <v>43703.416666666664</v>
      </c>
      <c r="J18" s="82">
        <f t="shared" si="1"/>
        <v>3.9583333333357587</v>
      </c>
      <c r="K18" s="82">
        <f t="shared" ref="K18:K28" si="5">J18*24</f>
        <v>95.000000000058208</v>
      </c>
      <c r="L18" s="83">
        <f>jar_information!G4</f>
        <v>1050.5774088776614</v>
      </c>
      <c r="M18" s="82">
        <f t="shared" ref="M18:M28" si="6">F18*L18</f>
        <v>7.068357477527428</v>
      </c>
      <c r="N18" s="82">
        <f t="shared" ref="N18:N28" si="7">M18*1.83</f>
        <v>12.935094183875194</v>
      </c>
      <c r="O18" s="84">
        <f t="shared" si="2"/>
        <v>3.5277529592386889</v>
      </c>
      <c r="P18" s="85">
        <f t="shared" ref="P18:P28" si="8">O18*(400/(400+L18))</f>
        <v>0.97278585414291718</v>
      </c>
      <c r="Q18" s="86">
        <v>260</v>
      </c>
      <c r="R18" s="86">
        <f t="shared" ref="R18:R28" si="9">Q18/314.7</f>
        <v>0.82618366698442969</v>
      </c>
      <c r="S18" s="86">
        <f>R18/P18*100</f>
        <v>84.929654709293359</v>
      </c>
      <c r="T18" s="87">
        <f t="shared" ref="T18:T28" si="10">F18*1000000</f>
        <v>6728.0691720552031</v>
      </c>
      <c r="U18" s="10">
        <f t="shared" ref="U18:U28" si="11">M18/L18*100</f>
        <v>0.67280691720552033</v>
      </c>
      <c r="V18" s="103">
        <f t="shared" ref="V18:V28" si="12">O18/K18</f>
        <v>3.7134241676173976E-2</v>
      </c>
      <c r="W18" t="s">
        <v>146</v>
      </c>
    </row>
    <row r="19" spans="1:23" x14ac:dyDescent="0.25">
      <c r="A19" s="33" t="s">
        <v>134</v>
      </c>
      <c r="B19" s="77">
        <v>43707.375</v>
      </c>
      <c r="C19" s="49">
        <v>3</v>
      </c>
      <c r="D19" s="90">
        <v>1537.5</v>
      </c>
      <c r="E19" s="91">
        <v>392.86</v>
      </c>
      <c r="F19" s="80">
        <f t="shared" si="3"/>
        <v>4.303721141058251E-3</v>
      </c>
      <c r="G19" s="80">
        <f t="shared" si="4"/>
        <v>4.1863225271246444E-3</v>
      </c>
      <c r="H19" s="80"/>
      <c r="I19" s="81">
        <f>jar_information!M5</f>
        <v>43703.416666666664</v>
      </c>
      <c r="J19" s="82">
        <f t="shared" si="1"/>
        <v>3.9583333333357587</v>
      </c>
      <c r="K19" s="82">
        <f t="shared" si="5"/>
        <v>95.000000000058208</v>
      </c>
      <c r="L19" s="83">
        <f>jar_information!G5</f>
        <v>1050.5774088776614</v>
      </c>
      <c r="M19" s="82">
        <f t="shared" si="6"/>
        <v>4.5213922049049895</v>
      </c>
      <c r="N19" s="82">
        <f t="shared" si="7"/>
        <v>8.2741477349761308</v>
      </c>
      <c r="O19" s="84">
        <f t="shared" si="2"/>
        <v>2.2565857459025809</v>
      </c>
      <c r="P19" s="85">
        <f t="shared" si="8"/>
        <v>0.62225862117859476</v>
      </c>
      <c r="Q19" s="86">
        <v>176.5</v>
      </c>
      <c r="R19" s="86">
        <f t="shared" si="9"/>
        <v>0.56085160470289164</v>
      </c>
      <c r="S19" s="86">
        <f t="shared" ref="S19:S28" si="13">R19/P19*100</f>
        <v>90.131592494549196</v>
      </c>
      <c r="T19" s="87">
        <f t="shared" si="10"/>
        <v>4303.7211410582513</v>
      </c>
      <c r="U19" s="10">
        <f t="shared" si="11"/>
        <v>0.4303721141058251</v>
      </c>
      <c r="V19" s="103">
        <f t="shared" si="12"/>
        <v>2.3753534167381032E-2</v>
      </c>
      <c r="W19" t="s">
        <v>146</v>
      </c>
    </row>
    <row r="20" spans="1:23" x14ac:dyDescent="0.25">
      <c r="A20" s="33" t="s">
        <v>135</v>
      </c>
      <c r="B20" s="77">
        <v>43707.375</v>
      </c>
      <c r="C20" s="49">
        <v>3</v>
      </c>
      <c r="D20" s="90">
        <v>1428.1</v>
      </c>
      <c r="E20" s="91">
        <v>382.72</v>
      </c>
      <c r="F20" s="80">
        <f t="shared" si="3"/>
        <v>3.9938342002188458E-3</v>
      </c>
      <c r="G20" s="80">
        <f t="shared" si="4"/>
        <v>4.0752981696447563E-3</v>
      </c>
      <c r="H20" s="80"/>
      <c r="I20" s="81">
        <f>jar_information!M6</f>
        <v>43703.416666666664</v>
      </c>
      <c r="J20" s="82">
        <f t="shared" si="1"/>
        <v>3.9583333333357587</v>
      </c>
      <c r="K20" s="82">
        <f t="shared" si="5"/>
        <v>95.000000000058208</v>
      </c>
      <c r="L20" s="83">
        <f>jar_information!G6</f>
        <v>1055.454159400779</v>
      </c>
      <c r="M20" s="82">
        <f t="shared" si="6"/>
        <v>4.2153089185780646</v>
      </c>
      <c r="N20" s="82">
        <f t="shared" si="7"/>
        <v>7.7140153209978584</v>
      </c>
      <c r="O20" s="84">
        <f t="shared" si="2"/>
        <v>2.1038223602721429</v>
      </c>
      <c r="P20" s="85">
        <f t="shared" si="8"/>
        <v>0.57818993382472494</v>
      </c>
      <c r="Q20" s="86">
        <v>166.3</v>
      </c>
      <c r="R20" s="86">
        <f t="shared" si="9"/>
        <v>0.52843978392119484</v>
      </c>
      <c r="S20" s="86">
        <f t="shared" si="13"/>
        <v>91.39553510134067</v>
      </c>
      <c r="T20" s="87">
        <f t="shared" si="10"/>
        <v>3993.8342002188456</v>
      </c>
      <c r="U20" s="10">
        <f t="shared" si="11"/>
        <v>0.39938342002188459</v>
      </c>
      <c r="V20" s="103">
        <f t="shared" si="12"/>
        <v>2.2145498529166883E-2</v>
      </c>
      <c r="W20" t="s">
        <v>146</v>
      </c>
    </row>
    <row r="21" spans="1:23" x14ac:dyDescent="0.25">
      <c r="A21" s="33" t="s">
        <v>136</v>
      </c>
      <c r="B21" s="77">
        <v>43707.375</v>
      </c>
      <c r="C21" s="49">
        <v>5</v>
      </c>
      <c r="D21" s="90">
        <v>1221.5</v>
      </c>
      <c r="E21" s="91">
        <v>325.97000000000003</v>
      </c>
      <c r="F21" s="80">
        <f t="shared" si="3"/>
        <v>2.0451708566353965E-3</v>
      </c>
      <c r="G21" s="80">
        <f t="shared" si="4"/>
        <v>2.0723604232671107E-3</v>
      </c>
      <c r="H21" s="80"/>
      <c r="I21" s="81">
        <f>jar_information!M7</f>
        <v>43703.416666666664</v>
      </c>
      <c r="J21" s="82">
        <f t="shared" si="1"/>
        <v>3.9583333333357587</v>
      </c>
      <c r="K21" s="82">
        <f t="shared" si="5"/>
        <v>95.000000000058208</v>
      </c>
      <c r="L21" s="83">
        <f>jar_information!G7</f>
        <v>1065.2508812788285</v>
      </c>
      <c r="M21" s="82">
        <f t="shared" si="6"/>
        <v>2.1786200573966328</v>
      </c>
      <c r="N21" s="82">
        <f t="shared" si="7"/>
        <v>3.986874705035838</v>
      </c>
      <c r="O21" s="84">
        <f t="shared" si="2"/>
        <v>1.087329465009774</v>
      </c>
      <c r="P21" s="85">
        <f t="shared" si="8"/>
        <v>0.29683093288728396</v>
      </c>
      <c r="Q21" s="86">
        <v>87</v>
      </c>
      <c r="R21" s="86">
        <f t="shared" si="9"/>
        <v>0.27645376549094375</v>
      </c>
      <c r="S21" s="86">
        <f t="shared" si="13"/>
        <v>93.135093031534538</v>
      </c>
      <c r="T21" s="87">
        <f t="shared" si="10"/>
        <v>2045.1708566353966</v>
      </c>
      <c r="U21" s="10">
        <f t="shared" si="11"/>
        <v>0.20451708566353966</v>
      </c>
      <c r="V21" s="103">
        <f t="shared" si="12"/>
        <v>1.1445573315885344E-2</v>
      </c>
      <c r="W21" t="s">
        <v>146</v>
      </c>
    </row>
    <row r="22" spans="1:23" x14ac:dyDescent="0.25">
      <c r="A22" s="33" t="s">
        <v>145</v>
      </c>
      <c r="B22" s="77">
        <v>43707.375</v>
      </c>
      <c r="C22" s="49">
        <v>5</v>
      </c>
      <c r="D22" s="90">
        <v>1284.2</v>
      </c>
      <c r="E22" s="91">
        <v>319.38</v>
      </c>
      <c r="F22" s="80">
        <f t="shared" si="3"/>
        <v>2.1517334408618903E-3</v>
      </c>
      <c r="G22" s="80">
        <f t="shared" si="4"/>
        <v>2.029067493338563E-3</v>
      </c>
      <c r="H22" s="80"/>
      <c r="I22" s="81">
        <f>jar_information!M8</f>
        <v>43703.416666666664</v>
      </c>
      <c r="J22" s="82">
        <f t="shared" si="1"/>
        <v>3.9583333333357587</v>
      </c>
      <c r="K22" s="82">
        <f t="shared" si="5"/>
        <v>95.000000000058208</v>
      </c>
      <c r="L22" s="83">
        <f>jar_information!G8</f>
        <v>1050.5774088776614</v>
      </c>
      <c r="M22" s="82">
        <f t="shared" si="6"/>
        <v>2.2605625428960994</v>
      </c>
      <c r="N22" s="82">
        <f t="shared" si="7"/>
        <v>4.1368294534998622</v>
      </c>
      <c r="O22" s="84">
        <f t="shared" si="2"/>
        <v>1.1282262145908715</v>
      </c>
      <c r="P22" s="85">
        <f t="shared" si="8"/>
        <v>0.31111092939570895</v>
      </c>
      <c r="Q22" s="86">
        <v>87.9</v>
      </c>
      <c r="R22" s="86">
        <f t="shared" si="9"/>
        <v>0.2793136320305053</v>
      </c>
      <c r="S22" s="86">
        <f t="shared" si="13"/>
        <v>89.779434162931665</v>
      </c>
      <c r="T22" s="87">
        <f t="shared" si="10"/>
        <v>2151.7334408618904</v>
      </c>
      <c r="U22" s="10">
        <f t="shared" si="11"/>
        <v>0.21517334408618902</v>
      </c>
      <c r="V22" s="103">
        <f t="shared" si="12"/>
        <v>1.1876065416738739E-2</v>
      </c>
      <c r="W22" t="s">
        <v>146</v>
      </c>
    </row>
    <row r="23" spans="1:23" x14ac:dyDescent="0.25">
      <c r="A23" s="33" t="s">
        <v>137</v>
      </c>
      <c r="B23" s="77">
        <v>43707.375</v>
      </c>
      <c r="C23" s="49">
        <v>1</v>
      </c>
      <c r="D23" s="90">
        <v>1034.8</v>
      </c>
      <c r="E23" s="91">
        <v>265.14999999999998</v>
      </c>
      <c r="F23" s="80">
        <f t="shared" si="3"/>
        <v>8.6393124590074134E-3</v>
      </c>
      <c r="G23" s="80">
        <f t="shared" si="4"/>
        <v>8.3640206305583952E-3</v>
      </c>
      <c r="H23" s="80"/>
      <c r="I23" s="81">
        <f>jar_information!M9</f>
        <v>43703.416666666664</v>
      </c>
      <c r="J23" s="82">
        <f t="shared" si="1"/>
        <v>3.9583333333357587</v>
      </c>
      <c r="K23" s="82">
        <f t="shared" si="5"/>
        <v>95.000000000058208</v>
      </c>
      <c r="L23" s="83">
        <f>jar_information!G9</f>
        <v>1050.5774088776614</v>
      </c>
      <c r="M23" s="82">
        <f t="shared" si="6"/>
        <v>9.0762664976685059</v>
      </c>
      <c r="N23" s="82">
        <f t="shared" si="7"/>
        <v>16.609567690733368</v>
      </c>
      <c r="O23" s="84">
        <f t="shared" si="2"/>
        <v>4.5298820974727363</v>
      </c>
      <c r="P23" s="85">
        <f t="shared" si="8"/>
        <v>1.2491252296497819</v>
      </c>
      <c r="Q23" s="86">
        <v>330.7</v>
      </c>
      <c r="R23" s="86">
        <f t="shared" si="9"/>
        <v>1.0508420718144265</v>
      </c>
      <c r="S23" s="86">
        <f t="shared" si="13"/>
        <v>84.126238656555813</v>
      </c>
      <c r="T23" s="87">
        <f t="shared" si="10"/>
        <v>8639.3124590074131</v>
      </c>
      <c r="U23" s="10">
        <f t="shared" si="11"/>
        <v>0.86393124590074133</v>
      </c>
      <c r="V23" s="103">
        <f t="shared" si="12"/>
        <v>4.768296944705222E-2</v>
      </c>
      <c r="W23" t="s">
        <v>146</v>
      </c>
    </row>
    <row r="24" spans="1:23" x14ac:dyDescent="0.25">
      <c r="A24" s="33" t="s">
        <v>140</v>
      </c>
      <c r="B24" s="77">
        <v>43707.375</v>
      </c>
      <c r="C24" s="49">
        <v>1</v>
      </c>
      <c r="D24" s="90">
        <v>1024.8</v>
      </c>
      <c r="E24" s="91">
        <v>261.31</v>
      </c>
      <c r="F24" s="80">
        <f t="shared" si="3"/>
        <v>8.5543343216657117E-3</v>
      </c>
      <c r="G24" s="80">
        <f t="shared" si="4"/>
        <v>8.2378864492794676E-3</v>
      </c>
      <c r="H24" s="80"/>
      <c r="I24" s="81">
        <f>jar_information!M10</f>
        <v>43703.416666666664</v>
      </c>
      <c r="J24" s="82">
        <f t="shared" si="1"/>
        <v>3.9583333333357587</v>
      </c>
      <c r="K24" s="82">
        <f t="shared" si="5"/>
        <v>95.000000000058208</v>
      </c>
      <c r="L24" s="83">
        <f>jar_information!G10</f>
        <v>1055.454159400779</v>
      </c>
      <c r="M24" s="82">
        <f t="shared" si="6"/>
        <v>9.028707740706917</v>
      </c>
      <c r="N24" s="82">
        <f t="shared" si="7"/>
        <v>16.522535165493657</v>
      </c>
      <c r="O24" s="84">
        <f t="shared" si="2"/>
        <v>4.5061459542255422</v>
      </c>
      <c r="P24" s="85">
        <f t="shared" si="8"/>
        <v>1.2384164558176824</v>
      </c>
      <c r="Q24" s="86">
        <v>323.5</v>
      </c>
      <c r="R24" s="86">
        <f t="shared" si="9"/>
        <v>1.0279631394979345</v>
      </c>
      <c r="S24" s="86">
        <f t="shared" si="13"/>
        <v>83.006256471229378</v>
      </c>
      <c r="T24" s="87">
        <f t="shared" si="10"/>
        <v>8554.3343216657122</v>
      </c>
      <c r="U24" s="10">
        <f t="shared" si="11"/>
        <v>0.85543343216657119</v>
      </c>
      <c r="V24" s="103">
        <f t="shared" si="12"/>
        <v>4.7433115307608222E-2</v>
      </c>
      <c r="W24" t="s">
        <v>146</v>
      </c>
    </row>
    <row r="25" spans="1:23" x14ac:dyDescent="0.25">
      <c r="A25" s="33" t="s">
        <v>138</v>
      </c>
      <c r="B25" s="77">
        <v>43707.375</v>
      </c>
      <c r="C25" s="49">
        <v>1</v>
      </c>
      <c r="D25" s="90">
        <v>989.04</v>
      </c>
      <c r="E25" s="91">
        <v>267.83</v>
      </c>
      <c r="F25" s="80">
        <f t="shared" si="3"/>
        <v>8.2504525025317871E-3</v>
      </c>
      <c r="G25" s="80">
        <f t="shared" si="4"/>
        <v>8.452051777909312E-3</v>
      </c>
      <c r="H25" s="80"/>
      <c r="I25" s="81">
        <f>jar_information!M11</f>
        <v>43703.416666666664</v>
      </c>
      <c r="J25" s="82">
        <f t="shared" si="1"/>
        <v>3.9583333333357587</v>
      </c>
      <c r="K25" s="82">
        <f t="shared" si="5"/>
        <v>95.000000000058208</v>
      </c>
      <c r="L25" s="83">
        <f>jar_information!G11</f>
        <v>1021.6154823015972</v>
      </c>
      <c r="M25" s="82">
        <f t="shared" si="6"/>
        <v>8.428790012580432</v>
      </c>
      <c r="N25" s="82">
        <f t="shared" si="7"/>
        <v>15.424685723022192</v>
      </c>
      <c r="O25" s="84">
        <f t="shared" si="2"/>
        <v>4.2067324699151429</v>
      </c>
      <c r="P25" s="85">
        <f t="shared" si="8"/>
        <v>1.1836484681791557</v>
      </c>
      <c r="Q25" s="86">
        <v>317.56</v>
      </c>
      <c r="R25" s="86">
        <f t="shared" si="9"/>
        <v>1.0090880203368289</v>
      </c>
      <c r="S25" s="86">
        <f t="shared" si="13"/>
        <v>85.252340324415854</v>
      </c>
      <c r="T25" s="87">
        <f t="shared" si="10"/>
        <v>8250.4525025317871</v>
      </c>
      <c r="U25" s="10">
        <f t="shared" si="11"/>
        <v>0.82504525025317876</v>
      </c>
      <c r="V25" s="103">
        <f t="shared" si="12"/>
        <v>4.4281394420132271E-2</v>
      </c>
      <c r="W25" t="s">
        <v>146</v>
      </c>
    </row>
    <row r="26" spans="1:23" x14ac:dyDescent="0.25">
      <c r="A26" s="33" t="s">
        <v>141</v>
      </c>
      <c r="B26" s="77">
        <v>43707.375</v>
      </c>
      <c r="C26" s="49">
        <v>1</v>
      </c>
      <c r="D26" s="90">
        <v>947.35</v>
      </c>
      <c r="E26" s="91">
        <v>265.49</v>
      </c>
      <c r="F26" s="80">
        <f t="shared" si="3"/>
        <v>7.8961786479542339E-3</v>
      </c>
      <c r="G26" s="80">
        <f t="shared" si="4"/>
        <v>8.3751887611924671E-3</v>
      </c>
      <c r="H26" s="80"/>
      <c r="I26" s="81">
        <f>jar_information!M12</f>
        <v>43703.416666666664</v>
      </c>
      <c r="J26" s="82">
        <f t="shared" si="1"/>
        <v>3.9583333333357587</v>
      </c>
      <c r="K26" s="82">
        <f t="shared" si="5"/>
        <v>95.000000000058208</v>
      </c>
      <c r="L26" s="83">
        <f>jar_information!G12</f>
        <v>1045.7149806761979</v>
      </c>
      <c r="M26" s="82">
        <f t="shared" si="6"/>
        <v>8.2571523022612681</v>
      </c>
      <c r="N26" s="82">
        <f t="shared" si="7"/>
        <v>15.110588713138121</v>
      </c>
      <c r="O26" s="84">
        <f t="shared" si="2"/>
        <v>4.1210696490376693</v>
      </c>
      <c r="P26" s="85">
        <f t="shared" si="8"/>
        <v>1.1402163508356646</v>
      </c>
      <c r="Q26" s="86">
        <v>325.89999999999998</v>
      </c>
      <c r="R26" s="86">
        <f t="shared" si="9"/>
        <v>1.0355894502700984</v>
      </c>
      <c r="S26" s="86">
        <f t="shared" si="13"/>
        <v>90.82394315000964</v>
      </c>
      <c r="T26" s="87">
        <f t="shared" si="10"/>
        <v>7896.1786479542343</v>
      </c>
      <c r="U26" s="10">
        <f t="shared" si="11"/>
        <v>0.7896178647954234</v>
      </c>
      <c r="V26" s="103">
        <f t="shared" si="12"/>
        <v>4.3379680516159411E-2</v>
      </c>
      <c r="W26" t="s">
        <v>146</v>
      </c>
    </row>
    <row r="27" spans="1:23" x14ac:dyDescent="0.25">
      <c r="A27" s="33" t="s">
        <v>139</v>
      </c>
      <c r="B27" s="77">
        <v>43707.375</v>
      </c>
      <c r="C27" s="49">
        <v>1</v>
      </c>
      <c r="D27" s="90">
        <v>1088</v>
      </c>
      <c r="E27" s="91">
        <v>279.27</v>
      </c>
      <c r="F27" s="80">
        <f t="shared" si="3"/>
        <v>9.0913961496652661E-3</v>
      </c>
      <c r="G27" s="80">
        <f t="shared" si="4"/>
        <v>8.8278265263027796E-3</v>
      </c>
      <c r="H27" s="80"/>
      <c r="I27" s="81">
        <f>jar_information!M13</f>
        <v>43703.416666666664</v>
      </c>
      <c r="J27" s="82">
        <f t="shared" si="1"/>
        <v>3.9583333333357587</v>
      </c>
      <c r="K27" s="82">
        <f t="shared" si="5"/>
        <v>95.000000000058208</v>
      </c>
      <c r="L27" s="83">
        <f>jar_information!G13</f>
        <v>1040.8668117949733</v>
      </c>
      <c r="M27" s="82">
        <f t="shared" si="6"/>
        <v>9.4629325250671812</v>
      </c>
      <c r="N27" s="82">
        <f t="shared" si="7"/>
        <v>17.317166520872942</v>
      </c>
      <c r="O27" s="84">
        <f t="shared" si="2"/>
        <v>4.7228635966017114</v>
      </c>
      <c r="P27" s="85">
        <f t="shared" si="8"/>
        <v>1.3111173240830387</v>
      </c>
      <c r="Q27" s="86">
        <v>327.3</v>
      </c>
      <c r="R27" s="86">
        <f t="shared" si="9"/>
        <v>1.0400381315538609</v>
      </c>
      <c r="S27" s="86">
        <f t="shared" si="13"/>
        <v>79.324566341249167</v>
      </c>
      <c r="T27" s="87">
        <f t="shared" si="10"/>
        <v>9091.3961496652664</v>
      </c>
      <c r="U27" s="10">
        <f t="shared" si="11"/>
        <v>0.90913961496652662</v>
      </c>
      <c r="V27" s="103">
        <f t="shared" si="12"/>
        <v>4.9714353648408607E-2</v>
      </c>
      <c r="W27" t="s">
        <v>146</v>
      </c>
    </row>
    <row r="28" spans="1:23" x14ac:dyDescent="0.25">
      <c r="A28" s="33" t="s">
        <v>142</v>
      </c>
      <c r="B28" s="77">
        <v>43707.375</v>
      </c>
      <c r="C28" s="49">
        <v>1</v>
      </c>
      <c r="D28" s="90">
        <v>1040</v>
      </c>
      <c r="E28" s="91">
        <v>270.82</v>
      </c>
      <c r="F28" s="80">
        <f t="shared" si="3"/>
        <v>8.6835010904250977E-3</v>
      </c>
      <c r="G28" s="80">
        <f t="shared" si="4"/>
        <v>8.5502656326030598E-3</v>
      </c>
      <c r="H28" s="80"/>
      <c r="I28" s="81">
        <f>jar_information!M14</f>
        <v>43703.416666666664</v>
      </c>
      <c r="J28" s="82">
        <f t="shared" si="1"/>
        <v>3.9583333333357587</v>
      </c>
      <c r="K28" s="82">
        <f t="shared" si="5"/>
        <v>95.000000000058208</v>
      </c>
      <c r="L28" s="83">
        <f>jar_information!G14</f>
        <v>1050.5774088776614</v>
      </c>
      <c r="M28" s="82">
        <f t="shared" si="6"/>
        <v>9.1226900755651457</v>
      </c>
      <c r="N28" s="82">
        <f t="shared" si="7"/>
        <v>16.694522838284218</v>
      </c>
      <c r="O28" s="84">
        <f t="shared" si="2"/>
        <v>4.5530516831684231</v>
      </c>
      <c r="P28" s="85">
        <f t="shared" si="8"/>
        <v>1.2555142952877512</v>
      </c>
      <c r="Q28" s="86">
        <v>333.5</v>
      </c>
      <c r="R28" s="86">
        <f t="shared" si="9"/>
        <v>1.0597394343819511</v>
      </c>
      <c r="S28" s="86">
        <f t="shared" si="13"/>
        <v>84.406799537003238</v>
      </c>
      <c r="T28" s="87">
        <f t="shared" si="10"/>
        <v>8683.5010904250976</v>
      </c>
      <c r="U28" s="10">
        <f t="shared" si="11"/>
        <v>0.86835010904250975</v>
      </c>
      <c r="V28" s="103">
        <f t="shared" si="12"/>
        <v>4.7926859822796139E-2</v>
      </c>
      <c r="W28" t="s">
        <v>146</v>
      </c>
    </row>
    <row r="31" spans="1:23" x14ac:dyDescent="0.25">
      <c r="A31" s="33" t="str">
        <f>CONCATENATE(A17,B31)</f>
        <v>HEW22-1_Pre_30082019</v>
      </c>
      <c r="B31" t="s">
        <v>158</v>
      </c>
    </row>
    <row r="32" spans="1:23" x14ac:dyDescent="0.25">
      <c r="A32" s="33" t="str">
        <f t="shared" ref="A32:A42" si="14">CONCATENATE(A18,B32)</f>
        <v>HEW22-2_Pre_30082019</v>
      </c>
      <c r="B32" t="s">
        <v>158</v>
      </c>
    </row>
    <row r="33" spans="1:2" x14ac:dyDescent="0.25">
      <c r="A33" s="33" t="str">
        <f t="shared" si="14"/>
        <v>HEW41-1_Pre_30082019</v>
      </c>
      <c r="B33" t="s">
        <v>158</v>
      </c>
    </row>
    <row r="34" spans="1:2" x14ac:dyDescent="0.25">
      <c r="A34" s="33" t="str">
        <f t="shared" si="14"/>
        <v>HEW41-2_Pre_30082019</v>
      </c>
      <c r="B34" t="s">
        <v>158</v>
      </c>
    </row>
    <row r="35" spans="1:2" x14ac:dyDescent="0.25">
      <c r="A35" s="33" t="str">
        <f t="shared" si="14"/>
        <v>HEW42-1_Pre_30082019</v>
      </c>
      <c r="B35" t="s">
        <v>158</v>
      </c>
    </row>
    <row r="36" spans="1:2" x14ac:dyDescent="0.25">
      <c r="A36" s="33" t="str">
        <f t="shared" si="14"/>
        <v>HEW42-2_Pre_30082019</v>
      </c>
      <c r="B36" t="s">
        <v>158</v>
      </c>
    </row>
    <row r="37" spans="1:2" x14ac:dyDescent="0.25">
      <c r="A37" s="33" t="str">
        <f t="shared" si="14"/>
        <v>HEG10-1_Pre_30082019</v>
      </c>
      <c r="B37" t="s">
        <v>158</v>
      </c>
    </row>
    <row r="38" spans="1:2" x14ac:dyDescent="0.25">
      <c r="A38" s="33" t="str">
        <f t="shared" si="14"/>
        <v>HEG10-2_Pre_30082019</v>
      </c>
      <c r="B38" t="s">
        <v>158</v>
      </c>
    </row>
    <row r="39" spans="1:2" x14ac:dyDescent="0.25">
      <c r="A39" s="33" t="str">
        <f t="shared" si="14"/>
        <v>HEG32-1_Pre_30082019</v>
      </c>
      <c r="B39" t="s">
        <v>158</v>
      </c>
    </row>
    <row r="40" spans="1:2" x14ac:dyDescent="0.25">
      <c r="A40" s="33" t="str">
        <f t="shared" si="14"/>
        <v>HEG32-2_Pre_30082019</v>
      </c>
      <c r="B40" t="s">
        <v>158</v>
      </c>
    </row>
    <row r="41" spans="1:2" x14ac:dyDescent="0.25">
      <c r="A41" s="33" t="str">
        <f t="shared" si="14"/>
        <v>HEG48-1_Pre_30082019</v>
      </c>
      <c r="B41" t="s">
        <v>158</v>
      </c>
    </row>
    <row r="42" spans="1:2" x14ac:dyDescent="0.25">
      <c r="A42" s="33" t="str">
        <f t="shared" si="14"/>
        <v>HEG48-2_Pre_30082019</v>
      </c>
      <c r="B42" t="s">
        <v>158</v>
      </c>
    </row>
  </sheetData>
  <conditionalFormatting sqref="O17:O28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E1" workbookViewId="0">
      <selection activeCell="P31" sqref="P31"/>
    </sheetView>
  </sheetViews>
  <sheetFormatPr baseColWidth="10" defaultRowHeight="15" x14ac:dyDescent="0.25"/>
  <cols>
    <col min="1" max="1" width="19.28515625" customWidth="1"/>
    <col min="2" max="2" width="15.140625" bestFit="1" customWidth="1"/>
  </cols>
  <sheetData>
    <row r="1" spans="1:26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 x14ac:dyDescent="0.25">
      <c r="A3" s="49">
        <v>5</v>
      </c>
      <c r="B3" s="57">
        <v>43710</v>
      </c>
      <c r="C3" s="58">
        <v>2992</v>
      </c>
      <c r="D3" s="47">
        <v>1712.9</v>
      </c>
      <c r="E3" s="59">
        <v>453.94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 x14ac:dyDescent="0.25">
      <c r="A4" s="49">
        <v>4.4000000000000004</v>
      </c>
      <c r="B4" s="57">
        <v>43710</v>
      </c>
      <c r="C4" s="58">
        <v>2992</v>
      </c>
      <c r="D4" s="59">
        <v>1535.9</v>
      </c>
      <c r="E4" s="59">
        <v>405.61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 x14ac:dyDescent="0.25">
      <c r="A5" s="49">
        <v>4</v>
      </c>
      <c r="B5" s="57">
        <v>43710</v>
      </c>
      <c r="C5" s="58">
        <v>2992</v>
      </c>
      <c r="D5" s="47">
        <v>1376.9</v>
      </c>
      <c r="E5" s="59">
        <v>382.08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 x14ac:dyDescent="0.25">
      <c r="A6" s="49">
        <v>3.4</v>
      </c>
      <c r="B6" s="57">
        <v>43710</v>
      </c>
      <c r="C6" s="58">
        <v>2992</v>
      </c>
      <c r="D6" s="59">
        <v>1221.3</v>
      </c>
      <c r="E6" s="59">
        <v>327.55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 x14ac:dyDescent="0.25">
      <c r="A7" s="49">
        <v>3</v>
      </c>
      <c r="B7" s="57">
        <v>43710</v>
      </c>
      <c r="C7" s="58">
        <v>2992</v>
      </c>
      <c r="D7" s="47">
        <v>1090.4000000000001</v>
      </c>
      <c r="E7" s="59">
        <v>279.67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 x14ac:dyDescent="0.25">
      <c r="A8" s="49">
        <v>2.4</v>
      </c>
      <c r="B8" s="57">
        <v>43710</v>
      </c>
      <c r="C8" s="58">
        <v>2992</v>
      </c>
      <c r="D8" s="59">
        <v>859.96</v>
      </c>
      <c r="E8" s="59">
        <v>223.8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 x14ac:dyDescent="0.25">
      <c r="A9" s="49">
        <v>2</v>
      </c>
      <c r="B9" s="57">
        <v>43710</v>
      </c>
      <c r="C9" s="58">
        <v>2992</v>
      </c>
      <c r="D9" s="47">
        <v>731.29</v>
      </c>
      <c r="E9" s="59">
        <v>206.03</v>
      </c>
      <c r="F9" s="60">
        <f t="shared" si="0"/>
        <v>5.984</v>
      </c>
      <c r="G9" s="63" t="s">
        <v>75</v>
      </c>
      <c r="H9" s="63"/>
      <c r="I9" s="64">
        <f>SLOPE(F3:F14,D3:D14)</f>
        <v>8.6512978421893032E-3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 x14ac:dyDescent="0.25">
      <c r="A10" s="49">
        <v>1.4</v>
      </c>
      <c r="B10" s="57">
        <v>43710</v>
      </c>
      <c r="C10" s="58">
        <v>2992</v>
      </c>
      <c r="D10" s="47">
        <v>549.79999999999995</v>
      </c>
      <c r="E10" s="59">
        <v>145.9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-0.17498480343334943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 x14ac:dyDescent="0.25">
      <c r="A11" s="49">
        <v>1</v>
      </c>
      <c r="B11" s="57">
        <v>43710</v>
      </c>
      <c r="C11" s="58">
        <v>2992</v>
      </c>
      <c r="D11" s="47">
        <v>363.52</v>
      </c>
      <c r="E11" s="59">
        <v>108.93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 x14ac:dyDescent="0.25">
      <c r="A12" s="65">
        <v>0.4</v>
      </c>
      <c r="B12" s="57">
        <v>43710</v>
      </c>
      <c r="C12" s="58">
        <v>2992</v>
      </c>
      <c r="D12" s="65">
        <v>144.46</v>
      </c>
      <c r="E12" s="65">
        <v>44.442</v>
      </c>
      <c r="F12" s="60">
        <f t="shared" si="0"/>
        <v>1.1968000000000001</v>
      </c>
      <c r="G12" s="66" t="s">
        <v>77</v>
      </c>
      <c r="H12" s="66"/>
      <c r="I12" s="67">
        <f>SLOPE(F3:F14,E3:E14)</f>
        <v>3.2911351969890847E-2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 x14ac:dyDescent="0.25">
      <c r="A13" s="65">
        <v>0.2</v>
      </c>
      <c r="B13" s="57">
        <v>43710</v>
      </c>
      <c r="C13" s="58">
        <v>2992</v>
      </c>
      <c r="D13" s="65">
        <v>67.057000000000002</v>
      </c>
      <c r="E13" s="65">
        <v>22.757999999999999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-0.35829204078763865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 x14ac:dyDescent="0.25">
      <c r="A14" s="65">
        <v>0.1</v>
      </c>
      <c r="B14" s="57">
        <v>43710</v>
      </c>
      <c r="C14" s="58">
        <v>2992</v>
      </c>
      <c r="D14" s="65">
        <v>30.773</v>
      </c>
      <c r="E14" s="65">
        <v>11.795999999999999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151</v>
      </c>
      <c r="X14" s="112" t="s">
        <v>152</v>
      </c>
      <c r="Y14" s="112" t="s">
        <v>151</v>
      </c>
      <c r="Z14" s="112" t="s">
        <v>152</v>
      </c>
    </row>
    <row r="15" spans="1:26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  <c r="W15" s="69" t="s">
        <v>89</v>
      </c>
      <c r="X15" s="69" t="s">
        <v>89</v>
      </c>
      <c r="Y15" s="73" t="s">
        <v>90</v>
      </c>
      <c r="Z15" s="73" t="s">
        <v>90</v>
      </c>
    </row>
    <row r="16" spans="1:26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 x14ac:dyDescent="0.25">
      <c r="A17" s="33" t="s">
        <v>132</v>
      </c>
      <c r="B17" s="77">
        <f>B3+H17</f>
        <v>43710.416666666664</v>
      </c>
      <c r="C17" s="49">
        <v>3</v>
      </c>
      <c r="D17" s="78">
        <v>1221.4000000000001</v>
      </c>
      <c r="E17" s="79">
        <v>324.26</v>
      </c>
      <c r="F17" s="80">
        <f>((I$9*D17)+I$10)/C17/1000</f>
        <v>3.4639034603388885E-3</v>
      </c>
      <c r="G17" s="80">
        <f>((I$12*E17)+I$13)/C17/1000</f>
        <v>3.437847649656389E-3</v>
      </c>
      <c r="H17" s="111">
        <v>0.41666666666666669</v>
      </c>
      <c r="I17" s="81">
        <f>jar_information!L3</f>
        <v>43707.416666666664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3.6390987219651945</v>
      </c>
      <c r="N17" s="82">
        <f>M17*1.83</f>
        <v>6.659550661196306</v>
      </c>
      <c r="O17" s="84">
        <f t="shared" ref="O17:O28" si="2">N17*(12/(12+(16*2)))</f>
        <v>1.8162410894171743</v>
      </c>
      <c r="P17" s="85">
        <f>O17*(400/(400+L17))</f>
        <v>0.5008325866104405</v>
      </c>
      <c r="Q17" s="86"/>
      <c r="R17" s="86">
        <f>Q17/314.7</f>
        <v>0</v>
      </c>
      <c r="S17" s="86">
        <f>R17/P17*100</f>
        <v>0</v>
      </c>
      <c r="T17" s="87">
        <f>F17*1000000</f>
        <v>3463.9034603388886</v>
      </c>
      <c r="U17" s="10">
        <f>M17/L17*100</f>
        <v>0.34639034603388885</v>
      </c>
      <c r="V17" s="103">
        <f>O17/K17</f>
        <v>2.5225570686349643E-2</v>
      </c>
      <c r="W17" s="113">
        <f t="shared" ref="W17:W22" si="3">V17*24*5</f>
        <v>3.0270684823619569</v>
      </c>
      <c r="X17" s="113">
        <f t="shared" ref="X17:X22" si="4">V17*24*7</f>
        <v>4.2378958753067399</v>
      </c>
      <c r="Y17" s="114">
        <f t="shared" ref="Y17:Y22" si="5">W17*(400/(400+L17))</f>
        <v>0.83472097768406739</v>
      </c>
      <c r="Z17" s="114">
        <f t="shared" ref="Z17:Z22" si="6">X17*(400/(400+L17))</f>
        <v>1.1686093687576944</v>
      </c>
    </row>
    <row r="18" spans="1:26" x14ac:dyDescent="0.25">
      <c r="A18" s="33" t="s">
        <v>133</v>
      </c>
      <c r="B18" s="77">
        <f t="shared" ref="B18:B28" si="7">B4+H18</f>
        <v>43710.416666666664</v>
      </c>
      <c r="C18" s="49">
        <v>3</v>
      </c>
      <c r="D18" s="88">
        <v>1208.4000000000001</v>
      </c>
      <c r="E18" s="89">
        <v>337.89</v>
      </c>
      <c r="F18" s="80">
        <f t="shared" ref="F18:F28" si="8">((I$9*D18)+I$10)/C18/1000</f>
        <v>3.4264145030227355E-3</v>
      </c>
      <c r="G18" s="80">
        <f t="shared" ref="G18:G28" si="9">((I$12*E18)+I$13)/C18/1000</f>
        <v>3.5873748921062595E-3</v>
      </c>
      <c r="H18" s="111">
        <v>0.41666666666666669</v>
      </c>
      <c r="I18" s="81">
        <f>jar_information!L4</f>
        <v>43707.416666666664</v>
      </c>
      <c r="J18" s="82">
        <f t="shared" si="1"/>
        <v>3</v>
      </c>
      <c r="K18" s="82">
        <f t="shared" ref="K18:K28" si="10">J18*24</f>
        <v>72</v>
      </c>
      <c r="L18" s="83">
        <f>jar_information!G4</f>
        <v>1050.5774088776614</v>
      </c>
      <c r="M18" s="82">
        <f t="shared" ref="M18:M28" si="11">F18*L18</f>
        <v>3.5997136703264654</v>
      </c>
      <c r="N18" s="82">
        <f t="shared" ref="N18:N28" si="12">M18*1.83</f>
        <v>6.5874760166974315</v>
      </c>
      <c r="O18" s="84">
        <f t="shared" si="2"/>
        <v>1.7965843681902085</v>
      </c>
      <c r="P18" s="85">
        <f t="shared" ref="P18:P28" si="13">O18*(400/(400+L18))</f>
        <v>0.49541220129169361</v>
      </c>
      <c r="Q18" s="86"/>
      <c r="R18" s="86">
        <f t="shared" ref="R18:R28" si="14">Q18/314.7</f>
        <v>0</v>
      </c>
      <c r="S18" s="86">
        <f>R18/P18*100</f>
        <v>0</v>
      </c>
      <c r="T18" s="87">
        <f t="shared" ref="T18:T28" si="15">F18*1000000</f>
        <v>3426.4145030227355</v>
      </c>
      <c r="U18" s="10">
        <f t="shared" ref="U18:U28" si="16">M18/L18*100</f>
        <v>0.34264145030227355</v>
      </c>
      <c r="V18" s="103">
        <f t="shared" ref="V18:V28" si="17">O18/K18</f>
        <v>2.4952560669308451E-2</v>
      </c>
      <c r="W18" s="113">
        <f t="shared" si="3"/>
        <v>2.9943072803170141</v>
      </c>
      <c r="X18" s="113">
        <f t="shared" si="4"/>
        <v>4.1920301924438199</v>
      </c>
      <c r="Y18" s="114">
        <f t="shared" si="5"/>
        <v>0.82568700215282265</v>
      </c>
      <c r="Z18" s="114">
        <f t="shared" si="6"/>
        <v>1.1559618030139518</v>
      </c>
    </row>
    <row r="19" spans="1:26" x14ac:dyDescent="0.25">
      <c r="A19" s="33" t="s">
        <v>134</v>
      </c>
      <c r="B19" s="77">
        <f t="shared" si="7"/>
        <v>43710.416666666664</v>
      </c>
      <c r="C19" s="49">
        <v>3</v>
      </c>
      <c r="D19" s="90">
        <v>919.35</v>
      </c>
      <c r="E19" s="91">
        <v>227.94</v>
      </c>
      <c r="F19" s="80">
        <f t="shared" si="8"/>
        <v>2.5928619559277958E-3</v>
      </c>
      <c r="G19" s="80">
        <f t="shared" si="9"/>
        <v>2.3811738424097603E-3</v>
      </c>
      <c r="H19" s="111">
        <v>0.41666666666666669</v>
      </c>
      <c r="I19" s="81">
        <f>jar_information!L5</f>
        <v>43707.416666666664</v>
      </c>
      <c r="J19" s="82">
        <f t="shared" si="1"/>
        <v>3</v>
      </c>
      <c r="K19" s="82">
        <f t="shared" si="10"/>
        <v>72</v>
      </c>
      <c r="L19" s="83">
        <f>jar_information!G5</f>
        <v>1050.5774088776614</v>
      </c>
      <c r="M19" s="82">
        <f t="shared" si="11"/>
        <v>2.7240021952360887</v>
      </c>
      <c r="N19" s="82">
        <f t="shared" si="12"/>
        <v>4.9849240172820428</v>
      </c>
      <c r="O19" s="84">
        <f t="shared" si="2"/>
        <v>1.3595247319860115</v>
      </c>
      <c r="P19" s="85">
        <f t="shared" si="13"/>
        <v>0.37489201849293957</v>
      </c>
      <c r="Q19" s="86"/>
      <c r="R19" s="86">
        <f t="shared" si="14"/>
        <v>0</v>
      </c>
      <c r="S19" s="86">
        <f t="shared" ref="S19:S28" si="18">R19/P19*100</f>
        <v>0</v>
      </c>
      <c r="T19" s="87">
        <f t="shared" si="15"/>
        <v>2592.8619559277959</v>
      </c>
      <c r="U19" s="10">
        <f t="shared" si="16"/>
        <v>0.2592861955927796</v>
      </c>
      <c r="V19" s="103">
        <f t="shared" si="17"/>
        <v>1.8882287944250162E-2</v>
      </c>
      <c r="W19" s="113">
        <f t="shared" si="3"/>
        <v>2.2658745533100193</v>
      </c>
      <c r="X19" s="113">
        <f t="shared" si="4"/>
        <v>3.1722243746340273</v>
      </c>
      <c r="Y19" s="114">
        <f t="shared" si="5"/>
        <v>0.6248200308215659</v>
      </c>
      <c r="Z19" s="114">
        <f t="shared" si="6"/>
        <v>0.87474804315019239</v>
      </c>
    </row>
    <row r="20" spans="1:26" x14ac:dyDescent="0.25">
      <c r="A20" s="33" t="s">
        <v>135</v>
      </c>
      <c r="B20" s="77">
        <f t="shared" si="7"/>
        <v>43710.416666666664</v>
      </c>
      <c r="C20" s="49">
        <v>3</v>
      </c>
      <c r="D20" s="90">
        <v>925.13</v>
      </c>
      <c r="E20" s="91">
        <v>246.83</v>
      </c>
      <c r="F20" s="80">
        <f t="shared" si="8"/>
        <v>2.6095301231037465E-3</v>
      </c>
      <c r="G20" s="80">
        <f t="shared" si="9"/>
        <v>2.5884056553135064E-3</v>
      </c>
      <c r="H20" s="111">
        <v>0.41666666666666669</v>
      </c>
      <c r="I20" s="81">
        <f>jar_information!L6</f>
        <v>43707.416666666664</v>
      </c>
      <c r="J20" s="82">
        <f t="shared" si="1"/>
        <v>3</v>
      </c>
      <c r="K20" s="82">
        <f t="shared" si="10"/>
        <v>72</v>
      </c>
      <c r="L20" s="83">
        <f>jar_information!G6</f>
        <v>1055.454159400779</v>
      </c>
      <c r="M20" s="82">
        <f t="shared" si="11"/>
        <v>2.7542394225114761</v>
      </c>
      <c r="N20" s="82">
        <f t="shared" si="12"/>
        <v>5.0402581431960014</v>
      </c>
      <c r="O20" s="84">
        <f t="shared" si="2"/>
        <v>1.3746158572352729</v>
      </c>
      <c r="P20" s="85">
        <f t="shared" si="13"/>
        <v>0.37778334641640987</v>
      </c>
      <c r="Q20" s="86"/>
      <c r="R20" s="86">
        <f t="shared" si="14"/>
        <v>0</v>
      </c>
      <c r="S20" s="86">
        <f t="shared" si="18"/>
        <v>0</v>
      </c>
      <c r="T20" s="87">
        <f t="shared" si="15"/>
        <v>2609.5301231037465</v>
      </c>
      <c r="U20" s="10">
        <f t="shared" si="16"/>
        <v>0.26095301231037465</v>
      </c>
      <c r="V20" s="103">
        <f t="shared" si="17"/>
        <v>1.9091886906045456E-2</v>
      </c>
      <c r="W20" s="113">
        <f t="shared" si="3"/>
        <v>2.2910264287254547</v>
      </c>
      <c r="X20" s="113">
        <f t="shared" si="4"/>
        <v>3.2074370002156365</v>
      </c>
      <c r="Y20" s="114">
        <f t="shared" si="5"/>
        <v>0.62963891069401645</v>
      </c>
      <c r="Z20" s="114">
        <f t="shared" si="6"/>
        <v>0.88149447497162303</v>
      </c>
    </row>
    <row r="21" spans="1:26" x14ac:dyDescent="0.25">
      <c r="A21" s="33" t="s">
        <v>136</v>
      </c>
      <c r="B21" s="77">
        <f t="shared" si="7"/>
        <v>43710.416666666664</v>
      </c>
      <c r="C21" s="49">
        <v>3</v>
      </c>
      <c r="D21" s="90">
        <v>459.32</v>
      </c>
      <c r="E21" s="91">
        <v>136.96</v>
      </c>
      <c r="F21" s="80">
        <f t="shared" si="8"/>
        <v>1.2662431071470137E-3</v>
      </c>
      <c r="G21" s="80">
        <f t="shared" si="9"/>
        <v>1.3830822416695374E-3</v>
      </c>
      <c r="H21" s="111">
        <v>0.41666666666666669</v>
      </c>
      <c r="I21" s="81">
        <f>jar_information!L7</f>
        <v>43707.416666666664</v>
      </c>
      <c r="J21" s="82">
        <f t="shared" si="1"/>
        <v>3</v>
      </c>
      <c r="K21" s="82">
        <f t="shared" si="10"/>
        <v>72</v>
      </c>
      <c r="L21" s="83">
        <f>jar_information!G7</f>
        <v>1065.2508812788285</v>
      </c>
      <c r="M21" s="82">
        <f t="shared" si="11"/>
        <v>1.3488665858015985</v>
      </c>
      <c r="N21" s="82">
        <f t="shared" si="12"/>
        <v>2.4684258520169253</v>
      </c>
      <c r="O21" s="84">
        <f t="shared" si="2"/>
        <v>0.67320705055007046</v>
      </c>
      <c r="P21" s="85">
        <f t="shared" si="13"/>
        <v>0.18377932657171034</v>
      </c>
      <c r="Q21" s="86"/>
      <c r="R21" s="86">
        <f t="shared" si="14"/>
        <v>0</v>
      </c>
      <c r="S21" s="86">
        <f t="shared" si="18"/>
        <v>0</v>
      </c>
      <c r="T21" s="87">
        <f t="shared" si="15"/>
        <v>1266.2431071470137</v>
      </c>
      <c r="U21" s="10">
        <f t="shared" si="16"/>
        <v>0.12662431071470137</v>
      </c>
      <c r="V21" s="103">
        <f t="shared" si="17"/>
        <v>9.350097924306534E-3</v>
      </c>
      <c r="W21" s="113">
        <f t="shared" si="3"/>
        <v>1.122011750916784</v>
      </c>
      <c r="X21" s="113">
        <f t="shared" si="4"/>
        <v>1.5708164512834977</v>
      </c>
      <c r="Y21" s="114">
        <f t="shared" si="5"/>
        <v>0.30629887761951718</v>
      </c>
      <c r="Z21" s="114">
        <f t="shared" si="6"/>
        <v>0.42881842866732411</v>
      </c>
    </row>
    <row r="22" spans="1:26" x14ac:dyDescent="0.25">
      <c r="A22" s="33" t="s">
        <v>145</v>
      </c>
      <c r="B22" s="77">
        <f t="shared" si="7"/>
        <v>43710.416666666664</v>
      </c>
      <c r="C22" s="49">
        <v>3</v>
      </c>
      <c r="D22" s="90">
        <v>486.16</v>
      </c>
      <c r="E22" s="91">
        <v>136.18</v>
      </c>
      <c r="F22" s="80">
        <f t="shared" si="8"/>
        <v>1.343643385175134E-3</v>
      </c>
      <c r="G22" s="80">
        <f t="shared" si="9"/>
        <v>1.3745252901573657E-3</v>
      </c>
      <c r="H22" s="111">
        <v>0.41666666666666669</v>
      </c>
      <c r="I22" s="81">
        <f>jar_information!L8</f>
        <v>43707.416666666664</v>
      </c>
      <c r="J22" s="82">
        <f t="shared" si="1"/>
        <v>3</v>
      </c>
      <c r="K22" s="82">
        <f t="shared" si="10"/>
        <v>72</v>
      </c>
      <c r="L22" s="83">
        <f>jar_information!G8</f>
        <v>1050.5774088776614</v>
      </c>
      <c r="M22" s="82">
        <f t="shared" si="11"/>
        <v>1.4116013860529018</v>
      </c>
      <c r="N22" s="82">
        <f t="shared" si="12"/>
        <v>2.5832305364768104</v>
      </c>
      <c r="O22" s="84">
        <f t="shared" si="2"/>
        <v>0.70451741903913012</v>
      </c>
      <c r="P22" s="85">
        <f t="shared" si="13"/>
        <v>0.19427227109078674</v>
      </c>
      <c r="Q22" s="86"/>
      <c r="R22" s="86">
        <f t="shared" si="14"/>
        <v>0</v>
      </c>
      <c r="S22" s="86">
        <f t="shared" si="18"/>
        <v>0</v>
      </c>
      <c r="T22" s="87">
        <f t="shared" si="15"/>
        <v>1343.643385175134</v>
      </c>
      <c r="U22" s="10">
        <f t="shared" si="16"/>
        <v>0.13436433851751339</v>
      </c>
      <c r="V22" s="103">
        <f t="shared" si="17"/>
        <v>9.7849641533212517E-3</v>
      </c>
      <c r="W22" s="113">
        <f t="shared" si="3"/>
        <v>1.1741956983985502</v>
      </c>
      <c r="X22" s="113">
        <f t="shared" si="4"/>
        <v>1.6438739777579703</v>
      </c>
      <c r="Y22" s="114">
        <f t="shared" si="5"/>
        <v>0.32378711848464459</v>
      </c>
      <c r="Z22" s="114">
        <f t="shared" si="6"/>
        <v>0.45330196587850241</v>
      </c>
    </row>
    <row r="23" spans="1:26" x14ac:dyDescent="0.25">
      <c r="A23" s="33" t="s">
        <v>137</v>
      </c>
      <c r="B23" s="77">
        <f t="shared" si="7"/>
        <v>43710.416666666664</v>
      </c>
      <c r="C23" s="49">
        <v>3</v>
      </c>
      <c r="D23" s="90">
        <v>1733.9</v>
      </c>
      <c r="E23" s="91">
        <v>441.53</v>
      </c>
      <c r="F23" s="80">
        <f t="shared" si="8"/>
        <v>4.9418335083795603E-3</v>
      </c>
      <c r="G23" s="80">
        <f t="shared" si="9"/>
        <v>4.7243523981594223E-3</v>
      </c>
      <c r="H23" s="111">
        <v>0.41666666666666669</v>
      </c>
      <c r="I23" s="81">
        <f>jar_information!L9</f>
        <v>43707.416666666664</v>
      </c>
      <c r="J23" s="82">
        <f t="shared" si="1"/>
        <v>3</v>
      </c>
      <c r="K23" s="82">
        <f t="shared" si="10"/>
        <v>72</v>
      </c>
      <c r="L23" s="83">
        <f>jar_information!G9</f>
        <v>1050.5774088776614</v>
      </c>
      <c r="M23" s="82">
        <f t="shared" si="11"/>
        <v>5.1917786423382006</v>
      </c>
      <c r="N23" s="82">
        <f t="shared" si="12"/>
        <v>9.500954915478907</v>
      </c>
      <c r="O23" s="84">
        <f t="shared" si="2"/>
        <v>2.5911695224033382</v>
      </c>
      <c r="P23" s="85">
        <f t="shared" si="13"/>
        <v>0.71452085398411769</v>
      </c>
      <c r="Q23" s="86"/>
      <c r="R23" s="86">
        <f t="shared" si="14"/>
        <v>0</v>
      </c>
      <c r="S23" s="86">
        <f t="shared" si="18"/>
        <v>0</v>
      </c>
      <c r="T23" s="87">
        <f t="shared" si="15"/>
        <v>4941.83350837956</v>
      </c>
      <c r="U23" s="10">
        <f t="shared" si="16"/>
        <v>0.49418335083795606</v>
      </c>
      <c r="V23" s="103">
        <f t="shared" si="17"/>
        <v>3.5988465588935252E-2</v>
      </c>
      <c r="W23" s="113">
        <f>V23*24*5</f>
        <v>4.3186158706722297</v>
      </c>
      <c r="X23" s="113">
        <f>V23*24*7</f>
        <v>6.0460622189411222</v>
      </c>
      <c r="Y23" s="114">
        <f>W23*(400/(400+L23))</f>
        <v>1.1908680899735293</v>
      </c>
      <c r="Z23" s="114">
        <f t="shared" ref="Z23:Z28" si="19">X23*(400/(400+L23))</f>
        <v>1.6672153259629412</v>
      </c>
    </row>
    <row r="24" spans="1:26" x14ac:dyDescent="0.25">
      <c r="A24" s="33" t="s">
        <v>140</v>
      </c>
      <c r="B24" s="77">
        <f t="shared" si="7"/>
        <v>43710.416666666664</v>
      </c>
      <c r="C24" s="49">
        <v>3</v>
      </c>
      <c r="D24" s="90">
        <v>1694.6</v>
      </c>
      <c r="E24" s="91">
        <v>430.24</v>
      </c>
      <c r="F24" s="80">
        <f t="shared" si="8"/>
        <v>4.8285015066468814E-3</v>
      </c>
      <c r="G24" s="80">
        <f t="shared" si="9"/>
        <v>4.6004960102460661E-3</v>
      </c>
      <c r="H24" s="111">
        <v>0.41666666666666669</v>
      </c>
      <c r="I24" s="81">
        <f>jar_information!L10</f>
        <v>43707.416666666664</v>
      </c>
      <c r="J24" s="82">
        <f t="shared" si="1"/>
        <v>3</v>
      </c>
      <c r="K24" s="82">
        <f t="shared" si="10"/>
        <v>72</v>
      </c>
      <c r="L24" s="83">
        <f>jar_information!G10</f>
        <v>1055.454159400779</v>
      </c>
      <c r="M24" s="82">
        <f t="shared" si="11"/>
        <v>5.0962619988633788</v>
      </c>
      <c r="N24" s="82">
        <f t="shared" si="12"/>
        <v>9.3261594579199834</v>
      </c>
      <c r="O24" s="84">
        <f t="shared" si="2"/>
        <v>2.5434980339781772</v>
      </c>
      <c r="P24" s="85">
        <f t="shared" si="13"/>
        <v>0.69902525408985838</v>
      </c>
      <c r="Q24" s="86"/>
      <c r="R24" s="86">
        <f t="shared" si="14"/>
        <v>0</v>
      </c>
      <c r="S24" s="86">
        <f t="shared" si="18"/>
        <v>0</v>
      </c>
      <c r="T24" s="87">
        <f t="shared" si="15"/>
        <v>4828.5015066468814</v>
      </c>
      <c r="U24" s="10">
        <f t="shared" si="16"/>
        <v>0.48285015066468812</v>
      </c>
      <c r="V24" s="103">
        <f t="shared" si="17"/>
        <v>3.5326361583030236E-2</v>
      </c>
      <c r="W24" s="113">
        <f t="shared" ref="W24:W28" si="20">V24*24*5</f>
        <v>4.2391633899636281</v>
      </c>
      <c r="X24" s="113">
        <f t="shared" ref="X24:X28" si="21">V24*24*7</f>
        <v>5.9348287459490798</v>
      </c>
      <c r="Y24" s="114">
        <f t="shared" ref="Y24:Y28" si="22">W24*(400/(400+L24))</f>
        <v>1.1650420901497638</v>
      </c>
      <c r="Z24" s="114">
        <f t="shared" si="19"/>
        <v>1.6310589262096695</v>
      </c>
    </row>
    <row r="25" spans="1:26" x14ac:dyDescent="0.25">
      <c r="A25" s="33" t="s">
        <v>138</v>
      </c>
      <c r="B25" s="77">
        <f t="shared" si="7"/>
        <v>43710.416666666664</v>
      </c>
      <c r="C25" s="49">
        <v>3</v>
      </c>
      <c r="D25" s="90">
        <v>1621.6</v>
      </c>
      <c r="E25" s="91">
        <v>418.65</v>
      </c>
      <c r="F25" s="80">
        <f t="shared" si="8"/>
        <v>4.6179865924869407E-3</v>
      </c>
      <c r="G25" s="80">
        <f t="shared" si="9"/>
        <v>4.4733484871357209E-3</v>
      </c>
      <c r="H25" s="111">
        <v>0.41666666666666669</v>
      </c>
      <c r="I25" s="81">
        <f>jar_information!L11</f>
        <v>43707.416666666664</v>
      </c>
      <c r="J25" s="82">
        <f t="shared" si="1"/>
        <v>3</v>
      </c>
      <c r="K25" s="82">
        <f t="shared" si="10"/>
        <v>72</v>
      </c>
      <c r="L25" s="83">
        <f>jar_information!G11</f>
        <v>1021.6154823015972</v>
      </c>
      <c r="M25" s="82">
        <f t="shared" si="11"/>
        <v>4.7178065999458552</v>
      </c>
      <c r="N25" s="82">
        <f t="shared" si="12"/>
        <v>8.6335860779009153</v>
      </c>
      <c r="O25" s="84">
        <f t="shared" si="2"/>
        <v>2.3546143848820678</v>
      </c>
      <c r="P25" s="85">
        <f t="shared" si="13"/>
        <v>0.66251793517891189</v>
      </c>
      <c r="Q25" s="86"/>
      <c r="R25" s="86">
        <f t="shared" si="14"/>
        <v>0</v>
      </c>
      <c r="S25" s="86">
        <f t="shared" si="18"/>
        <v>0</v>
      </c>
      <c r="T25" s="87">
        <f t="shared" si="15"/>
        <v>4617.9865924869409</v>
      </c>
      <c r="U25" s="10">
        <f t="shared" si="16"/>
        <v>0.46179865924869407</v>
      </c>
      <c r="V25" s="103">
        <f t="shared" si="17"/>
        <v>3.2702977567806497E-2</v>
      </c>
      <c r="W25" s="113">
        <f t="shared" si="20"/>
        <v>3.9243573081367797</v>
      </c>
      <c r="X25" s="113">
        <f t="shared" si="21"/>
        <v>5.4941002313914922</v>
      </c>
      <c r="Y25" s="114">
        <f t="shared" si="22"/>
        <v>1.1041965586315199</v>
      </c>
      <c r="Z25" s="114">
        <f t="shared" si="19"/>
        <v>1.5458751820841279</v>
      </c>
    </row>
    <row r="26" spans="1:26" x14ac:dyDescent="0.25">
      <c r="A26" s="33" t="s">
        <v>141</v>
      </c>
      <c r="B26" s="77">
        <f t="shared" si="7"/>
        <v>43710.416666666664</v>
      </c>
      <c r="C26" s="49">
        <v>3</v>
      </c>
      <c r="D26" s="90">
        <v>1587.9</v>
      </c>
      <c r="E26" s="91">
        <v>427.5</v>
      </c>
      <c r="F26" s="80">
        <f t="shared" si="8"/>
        <v>4.5208036800596825E-3</v>
      </c>
      <c r="G26" s="80">
        <f t="shared" si="9"/>
        <v>4.5704369754468992E-3</v>
      </c>
      <c r="H26" s="111">
        <v>0.41666666666666669</v>
      </c>
      <c r="I26" s="81">
        <f>jar_information!L12</f>
        <v>43707.416666666664</v>
      </c>
      <c r="J26" s="82">
        <f t="shared" si="1"/>
        <v>3</v>
      </c>
      <c r="K26" s="82">
        <f t="shared" si="10"/>
        <v>72</v>
      </c>
      <c r="L26" s="83">
        <f>jar_information!G12</f>
        <v>1045.7149806761979</v>
      </c>
      <c r="M26" s="82">
        <f t="shared" si="11"/>
        <v>4.7274721329344951</v>
      </c>
      <c r="N26" s="82">
        <f t="shared" si="12"/>
        <v>8.6512740032701263</v>
      </c>
      <c r="O26" s="84">
        <f t="shared" si="2"/>
        <v>2.359438364528216</v>
      </c>
      <c r="P26" s="85">
        <f t="shared" si="13"/>
        <v>0.65280871985559596</v>
      </c>
      <c r="Q26" s="86"/>
      <c r="R26" s="86">
        <f t="shared" si="14"/>
        <v>0</v>
      </c>
      <c r="S26" s="86">
        <f t="shared" si="18"/>
        <v>0</v>
      </c>
      <c r="T26" s="87">
        <f t="shared" si="15"/>
        <v>4520.8036800596828</v>
      </c>
      <c r="U26" s="10">
        <f t="shared" si="16"/>
        <v>0.45208036800596824</v>
      </c>
      <c r="V26" s="103">
        <f t="shared" si="17"/>
        <v>3.2769977285114112E-2</v>
      </c>
      <c r="W26" s="113">
        <f t="shared" si="20"/>
        <v>3.9323972742136934</v>
      </c>
      <c r="X26" s="113">
        <f t="shared" si="21"/>
        <v>5.5053561838991714</v>
      </c>
      <c r="Y26" s="114">
        <f t="shared" si="22"/>
        <v>1.0880145330926601</v>
      </c>
      <c r="Z26" s="114">
        <f t="shared" si="19"/>
        <v>1.523220346329724</v>
      </c>
    </row>
    <row r="27" spans="1:26" x14ac:dyDescent="0.25">
      <c r="A27" s="33" t="s">
        <v>139</v>
      </c>
      <c r="B27" s="77">
        <f t="shared" si="7"/>
        <v>43710.416666666664</v>
      </c>
      <c r="C27" s="49">
        <v>3</v>
      </c>
      <c r="D27" s="90">
        <v>1663.5</v>
      </c>
      <c r="E27" s="91">
        <v>459.95</v>
      </c>
      <c r="F27" s="80">
        <f t="shared" si="8"/>
        <v>4.7388163856828527E-3</v>
      </c>
      <c r="G27" s="80">
        <f t="shared" si="9"/>
        <v>4.9264280992545517E-3</v>
      </c>
      <c r="H27" s="111">
        <v>0.41666666666666669</v>
      </c>
      <c r="I27" s="81">
        <f>jar_information!L13</f>
        <v>43707.416666666664</v>
      </c>
      <c r="J27" s="82">
        <f t="shared" si="1"/>
        <v>3</v>
      </c>
      <c r="K27" s="82">
        <f t="shared" si="10"/>
        <v>72</v>
      </c>
      <c r="L27" s="83">
        <f>jar_information!G13</f>
        <v>1040.8668117949733</v>
      </c>
      <c r="M27" s="82">
        <f t="shared" si="11"/>
        <v>4.932476703047489</v>
      </c>
      <c r="N27" s="82">
        <f t="shared" si="12"/>
        <v>9.0264323665769055</v>
      </c>
      <c r="O27" s="84">
        <f t="shared" si="2"/>
        <v>2.4617542817937013</v>
      </c>
      <c r="P27" s="85">
        <f t="shared" si="13"/>
        <v>0.68340925383018525</v>
      </c>
      <c r="Q27" s="86"/>
      <c r="R27" s="86">
        <f t="shared" si="14"/>
        <v>0</v>
      </c>
      <c r="S27" s="86">
        <f t="shared" si="18"/>
        <v>0</v>
      </c>
      <c r="T27" s="87">
        <f t="shared" si="15"/>
        <v>4738.8163856828523</v>
      </c>
      <c r="U27" s="10">
        <f t="shared" si="16"/>
        <v>0.47388163856828525</v>
      </c>
      <c r="V27" s="103">
        <f t="shared" si="17"/>
        <v>3.4191031691579186E-2</v>
      </c>
      <c r="W27" s="113">
        <f t="shared" si="20"/>
        <v>4.1029238029895021</v>
      </c>
      <c r="X27" s="113">
        <f t="shared" si="21"/>
        <v>5.7440933241853029</v>
      </c>
      <c r="Y27" s="114">
        <f t="shared" si="22"/>
        <v>1.1390154230503087</v>
      </c>
      <c r="Z27" s="114">
        <f t="shared" si="19"/>
        <v>1.5946215922704321</v>
      </c>
    </row>
    <row r="28" spans="1:26" x14ac:dyDescent="0.25">
      <c r="A28" s="33" t="s">
        <v>142</v>
      </c>
      <c r="B28" s="77">
        <f t="shared" si="7"/>
        <v>43710.416666666664</v>
      </c>
      <c r="C28" s="49">
        <v>3</v>
      </c>
      <c r="D28" s="90">
        <v>1633.6</v>
      </c>
      <c r="E28" s="91">
        <v>419.84</v>
      </c>
      <c r="F28" s="80">
        <f t="shared" si="8"/>
        <v>4.6525917838556984E-3</v>
      </c>
      <c r="G28" s="80">
        <f t="shared" si="9"/>
        <v>4.4864033234171107E-3</v>
      </c>
      <c r="H28" s="111">
        <v>0.41666666666666669</v>
      </c>
      <c r="I28" s="81">
        <f>jar_information!L14</f>
        <v>43707.416666666664</v>
      </c>
      <c r="J28" s="82">
        <f t="shared" si="1"/>
        <v>3</v>
      </c>
      <c r="K28" s="82">
        <f t="shared" si="10"/>
        <v>72</v>
      </c>
      <c r="L28" s="83">
        <f>jar_information!G14</f>
        <v>1050.5774088776614</v>
      </c>
      <c r="M28" s="82">
        <f t="shared" si="11"/>
        <v>4.887907820848616</v>
      </c>
      <c r="N28" s="82">
        <f t="shared" si="12"/>
        <v>8.9448713121529675</v>
      </c>
      <c r="O28" s="84">
        <f t="shared" si="2"/>
        <v>2.4395103578599002</v>
      </c>
      <c r="P28" s="85">
        <f t="shared" si="13"/>
        <v>0.67270049648640107</v>
      </c>
      <c r="Q28" s="86"/>
      <c r="R28" s="86">
        <f t="shared" si="14"/>
        <v>0</v>
      </c>
      <c r="S28" s="86">
        <f t="shared" si="18"/>
        <v>0</v>
      </c>
      <c r="T28" s="87">
        <f t="shared" si="15"/>
        <v>4652.5917838556988</v>
      </c>
      <c r="U28" s="10">
        <f t="shared" si="16"/>
        <v>0.46525917838556985</v>
      </c>
      <c r="V28" s="103">
        <f t="shared" si="17"/>
        <v>3.3882088303609725E-2</v>
      </c>
      <c r="W28" s="113">
        <f t="shared" si="20"/>
        <v>4.065850596433167</v>
      </c>
      <c r="X28" s="113">
        <f t="shared" si="21"/>
        <v>5.6921908350064339</v>
      </c>
      <c r="Y28" s="114">
        <f t="shared" si="22"/>
        <v>1.1211674941440017</v>
      </c>
      <c r="Z28" s="114">
        <f t="shared" si="19"/>
        <v>1.5696344918016025</v>
      </c>
    </row>
    <row r="30" spans="1:26" x14ac:dyDescent="0.25">
      <c r="A30" t="str">
        <f>CONCATENATE(A17,"_",B30)</f>
        <v>HEW22-1_Pre_moist</v>
      </c>
      <c r="B30" t="s">
        <v>148</v>
      </c>
      <c r="K30" s="82"/>
    </row>
    <row r="31" spans="1:26" x14ac:dyDescent="0.25">
      <c r="A31" t="str">
        <f t="shared" ref="A31:A41" si="23">CONCATENATE(A18,"_",B31)</f>
        <v>HEW22-2_Pre_moist</v>
      </c>
      <c r="B31" t="s">
        <v>148</v>
      </c>
      <c r="K31" s="82"/>
    </row>
    <row r="32" spans="1:26" x14ac:dyDescent="0.25">
      <c r="A32" t="str">
        <f t="shared" si="23"/>
        <v>HEW41-1_Pre_moist</v>
      </c>
      <c r="B32" t="s">
        <v>148</v>
      </c>
      <c r="K32" s="82"/>
    </row>
    <row r="33" spans="1:2" x14ac:dyDescent="0.25">
      <c r="A33" t="str">
        <f t="shared" si="23"/>
        <v>HEW41-2_Pre_moist</v>
      </c>
      <c r="B33" t="s">
        <v>148</v>
      </c>
    </row>
    <row r="34" spans="1:2" x14ac:dyDescent="0.25">
      <c r="A34" t="str">
        <f t="shared" si="23"/>
        <v>HEW42-1_Pre_moist</v>
      </c>
      <c r="B34" t="s">
        <v>148</v>
      </c>
    </row>
    <row r="35" spans="1:2" x14ac:dyDescent="0.25">
      <c r="A35" t="str">
        <f t="shared" si="23"/>
        <v>HEW42-2_Pre_moist</v>
      </c>
      <c r="B35" t="s">
        <v>148</v>
      </c>
    </row>
    <row r="36" spans="1:2" x14ac:dyDescent="0.25">
      <c r="A36" t="str">
        <f t="shared" si="23"/>
        <v>HEG10-1_Pre_moist</v>
      </c>
      <c r="B36" t="s">
        <v>148</v>
      </c>
    </row>
    <row r="37" spans="1:2" x14ac:dyDescent="0.25">
      <c r="A37" t="str">
        <f t="shared" si="23"/>
        <v>HEG10-2_Pre_moist</v>
      </c>
      <c r="B37" t="s">
        <v>148</v>
      </c>
    </row>
    <row r="38" spans="1:2" x14ac:dyDescent="0.25">
      <c r="A38" t="str">
        <f t="shared" si="23"/>
        <v>HEG32-1_Pre_moist</v>
      </c>
      <c r="B38" t="s">
        <v>148</v>
      </c>
    </row>
    <row r="39" spans="1:2" x14ac:dyDescent="0.25">
      <c r="A39" t="str">
        <f t="shared" si="23"/>
        <v>HEG32-2_Pre_moist</v>
      </c>
      <c r="B39" t="s">
        <v>148</v>
      </c>
    </row>
    <row r="40" spans="1:2" x14ac:dyDescent="0.25">
      <c r="A40" t="str">
        <f t="shared" si="23"/>
        <v>HEG48-1_Pre_moist</v>
      </c>
      <c r="B40" t="s">
        <v>148</v>
      </c>
    </row>
    <row r="41" spans="1:2" x14ac:dyDescent="0.25">
      <c r="A41" t="str">
        <f t="shared" si="23"/>
        <v>HEG48-2_Pre_moist</v>
      </c>
      <c r="B41" t="s">
        <v>148</v>
      </c>
    </row>
  </sheetData>
  <conditionalFormatting sqref="O17:O28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U17" sqref="U17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43712</v>
      </c>
      <c r="C3" s="58">
        <v>2992</v>
      </c>
      <c r="D3" s="47">
        <v>1711</v>
      </c>
      <c r="E3" s="59">
        <v>428.89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43712</v>
      </c>
      <c r="C4" s="58">
        <v>2992</v>
      </c>
      <c r="D4" s="59">
        <v>1529.4</v>
      </c>
      <c r="E4" s="59">
        <v>408.95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43712</v>
      </c>
      <c r="C5" s="58">
        <v>2992</v>
      </c>
      <c r="D5" s="47">
        <v>1417.9</v>
      </c>
      <c r="E5" s="59">
        <v>365.67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43712</v>
      </c>
      <c r="C6" s="58">
        <v>2992</v>
      </c>
      <c r="D6" s="59">
        <v>1230.4000000000001</v>
      </c>
      <c r="E6" s="59">
        <v>323.66000000000003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43712</v>
      </c>
      <c r="C7" s="58">
        <v>2992</v>
      </c>
      <c r="D7" s="47">
        <v>1074.0999999999999</v>
      </c>
      <c r="E7" s="59">
        <v>297.24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43712</v>
      </c>
      <c r="C8" s="58">
        <v>2992</v>
      </c>
      <c r="D8" s="59">
        <v>882.86</v>
      </c>
      <c r="E8" s="59">
        <v>239.94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43712</v>
      </c>
      <c r="C9" s="58">
        <v>2992</v>
      </c>
      <c r="D9" s="47">
        <v>748.13</v>
      </c>
      <c r="E9" s="59">
        <v>200.1</v>
      </c>
      <c r="F9" s="60">
        <f t="shared" si="0"/>
        <v>5.984</v>
      </c>
      <c r="G9" s="63" t="s">
        <v>75</v>
      </c>
      <c r="H9" s="63"/>
      <c r="I9" s="64">
        <f>SLOPE(F3:F14,D3:D14)</f>
        <v>8.6081866625659729E-3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43712</v>
      </c>
      <c r="C10" s="58">
        <v>2992</v>
      </c>
      <c r="D10" s="47">
        <v>541.41</v>
      </c>
      <c r="E10" s="59">
        <v>146.52000000000001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-0.18186609638413298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43712</v>
      </c>
      <c r="C11" s="58">
        <v>2992</v>
      </c>
      <c r="D11" s="47">
        <v>365.13</v>
      </c>
      <c r="E11" s="59">
        <v>107.52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43712</v>
      </c>
      <c r="C12" s="58">
        <v>2992</v>
      </c>
      <c r="D12" s="65">
        <v>143.91999999999999</v>
      </c>
      <c r="E12" s="65">
        <v>42.02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3.3598674652879142E-2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43712</v>
      </c>
      <c r="C13" s="58">
        <v>2992</v>
      </c>
      <c r="D13" s="65">
        <v>65.097999999999999</v>
      </c>
      <c r="E13" s="65">
        <v>22.669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-0.45887419523135264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43712</v>
      </c>
      <c r="C14" s="58">
        <v>2992</v>
      </c>
      <c r="D14" s="65">
        <v>33.005000000000003</v>
      </c>
      <c r="E14" s="65">
        <v>11.807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43712.4375</v>
      </c>
      <c r="C17" s="49">
        <v>2</v>
      </c>
      <c r="D17" s="78">
        <v>1290.3</v>
      </c>
      <c r="E17" s="79">
        <v>353.74</v>
      </c>
      <c r="F17" s="80">
        <f>((I$9*D17)+I$10)/C17/1000</f>
        <v>5.4626385771623714E-3</v>
      </c>
      <c r="G17" s="80">
        <f>((I$12*E17)+I$13)/C17/1000</f>
        <v>5.7131604882390578E-3</v>
      </c>
      <c r="H17" s="111">
        <v>0.4375</v>
      </c>
      <c r="I17" s="81">
        <f>jar_information!L3</f>
        <v>43707.416666666664</v>
      </c>
      <c r="J17" s="82">
        <f t="shared" ref="J17:J28" si="1">B17-I17</f>
        <v>5.0208333333357587</v>
      </c>
      <c r="K17" s="82">
        <f>J17*24</f>
        <v>120.50000000005821</v>
      </c>
      <c r="L17" s="83">
        <f>jar_information!G3</f>
        <v>1050.5774088776614</v>
      </c>
      <c r="M17" s="82">
        <f>F17*L17</f>
        <v>5.7389246820303992</v>
      </c>
      <c r="N17" s="82">
        <f>M17*1.83</f>
        <v>10.502232168115631</v>
      </c>
      <c r="O17" s="84">
        <f t="shared" ref="O17:O28" si="2">N17*(12/(12+(16*2)))</f>
        <v>2.8642451367588082</v>
      </c>
      <c r="P17" s="85">
        <f>O17*(400/(400+L17))</f>
        <v>0.78982207201887356</v>
      </c>
      <c r="Q17" s="86"/>
      <c r="R17" s="86">
        <f>Q17/314.7</f>
        <v>0</v>
      </c>
      <c r="S17" s="86">
        <f>R17/P17*100</f>
        <v>0</v>
      </c>
      <c r="T17" s="87">
        <f>F17*1000000</f>
        <v>5462.6385771623718</v>
      </c>
      <c r="U17" s="10">
        <f>M17/L17*100</f>
        <v>0.54626385771623709</v>
      </c>
      <c r="V17" s="103">
        <f>O17/K17</f>
        <v>2.3769669184708919E-2</v>
      </c>
    </row>
    <row r="18" spans="1:23" x14ac:dyDescent="0.25">
      <c r="A18" s="33" t="s">
        <v>133</v>
      </c>
      <c r="B18" s="77">
        <f t="shared" ref="B18:B28" si="3">B4+H18</f>
        <v>43712.4375</v>
      </c>
      <c r="C18" s="49">
        <v>2</v>
      </c>
      <c r="D18" s="88">
        <v>1315.6</v>
      </c>
      <c r="E18" s="89">
        <v>356.62</v>
      </c>
      <c r="F18" s="80">
        <f t="shared" ref="F18:F28" si="4">((I$9*D18)+I$10)/C18/1000</f>
        <v>5.5715321384438299E-3</v>
      </c>
      <c r="G18" s="80">
        <f t="shared" ref="G18:G28" si="5">((I$12*E18)+I$13)/C18/1000</f>
        <v>5.7615425797392034E-3</v>
      </c>
      <c r="H18" s="111">
        <v>0.4375</v>
      </c>
      <c r="I18" s="81">
        <f>jar_information!L4</f>
        <v>43707.416666666664</v>
      </c>
      <c r="J18" s="82">
        <f t="shared" si="1"/>
        <v>5.0208333333357587</v>
      </c>
      <c r="K18" s="82">
        <f t="shared" ref="K18:K28" si="6">J18*24</f>
        <v>120.50000000005821</v>
      </c>
      <c r="L18" s="83">
        <f>jar_information!G4</f>
        <v>1050.5774088776614</v>
      </c>
      <c r="M18" s="82">
        <f t="shared" ref="M18:M28" si="7">F18*L18</f>
        <v>5.853325797484934</v>
      </c>
      <c r="N18" s="82">
        <f t="shared" ref="N18:N28" si="8">M18*1.83</f>
        <v>10.71158620939743</v>
      </c>
      <c r="O18" s="84">
        <f t="shared" si="2"/>
        <v>2.921341693472026</v>
      </c>
      <c r="P18" s="85">
        <f t="shared" ref="P18:P28" si="9">O18*(400/(400+L18))</f>
        <v>0.80556657661787856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5571.5321384438303</v>
      </c>
      <c r="U18" s="10">
        <f t="shared" ref="U18:U28" si="12">M18/L18*100</f>
        <v>0.55715321384438299</v>
      </c>
      <c r="V18" s="103">
        <f t="shared" ref="V18:V28" si="13">O18/K18</f>
        <v>2.4243499530876473E-2</v>
      </c>
    </row>
    <row r="19" spans="1:23" x14ac:dyDescent="0.25">
      <c r="A19" s="33" t="s">
        <v>134</v>
      </c>
      <c r="B19" s="77">
        <f t="shared" si="3"/>
        <v>43712.4375</v>
      </c>
      <c r="C19" s="49">
        <v>3</v>
      </c>
      <c r="D19" s="90">
        <v>1439.1</v>
      </c>
      <c r="E19" s="91">
        <v>381.84</v>
      </c>
      <c r="F19" s="80">
        <f t="shared" si="4"/>
        <v>4.068725109904853E-3</v>
      </c>
      <c r="G19" s="80">
        <f t="shared" si="5"/>
        <v>4.1234812447413392E-3</v>
      </c>
      <c r="H19" s="111">
        <v>0.4375</v>
      </c>
      <c r="I19" s="81">
        <f>jar_information!L5</f>
        <v>43707.416666666664</v>
      </c>
      <c r="J19" s="82">
        <f t="shared" si="1"/>
        <v>5.0208333333357587</v>
      </c>
      <c r="K19" s="82">
        <f t="shared" si="6"/>
        <v>120.50000000005821</v>
      </c>
      <c r="L19" s="83">
        <f>jar_information!G5</f>
        <v>1050.5774088776614</v>
      </c>
      <c r="M19" s="82">
        <f t="shared" si="7"/>
        <v>4.2745106833993187</v>
      </c>
      <c r="N19" s="82">
        <f t="shared" si="8"/>
        <v>7.8223545506207532</v>
      </c>
      <c r="O19" s="84">
        <f t="shared" si="2"/>
        <v>2.1333694228965689</v>
      </c>
      <c r="P19" s="85">
        <f t="shared" si="9"/>
        <v>0.58828144153911688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4068.7251099048531</v>
      </c>
      <c r="U19" s="10">
        <f t="shared" si="12"/>
        <v>0.40687251099048533</v>
      </c>
      <c r="V19" s="103">
        <f t="shared" si="13"/>
        <v>1.7704310563448452E-2</v>
      </c>
    </row>
    <row r="20" spans="1:23" x14ac:dyDescent="0.25">
      <c r="A20" s="33" t="s">
        <v>135</v>
      </c>
      <c r="B20" s="77">
        <f t="shared" si="3"/>
        <v>43712.4375</v>
      </c>
      <c r="C20" s="49">
        <v>3</v>
      </c>
      <c r="D20" s="90">
        <v>1424</v>
      </c>
      <c r="E20" s="91">
        <v>385.96</v>
      </c>
      <c r="F20" s="80">
        <f t="shared" si="4"/>
        <v>4.0253972370366039E-3</v>
      </c>
      <c r="G20" s="80">
        <f t="shared" si="5"/>
        <v>4.16962342459796E-3</v>
      </c>
      <c r="H20" s="111">
        <v>0.4375</v>
      </c>
      <c r="I20" s="81">
        <f>jar_information!L6</f>
        <v>43707.416666666664</v>
      </c>
      <c r="J20" s="82">
        <f t="shared" si="1"/>
        <v>5.0208333333357587</v>
      </c>
      <c r="K20" s="82">
        <f t="shared" si="6"/>
        <v>120.50000000005821</v>
      </c>
      <c r="L20" s="83">
        <f>jar_information!G6</f>
        <v>1055.454159400779</v>
      </c>
      <c r="M20" s="82">
        <f t="shared" si="7"/>
        <v>4.2486222570706866</v>
      </c>
      <c r="N20" s="82">
        <f t="shared" si="8"/>
        <v>7.7749787304393569</v>
      </c>
      <c r="O20" s="84">
        <f t="shared" si="2"/>
        <v>2.1204487446652789</v>
      </c>
      <c r="P20" s="85">
        <f t="shared" si="9"/>
        <v>0.58275933486995779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4025.3972370366041</v>
      </c>
      <c r="U20" s="10">
        <f t="shared" si="12"/>
        <v>0.40253972370366037</v>
      </c>
      <c r="V20" s="103">
        <f t="shared" si="13"/>
        <v>1.7597085017960618E-2</v>
      </c>
    </row>
    <row r="21" spans="1:23" x14ac:dyDescent="0.25">
      <c r="A21" s="33" t="s">
        <v>136</v>
      </c>
      <c r="B21" s="77">
        <f t="shared" si="3"/>
        <v>43712.4375</v>
      </c>
      <c r="C21" s="49">
        <v>3</v>
      </c>
      <c r="D21" s="90">
        <v>724.8</v>
      </c>
      <c r="E21" s="91">
        <v>190.49</v>
      </c>
      <c r="F21" s="80">
        <f t="shared" si="4"/>
        <v>2.0191158655478944E-3</v>
      </c>
      <c r="G21" s="80">
        <f t="shared" si="5"/>
        <v>1.9804457797985317E-3</v>
      </c>
      <c r="H21" s="111">
        <v>0.4375</v>
      </c>
      <c r="I21" s="81">
        <f>jar_information!L7</f>
        <v>43707.416666666664</v>
      </c>
      <c r="J21" s="82">
        <f t="shared" si="1"/>
        <v>5.0208333333357587</v>
      </c>
      <c r="K21" s="82">
        <f t="shared" si="6"/>
        <v>120.50000000005821</v>
      </c>
      <c r="L21" s="83">
        <f>jar_information!G7</f>
        <v>1065.2508812788285</v>
      </c>
      <c r="M21" s="82">
        <f t="shared" si="7"/>
        <v>2.1508649551789589</v>
      </c>
      <c r="N21" s="82">
        <f t="shared" si="8"/>
        <v>3.9360828679774951</v>
      </c>
      <c r="O21" s="84">
        <f t="shared" si="2"/>
        <v>1.073477145812044</v>
      </c>
      <c r="P21" s="85">
        <f t="shared" si="9"/>
        <v>0.29304937728483588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2019.1158655478944</v>
      </c>
      <c r="U21" s="10">
        <f t="shared" si="12"/>
        <v>0.20191158655478944</v>
      </c>
      <c r="V21" s="103">
        <f t="shared" si="13"/>
        <v>8.9085240316309159E-3</v>
      </c>
    </row>
    <row r="22" spans="1:23" x14ac:dyDescent="0.25">
      <c r="A22" s="33" t="s">
        <v>145</v>
      </c>
      <c r="B22" s="77">
        <f t="shared" si="3"/>
        <v>43712.4375</v>
      </c>
      <c r="C22" s="49">
        <v>3</v>
      </c>
      <c r="D22" s="90">
        <v>770.86</v>
      </c>
      <c r="E22" s="91">
        <v>217.97</v>
      </c>
      <c r="F22" s="80">
        <f t="shared" si="4"/>
        <v>2.1512802247738243E-3</v>
      </c>
      <c r="G22" s="80">
        <f t="shared" si="5"/>
        <v>2.2882096396189045E-3</v>
      </c>
      <c r="H22" s="111">
        <v>0.4375</v>
      </c>
      <c r="I22" s="81">
        <f>jar_information!L8</f>
        <v>43707.416666666664</v>
      </c>
      <c r="J22" s="82">
        <f t="shared" si="1"/>
        <v>5.0208333333357587</v>
      </c>
      <c r="K22" s="82">
        <f t="shared" si="6"/>
        <v>120.50000000005821</v>
      </c>
      <c r="L22" s="83">
        <f>jar_information!G8</f>
        <v>1050.5774088776614</v>
      </c>
      <c r="M22" s="82">
        <f t="shared" si="7"/>
        <v>2.2600864043126374</v>
      </c>
      <c r="N22" s="82">
        <f t="shared" si="8"/>
        <v>4.1359581198921269</v>
      </c>
      <c r="O22" s="84">
        <f t="shared" si="2"/>
        <v>1.1279885781523982</v>
      </c>
      <c r="P22" s="85">
        <f t="shared" si="9"/>
        <v>0.31104540061054547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2151.2802247738241</v>
      </c>
      <c r="U22" s="10">
        <f t="shared" si="12"/>
        <v>0.21512802247738244</v>
      </c>
      <c r="V22" s="103">
        <f t="shared" si="13"/>
        <v>9.3609010635008569E-3</v>
      </c>
    </row>
    <row r="23" spans="1:23" x14ac:dyDescent="0.25">
      <c r="A23" s="33" t="s">
        <v>137</v>
      </c>
      <c r="B23" s="77">
        <f t="shared" si="3"/>
        <v>43712.4375</v>
      </c>
      <c r="C23" s="49">
        <v>1</v>
      </c>
      <c r="D23" s="90">
        <v>926.33</v>
      </c>
      <c r="E23" s="91">
        <v>262.56</v>
      </c>
      <c r="F23" s="80">
        <f t="shared" si="4"/>
        <v>7.7921554547506055E-3</v>
      </c>
      <c r="G23" s="80">
        <f t="shared" si="5"/>
        <v>8.3627938216285936E-3</v>
      </c>
      <c r="H23" s="111">
        <v>0.4375</v>
      </c>
      <c r="I23" s="81">
        <f>jar_information!L9</f>
        <v>43707.416666666664</v>
      </c>
      <c r="J23" s="82">
        <f t="shared" si="1"/>
        <v>5.0208333333357587</v>
      </c>
      <c r="K23" s="82">
        <f t="shared" si="6"/>
        <v>120.50000000005821</v>
      </c>
      <c r="L23" s="83">
        <f>jar_information!G9</f>
        <v>1050.5774088776614</v>
      </c>
      <c r="M23" s="82">
        <f t="shared" si="7"/>
        <v>8.1862624872238268</v>
      </c>
      <c r="N23" s="82">
        <f t="shared" si="8"/>
        <v>14.980860351619604</v>
      </c>
      <c r="O23" s="84">
        <f t="shared" si="2"/>
        <v>4.0856891868053467</v>
      </c>
      <c r="P23" s="85">
        <f t="shared" si="9"/>
        <v>1.1266380302907157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7792.1554547506057</v>
      </c>
      <c r="U23" s="10">
        <f t="shared" si="12"/>
        <v>0.77921554547506067</v>
      </c>
      <c r="V23" s="103">
        <f t="shared" si="13"/>
        <v>3.3906134330318451E-2</v>
      </c>
    </row>
    <row r="24" spans="1:23" x14ac:dyDescent="0.25">
      <c r="A24" s="33" t="s">
        <v>140</v>
      </c>
      <c r="B24" s="77">
        <f t="shared" si="3"/>
        <v>43712.4375</v>
      </c>
      <c r="C24" s="49">
        <v>1</v>
      </c>
      <c r="D24" s="90">
        <v>976.85</v>
      </c>
      <c r="E24" s="91">
        <v>258.41000000000003</v>
      </c>
      <c r="F24" s="80">
        <f t="shared" si="4"/>
        <v>8.227041044943437E-3</v>
      </c>
      <c r="G24" s="80">
        <f t="shared" si="5"/>
        <v>8.2233593218191472E-3</v>
      </c>
      <c r="H24" s="111">
        <v>0.4375</v>
      </c>
      <c r="I24" s="81">
        <f>jar_information!L10</f>
        <v>43707.416666666664</v>
      </c>
      <c r="J24" s="82">
        <f t="shared" si="1"/>
        <v>5.0208333333357587</v>
      </c>
      <c r="K24" s="82">
        <f t="shared" si="6"/>
        <v>120.50000000005821</v>
      </c>
      <c r="L24" s="83">
        <f>jar_information!G10</f>
        <v>1055.454159400779</v>
      </c>
      <c r="M24" s="82">
        <f t="shared" si="7"/>
        <v>8.6832646904464816</v>
      </c>
      <c r="N24" s="82">
        <f t="shared" si="8"/>
        <v>15.890374383517061</v>
      </c>
      <c r="O24" s="84">
        <f t="shared" si="2"/>
        <v>4.3337384682319255</v>
      </c>
      <c r="P24" s="85">
        <f t="shared" si="9"/>
        <v>1.1910339986293095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8227.0410449434366</v>
      </c>
      <c r="U24" s="10">
        <f t="shared" si="12"/>
        <v>0.82270410449434372</v>
      </c>
      <c r="V24" s="103">
        <f t="shared" si="13"/>
        <v>3.5964634591118941E-2</v>
      </c>
    </row>
    <row r="25" spans="1:23" x14ac:dyDescent="0.25">
      <c r="A25" s="33" t="s">
        <v>138</v>
      </c>
      <c r="B25" s="77">
        <f t="shared" si="3"/>
        <v>43712.4375</v>
      </c>
      <c r="C25" s="49">
        <v>1</v>
      </c>
      <c r="D25" s="90">
        <v>933.43</v>
      </c>
      <c r="E25" s="91">
        <v>244.85</v>
      </c>
      <c r="F25" s="80">
        <f t="shared" si="4"/>
        <v>7.8532735800548228E-3</v>
      </c>
      <c r="G25" s="80">
        <f t="shared" si="5"/>
        <v>7.7677612935261051E-3</v>
      </c>
      <c r="H25" s="111">
        <v>0.4375</v>
      </c>
      <c r="I25" s="81">
        <f>jar_information!L11</f>
        <v>43707.416666666664</v>
      </c>
      <c r="J25" s="82">
        <f t="shared" si="1"/>
        <v>5.0208333333357587</v>
      </c>
      <c r="K25" s="82">
        <f t="shared" si="6"/>
        <v>120.50000000005821</v>
      </c>
      <c r="L25" s="83">
        <f>jar_information!G11</f>
        <v>1021.6154823015972</v>
      </c>
      <c r="M25" s="82">
        <f t="shared" si="7"/>
        <v>8.0230258761340991</v>
      </c>
      <c r="N25" s="82">
        <f t="shared" si="8"/>
        <v>14.682137353325402</v>
      </c>
      <c r="O25" s="84">
        <f t="shared" si="2"/>
        <v>4.0042192781796544</v>
      </c>
      <c r="P25" s="85">
        <f t="shared" si="9"/>
        <v>1.1266673240493466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7853.2735800548226</v>
      </c>
      <c r="U25" s="10">
        <f t="shared" si="12"/>
        <v>0.78532735800548226</v>
      </c>
      <c r="V25" s="103">
        <f t="shared" si="13"/>
        <v>3.3230035503549547E-2</v>
      </c>
    </row>
    <row r="26" spans="1:23" x14ac:dyDescent="0.25">
      <c r="A26" s="33" t="s">
        <v>141</v>
      </c>
      <c r="B26" s="77">
        <f t="shared" si="3"/>
        <v>43712.4375</v>
      </c>
      <c r="C26" s="49">
        <v>1</v>
      </c>
      <c r="D26" s="90">
        <v>965.61</v>
      </c>
      <c r="E26" s="91">
        <v>252.12</v>
      </c>
      <c r="F26" s="80">
        <f t="shared" si="4"/>
        <v>8.1302850268561953E-3</v>
      </c>
      <c r="G26" s="80">
        <f t="shared" si="5"/>
        <v>8.0120236582525359E-3</v>
      </c>
      <c r="H26" s="111">
        <v>0.4375</v>
      </c>
      <c r="I26" s="81">
        <f>jar_information!L12</f>
        <v>43707.416666666664</v>
      </c>
      <c r="J26" s="82">
        <f t="shared" si="1"/>
        <v>5.0208333333357587</v>
      </c>
      <c r="K26" s="82">
        <f t="shared" si="6"/>
        <v>120.50000000005821</v>
      </c>
      <c r="L26" s="83">
        <f>jar_information!G12</f>
        <v>1045.7149806761979</v>
      </c>
      <c r="M26" s="82">
        <f t="shared" si="7"/>
        <v>8.5019608497509083</v>
      </c>
      <c r="N26" s="82">
        <f t="shared" si="8"/>
        <v>15.558588355044163</v>
      </c>
      <c r="O26" s="84">
        <f t="shared" si="2"/>
        <v>4.2432513695574992</v>
      </c>
      <c r="P26" s="85">
        <f t="shared" si="9"/>
        <v>1.1740215537014971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8130.2850268561951</v>
      </c>
      <c r="U26" s="10">
        <f t="shared" si="12"/>
        <v>0.81302850268561955</v>
      </c>
      <c r="V26" s="103">
        <f t="shared" si="13"/>
        <v>3.5213704311663478E-2</v>
      </c>
    </row>
    <row r="27" spans="1:23" x14ac:dyDescent="0.25">
      <c r="A27" s="33" t="s">
        <v>139</v>
      </c>
      <c r="B27" s="77">
        <f t="shared" si="3"/>
        <v>43712.4375</v>
      </c>
      <c r="C27" s="49">
        <v>1</v>
      </c>
      <c r="D27" s="90">
        <v>980.15</v>
      </c>
      <c r="E27" s="91">
        <v>254.96</v>
      </c>
      <c r="F27" s="80">
        <f t="shared" si="4"/>
        <v>8.2554480609299038E-3</v>
      </c>
      <c r="G27" s="80">
        <f t="shared" si="5"/>
        <v>8.1074438942667134E-3</v>
      </c>
      <c r="H27" s="111">
        <v>0.4375</v>
      </c>
      <c r="I27" s="81">
        <f>jar_information!L13</f>
        <v>43707.416666666664</v>
      </c>
      <c r="J27" s="82">
        <f t="shared" si="1"/>
        <v>5.0208333333357587</v>
      </c>
      <c r="K27" s="82">
        <f t="shared" si="6"/>
        <v>120.50000000005821</v>
      </c>
      <c r="L27" s="83">
        <f>jar_information!G13</f>
        <v>1040.8668117949733</v>
      </c>
      <c r="M27" s="82">
        <f t="shared" si="7"/>
        <v>8.5928219031191038</v>
      </c>
      <c r="N27" s="82">
        <f t="shared" si="8"/>
        <v>15.72486408270796</v>
      </c>
      <c r="O27" s="84">
        <f t="shared" si="2"/>
        <v>4.2885992952839889</v>
      </c>
      <c r="P27" s="85">
        <f t="shared" si="9"/>
        <v>1.1905609207394892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8255.4480609299044</v>
      </c>
      <c r="U27" s="10">
        <f t="shared" si="12"/>
        <v>0.82554480609299041</v>
      </c>
      <c r="V27" s="103">
        <f t="shared" si="13"/>
        <v>3.5590035645493089E-2</v>
      </c>
    </row>
    <row r="28" spans="1:23" x14ac:dyDescent="0.25">
      <c r="A28" s="33" t="s">
        <v>142</v>
      </c>
      <c r="B28" s="77">
        <f t="shared" si="3"/>
        <v>43712.4375</v>
      </c>
      <c r="C28" s="49">
        <v>1</v>
      </c>
      <c r="D28" s="90">
        <v>914.29</v>
      </c>
      <c r="E28" s="91">
        <v>251.24</v>
      </c>
      <c r="F28" s="80">
        <f t="shared" si="4"/>
        <v>7.6885128873333099E-3</v>
      </c>
      <c r="G28" s="80">
        <f t="shared" si="5"/>
        <v>7.9824568245580024E-3</v>
      </c>
      <c r="H28" s="111">
        <v>0.4375</v>
      </c>
      <c r="I28" s="81">
        <f>jar_information!L14</f>
        <v>43707.416666666664</v>
      </c>
      <c r="J28" s="82">
        <f t="shared" si="1"/>
        <v>5.0208333333357587</v>
      </c>
      <c r="K28" s="82">
        <f t="shared" si="6"/>
        <v>120.50000000005821</v>
      </c>
      <c r="L28" s="83">
        <f>jar_information!G14</f>
        <v>1050.5774088776614</v>
      </c>
      <c r="M28" s="82">
        <f t="shared" si="7"/>
        <v>8.0773779472971352</v>
      </c>
      <c r="N28" s="82">
        <f t="shared" si="8"/>
        <v>14.781601643553758</v>
      </c>
      <c r="O28" s="84">
        <f t="shared" si="2"/>
        <v>4.0313459027873879</v>
      </c>
      <c r="P28" s="85">
        <f t="shared" si="9"/>
        <v>1.1116527468620967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7688.5128873333097</v>
      </c>
      <c r="U28" s="10">
        <f t="shared" si="12"/>
        <v>0.76885128873333097</v>
      </c>
      <c r="V28" s="103">
        <f t="shared" si="13"/>
        <v>3.3455152720211122E-2</v>
      </c>
      <c r="W28" t="s">
        <v>153</v>
      </c>
    </row>
  </sheetData>
  <conditionalFormatting sqref="O17:O28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3" sqref="W23:W28"/>
    </sheetView>
  </sheetViews>
  <sheetFormatPr baseColWidth="10" defaultRowHeight="15" x14ac:dyDescent="0.25"/>
  <cols>
    <col min="2" max="2" width="11.28515625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43714</v>
      </c>
      <c r="C3" s="58">
        <v>2992</v>
      </c>
      <c r="D3" s="47">
        <v>1717.7</v>
      </c>
      <c r="E3" s="59">
        <v>429.26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43714</v>
      </c>
      <c r="C4" s="58">
        <v>2992</v>
      </c>
      <c r="D4" s="59">
        <v>1560.5</v>
      </c>
      <c r="E4" s="59">
        <v>400.51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43714</v>
      </c>
      <c r="C5" s="58">
        <v>2992</v>
      </c>
      <c r="D5" s="47">
        <v>1410.2</v>
      </c>
      <c r="E5" s="59">
        <v>377.23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43714</v>
      </c>
      <c r="C6" s="58">
        <v>2992</v>
      </c>
      <c r="D6" s="59">
        <v>1175.0999999999999</v>
      </c>
      <c r="E6" s="59">
        <v>323.89999999999998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43714</v>
      </c>
      <c r="C7" s="58">
        <v>2992</v>
      </c>
      <c r="D7" s="47">
        <v>1092</v>
      </c>
      <c r="E7" s="59">
        <v>281.45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43714</v>
      </c>
      <c r="C8" s="58">
        <v>2992</v>
      </c>
      <c r="D8" s="59">
        <v>903.02</v>
      </c>
      <c r="E8" s="59">
        <v>239.49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43714</v>
      </c>
      <c r="C9" s="58">
        <v>2992</v>
      </c>
      <c r="D9" s="47">
        <v>769.4</v>
      </c>
      <c r="E9" s="59">
        <v>201.65</v>
      </c>
      <c r="F9" s="60">
        <f t="shared" si="0"/>
        <v>5.984</v>
      </c>
      <c r="G9" s="63" t="s">
        <v>75</v>
      </c>
      <c r="H9" s="63"/>
      <c r="I9" s="64">
        <f>SLOPE(F3:F14,D3:D14)</f>
        <v>8.6167993562812021E-3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43714</v>
      </c>
      <c r="C10" s="58">
        <v>2992</v>
      </c>
      <c r="D10" s="47">
        <v>520.54</v>
      </c>
      <c r="E10" s="59">
        <v>147.99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-0.23376558950055859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43714</v>
      </c>
      <c r="C11" s="58">
        <v>2992</v>
      </c>
      <c r="D11" s="47">
        <v>418.73</v>
      </c>
      <c r="E11" s="59">
        <v>113.97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43714</v>
      </c>
      <c r="C12" s="58">
        <v>2992</v>
      </c>
      <c r="D12" s="65">
        <v>137.19</v>
      </c>
      <c r="E12" s="65">
        <v>43.817</v>
      </c>
      <c r="F12" s="60">
        <f t="shared" si="0"/>
        <v>1.1968000000000001</v>
      </c>
      <c r="G12" s="66" t="s">
        <v>77</v>
      </c>
      <c r="H12" s="66"/>
      <c r="I12" s="67">
        <f>SLOPE(F3:F14,E3:E14)</f>
        <v>3.3878957154236958E-2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43714</v>
      </c>
      <c r="C13" s="58">
        <v>2992</v>
      </c>
      <c r="D13" s="65">
        <v>70.613</v>
      </c>
      <c r="E13" s="65">
        <v>22.698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-0.5162438722526419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43714</v>
      </c>
      <c r="C14" s="58">
        <v>2992</v>
      </c>
      <c r="D14" s="65">
        <v>29.899000000000001</v>
      </c>
      <c r="E14" s="65">
        <v>11.872999999999999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43714.4375</v>
      </c>
      <c r="C17" s="49">
        <v>1</v>
      </c>
      <c r="D17" s="78">
        <v>879.97</v>
      </c>
      <c r="E17" s="79">
        <v>247.87</v>
      </c>
      <c r="F17" s="80">
        <f>((I$9*D17)+I$10)/C17/1000</f>
        <v>7.3487593400462107E-3</v>
      </c>
      <c r="G17" s="80">
        <f>((I$12*E17)+I$13)/C17/1000</f>
        <v>7.8813332375680719E-3</v>
      </c>
      <c r="H17" s="111">
        <v>0.4375</v>
      </c>
      <c r="I17" s="81">
        <f>jar_information!L3</f>
        <v>43707.416666666664</v>
      </c>
      <c r="J17" s="82">
        <f t="shared" ref="J17:J28" si="1">B17-I17</f>
        <v>7.0208333333357587</v>
      </c>
      <c r="K17" s="82">
        <f>J17*24</f>
        <v>168.50000000005821</v>
      </c>
      <c r="L17" s="83">
        <f>jar_information!G3</f>
        <v>1050.5774088776614</v>
      </c>
      <c r="M17" s="82">
        <f>F17*L17</f>
        <v>7.7204405459312611</v>
      </c>
      <c r="N17" s="82">
        <f>M17*1.83</f>
        <v>14.128406199054208</v>
      </c>
      <c r="O17" s="84">
        <f t="shared" ref="O17:O28" si="2">N17*(12/(12+(16*2)))</f>
        <v>3.8532016906511473</v>
      </c>
      <c r="P17" s="85">
        <f>O17*(400/(400+L17))</f>
        <v>1.0625290776126013</v>
      </c>
      <c r="Q17" s="86"/>
      <c r="R17" s="86">
        <f>Q17/314.7</f>
        <v>0</v>
      </c>
      <c r="S17" s="86">
        <f>R17/P17*100</f>
        <v>0</v>
      </c>
      <c r="T17" s="87">
        <f>F17*1000000</f>
        <v>7348.759340046211</v>
      </c>
      <c r="U17" s="10">
        <f>M17/L17*100</f>
        <v>0.73487593400462103</v>
      </c>
      <c r="V17" s="103">
        <f>O17/K17</f>
        <v>2.2867665819880215E-2</v>
      </c>
    </row>
    <row r="18" spans="1:23" x14ac:dyDescent="0.25">
      <c r="A18" s="33" t="s">
        <v>133</v>
      </c>
      <c r="B18" s="77">
        <f t="shared" ref="B18:B28" si="3">B4+H18</f>
        <v>43714.4375</v>
      </c>
      <c r="C18" s="49">
        <v>1</v>
      </c>
      <c r="D18" s="88">
        <v>946.8</v>
      </c>
      <c r="E18" s="89">
        <v>254.57</v>
      </c>
      <c r="F18" s="80">
        <f t="shared" ref="F18:F28" si="4">((I$9*D18)+I$10)/C18/1000</f>
        <v>7.9246200410264828E-3</v>
      </c>
      <c r="G18" s="80">
        <f t="shared" ref="G18:G28" si="5">((I$12*E18)+I$13)/C18/1000</f>
        <v>8.1083222505014593E-3</v>
      </c>
      <c r="H18" s="111">
        <v>0.4375</v>
      </c>
      <c r="I18" s="81">
        <f>jar_information!L4</f>
        <v>43707.416666666664</v>
      </c>
      <c r="J18" s="82">
        <f t="shared" si="1"/>
        <v>7.0208333333357587</v>
      </c>
      <c r="K18" s="82">
        <f t="shared" ref="K18:K28" si="6">J18*24</f>
        <v>168.50000000005821</v>
      </c>
      <c r="L18" s="83">
        <f>jar_information!G4</f>
        <v>1050.5774088776614</v>
      </c>
      <c r="M18" s="82">
        <f t="shared" ref="M18:M28" si="7">F18*L18</f>
        <v>8.3254267890415896</v>
      </c>
      <c r="N18" s="82">
        <f t="shared" ref="N18:N28" si="8">M18*1.83</f>
        <v>15.235531023946109</v>
      </c>
      <c r="O18" s="84">
        <f t="shared" si="2"/>
        <v>4.1551448247125746</v>
      </c>
      <c r="P18" s="85">
        <f t="shared" ref="P18:P28" si="9">O18*(400/(400+L18))</f>
        <v>1.1457905794706915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7924.6200410264828</v>
      </c>
      <c r="U18" s="10">
        <f t="shared" ref="U18:U28" si="12">M18/L18*100</f>
        <v>0.79246200410264833</v>
      </c>
      <c r="V18" s="103">
        <f t="shared" ref="V18:V28" si="13">O18/K18</f>
        <v>2.4659613203033469E-2</v>
      </c>
    </row>
    <row r="19" spans="1:23" x14ac:dyDescent="0.25">
      <c r="A19" s="33" t="s">
        <v>134</v>
      </c>
      <c r="B19" s="77">
        <f t="shared" si="3"/>
        <v>43714.4375</v>
      </c>
      <c r="C19" s="49">
        <v>1</v>
      </c>
      <c r="D19" s="90">
        <v>709.07</v>
      </c>
      <c r="E19" s="91">
        <v>203.8</v>
      </c>
      <c r="F19" s="80">
        <f t="shared" si="4"/>
        <v>5.876148330057754E-3</v>
      </c>
      <c r="G19" s="80">
        <f t="shared" si="5"/>
        <v>6.3882875957808503E-3</v>
      </c>
      <c r="H19" s="111">
        <v>0.4375</v>
      </c>
      <c r="I19" s="81">
        <f>jar_information!L5</f>
        <v>43707.416666666664</v>
      </c>
      <c r="J19" s="82">
        <f t="shared" si="1"/>
        <v>7.0208333333357587</v>
      </c>
      <c r="K19" s="82">
        <f t="shared" si="6"/>
        <v>168.50000000005821</v>
      </c>
      <c r="L19" s="83">
        <f>jar_information!G5</f>
        <v>1050.5774088776614</v>
      </c>
      <c r="M19" s="82">
        <f t="shared" si="7"/>
        <v>6.1733486867728722</v>
      </c>
      <c r="N19" s="82">
        <f t="shared" si="8"/>
        <v>11.297228096794356</v>
      </c>
      <c r="O19" s="84">
        <f t="shared" si="2"/>
        <v>3.0810622082166423</v>
      </c>
      <c r="P19" s="85">
        <f t="shared" si="9"/>
        <v>0.84960986965887386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5876.1483300577538</v>
      </c>
      <c r="U19" s="10">
        <f t="shared" si="12"/>
        <v>0.58761483300577544</v>
      </c>
      <c r="V19" s="103">
        <f t="shared" si="13"/>
        <v>1.8285235657065746E-2</v>
      </c>
    </row>
    <row r="20" spans="1:23" x14ac:dyDescent="0.25">
      <c r="A20" s="33" t="s">
        <v>135</v>
      </c>
      <c r="B20" s="77">
        <f t="shared" si="3"/>
        <v>43714.4375</v>
      </c>
      <c r="C20" s="49">
        <v>1</v>
      </c>
      <c r="D20" s="90">
        <v>657.87</v>
      </c>
      <c r="E20" s="91">
        <v>191.81</v>
      </c>
      <c r="F20" s="80">
        <f t="shared" si="4"/>
        <v>5.4349682030161552E-3</v>
      </c>
      <c r="G20" s="80">
        <f t="shared" si="5"/>
        <v>5.9820788995015497E-3</v>
      </c>
      <c r="H20" s="111">
        <v>0.4375</v>
      </c>
      <c r="I20" s="81">
        <f>jar_information!L6</f>
        <v>43707.416666666664</v>
      </c>
      <c r="J20" s="82">
        <f t="shared" si="1"/>
        <v>7.0208333333357587</v>
      </c>
      <c r="K20" s="82">
        <f t="shared" si="6"/>
        <v>168.50000000005821</v>
      </c>
      <c r="L20" s="83">
        <f>jar_information!G6</f>
        <v>1055.454159400779</v>
      </c>
      <c r="M20" s="82">
        <f t="shared" si="7"/>
        <v>5.7363597960843782</v>
      </c>
      <c r="N20" s="82">
        <f t="shared" si="8"/>
        <v>10.497538426834412</v>
      </c>
      <c r="O20" s="84">
        <f t="shared" si="2"/>
        <v>2.8629650255002939</v>
      </c>
      <c r="P20" s="85">
        <f t="shared" si="9"/>
        <v>0.78682382595381695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5434.9682030161548</v>
      </c>
      <c r="U20" s="10">
        <f t="shared" si="12"/>
        <v>0.5434968203016155</v>
      </c>
      <c r="V20" s="103">
        <f t="shared" si="13"/>
        <v>1.6990890359046319E-2</v>
      </c>
    </row>
    <row r="21" spans="1:23" x14ac:dyDescent="0.25">
      <c r="A21" s="33" t="s">
        <v>136</v>
      </c>
      <c r="B21" s="77">
        <f t="shared" si="3"/>
        <v>43714.4375</v>
      </c>
      <c r="C21" s="49">
        <v>3</v>
      </c>
      <c r="D21" s="90">
        <v>904.9</v>
      </c>
      <c r="E21" s="91">
        <v>230.55</v>
      </c>
      <c r="F21" s="80">
        <f t="shared" si="4"/>
        <v>2.5211920493327668E-3</v>
      </c>
      <c r="G21" s="80">
        <f t="shared" si="5"/>
        <v>2.4315165665522299E-3</v>
      </c>
      <c r="H21" s="111">
        <v>0.4375</v>
      </c>
      <c r="I21" s="81">
        <f>jar_information!L7</f>
        <v>43707.416666666664</v>
      </c>
      <c r="J21" s="82">
        <f t="shared" si="1"/>
        <v>7.0208333333357587</v>
      </c>
      <c r="K21" s="82">
        <f t="shared" si="6"/>
        <v>168.50000000005821</v>
      </c>
      <c r="L21" s="83">
        <f>jar_information!G7</f>
        <v>1065.2508812788285</v>
      </c>
      <c r="M21" s="82">
        <f t="shared" si="7"/>
        <v>2.6857020524249053</v>
      </c>
      <c r="N21" s="82">
        <f t="shared" si="8"/>
        <v>4.9148347559375773</v>
      </c>
      <c r="O21" s="84">
        <f t="shared" si="2"/>
        <v>1.3404094788920664</v>
      </c>
      <c r="P21" s="85">
        <f t="shared" si="9"/>
        <v>0.36591944656527242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2521.1920493327671</v>
      </c>
      <c r="U21" s="10">
        <f t="shared" si="12"/>
        <v>0.25211920493327666</v>
      </c>
      <c r="V21" s="103">
        <f t="shared" si="13"/>
        <v>7.954952396982809E-3</v>
      </c>
    </row>
    <row r="22" spans="1:23" x14ac:dyDescent="0.25">
      <c r="A22" s="33" t="s">
        <v>145</v>
      </c>
      <c r="B22" s="77">
        <f t="shared" si="3"/>
        <v>43714.4375</v>
      </c>
      <c r="C22" s="49">
        <v>3</v>
      </c>
      <c r="D22" s="90">
        <v>1062.9000000000001</v>
      </c>
      <c r="E22" s="91">
        <v>294.64999999999998</v>
      </c>
      <c r="F22" s="80">
        <f t="shared" si="4"/>
        <v>2.9750101487635771E-3</v>
      </c>
      <c r="G22" s="80">
        <f t="shared" si="5"/>
        <v>3.1553969510810923E-3</v>
      </c>
      <c r="H22" s="111">
        <v>0.4375</v>
      </c>
      <c r="I22" s="81">
        <f>jar_information!L8</f>
        <v>43707.416666666664</v>
      </c>
      <c r="J22" s="82">
        <f t="shared" si="1"/>
        <v>7.0208333333357587</v>
      </c>
      <c r="K22" s="82">
        <f t="shared" si="6"/>
        <v>168.50000000005821</v>
      </c>
      <c r="L22" s="83">
        <f>jar_information!G8</f>
        <v>1050.5774088776614</v>
      </c>
      <c r="M22" s="82">
        <f t="shared" si="7"/>
        <v>3.1254784534727849</v>
      </c>
      <c r="N22" s="82">
        <f t="shared" si="8"/>
        <v>5.7196255698551965</v>
      </c>
      <c r="O22" s="84">
        <f t="shared" si="2"/>
        <v>1.5598978826877807</v>
      </c>
      <c r="P22" s="85">
        <f t="shared" si="9"/>
        <v>0.4301453678076243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2975.010148763577</v>
      </c>
      <c r="U22" s="10">
        <f t="shared" si="12"/>
        <v>0.29750101487635772</v>
      </c>
      <c r="V22" s="103">
        <f t="shared" si="13"/>
        <v>9.2575541999242849E-3</v>
      </c>
      <c r="W22" t="s">
        <v>153</v>
      </c>
    </row>
    <row r="23" spans="1:23" x14ac:dyDescent="0.25">
      <c r="A23" s="33" t="s">
        <v>137</v>
      </c>
      <c r="B23" s="77">
        <f t="shared" si="3"/>
        <v>43714.4375</v>
      </c>
      <c r="C23" s="49">
        <v>1</v>
      </c>
      <c r="D23" s="90">
        <v>1291.0999999999999</v>
      </c>
      <c r="E23" s="91">
        <v>323.18</v>
      </c>
      <c r="F23" s="80">
        <f t="shared" si="4"/>
        <v>1.0891384059394101E-2</v>
      </c>
      <c r="G23" s="80">
        <f t="shared" si="5"/>
        <v>1.0432757500853658E-2</v>
      </c>
      <c r="H23" s="111">
        <v>0.4375</v>
      </c>
      <c r="I23" s="81">
        <f>jar_information!L9</f>
        <v>43707.416666666664</v>
      </c>
      <c r="J23" s="82">
        <f t="shared" si="1"/>
        <v>7.0208333333357587</v>
      </c>
      <c r="K23" s="82">
        <f t="shared" si="6"/>
        <v>168.50000000005821</v>
      </c>
      <c r="L23" s="83">
        <f>jar_information!G9</f>
        <v>1050.5774088776614</v>
      </c>
      <c r="M23" s="82">
        <f t="shared" si="7"/>
        <v>11.442242044209721</v>
      </c>
      <c r="N23" s="82">
        <f t="shared" si="8"/>
        <v>20.93930294090379</v>
      </c>
      <c r="O23" s="84">
        <f t="shared" si="2"/>
        <v>5.7107189838828516</v>
      </c>
      <c r="P23" s="85">
        <f t="shared" si="9"/>
        <v>1.574743670743181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10891.3840593941</v>
      </c>
      <c r="U23" s="10">
        <f t="shared" si="12"/>
        <v>1.08913840593941</v>
      </c>
      <c r="V23" s="103">
        <f t="shared" si="13"/>
        <v>3.3891507322735187E-2</v>
      </c>
      <c r="W23" t="s">
        <v>155</v>
      </c>
    </row>
    <row r="24" spans="1:23" x14ac:dyDescent="0.25">
      <c r="A24" s="33" t="s">
        <v>140</v>
      </c>
      <c r="B24" s="77">
        <f t="shared" si="3"/>
        <v>43714.4375</v>
      </c>
      <c r="C24" s="49">
        <v>1</v>
      </c>
      <c r="D24" s="90">
        <v>1283.0999999999999</v>
      </c>
      <c r="E24" s="91">
        <v>327.77</v>
      </c>
      <c r="F24" s="80">
        <f t="shared" si="4"/>
        <v>1.0822449664543852E-2</v>
      </c>
      <c r="G24" s="80">
        <f t="shared" si="5"/>
        <v>1.0588261914191606E-2</v>
      </c>
      <c r="H24" s="111">
        <v>0.4375</v>
      </c>
      <c r="I24" s="81">
        <f>jar_information!L10</f>
        <v>43707.416666666664</v>
      </c>
      <c r="J24" s="82">
        <f t="shared" si="1"/>
        <v>7.0208333333357587</v>
      </c>
      <c r="K24" s="82">
        <f t="shared" si="6"/>
        <v>168.50000000005821</v>
      </c>
      <c r="L24" s="83">
        <f>jar_information!G10</f>
        <v>1055.454159400779</v>
      </c>
      <c r="M24" s="82">
        <f t="shared" si="7"/>
        <v>11.422599513348374</v>
      </c>
      <c r="N24" s="82">
        <f t="shared" si="8"/>
        <v>20.903357109427525</v>
      </c>
      <c r="O24" s="84">
        <f t="shared" si="2"/>
        <v>5.7009155752984153</v>
      </c>
      <c r="P24" s="85">
        <f t="shared" si="9"/>
        <v>1.56677296594364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10822.449664543852</v>
      </c>
      <c r="U24" s="10">
        <f t="shared" si="12"/>
        <v>1.0822449664543852</v>
      </c>
      <c r="V24" s="103">
        <f t="shared" si="13"/>
        <v>3.3833326856358731E-2</v>
      </c>
      <c r="W24" t="s">
        <v>155</v>
      </c>
    </row>
    <row r="25" spans="1:23" x14ac:dyDescent="0.25">
      <c r="A25" s="33" t="s">
        <v>138</v>
      </c>
      <c r="B25" s="77">
        <f t="shared" si="3"/>
        <v>43714.4375</v>
      </c>
      <c r="C25" s="49">
        <v>1</v>
      </c>
      <c r="D25" s="90">
        <v>1157.0999999999999</v>
      </c>
      <c r="E25" s="91">
        <v>279.5</v>
      </c>
      <c r="F25" s="80">
        <f t="shared" si="4"/>
        <v>9.7367329456524206E-3</v>
      </c>
      <c r="G25" s="80">
        <f t="shared" si="5"/>
        <v>8.9529246523565899E-3</v>
      </c>
      <c r="H25" s="111">
        <v>0.4375</v>
      </c>
      <c r="I25" s="81">
        <f>jar_information!L11</f>
        <v>43707.416666666664</v>
      </c>
      <c r="J25" s="82">
        <f t="shared" si="1"/>
        <v>7.0208333333357587</v>
      </c>
      <c r="K25" s="82">
        <f t="shared" si="6"/>
        <v>168.50000000005821</v>
      </c>
      <c r="L25" s="83">
        <f>jar_information!G11</f>
        <v>1021.6154823015972</v>
      </c>
      <c r="M25" s="82">
        <f t="shared" si="7"/>
        <v>9.9471971243145489</v>
      </c>
      <c r="N25" s="82">
        <f t="shared" si="8"/>
        <v>18.203370737495625</v>
      </c>
      <c r="O25" s="84">
        <f t="shared" si="2"/>
        <v>4.9645556556806243</v>
      </c>
      <c r="P25" s="85">
        <f t="shared" si="9"/>
        <v>1.3968772055416849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9736.7329456524203</v>
      </c>
      <c r="U25" s="10">
        <f t="shared" si="12"/>
        <v>0.9736732945652421</v>
      </c>
      <c r="V25" s="103">
        <f t="shared" si="13"/>
        <v>2.9463238312634477E-2</v>
      </c>
      <c r="W25" t="s">
        <v>155</v>
      </c>
    </row>
    <row r="26" spans="1:23" x14ac:dyDescent="0.25">
      <c r="A26" s="33" t="s">
        <v>141</v>
      </c>
      <c r="B26" s="77">
        <f t="shared" si="3"/>
        <v>43714.4375</v>
      </c>
      <c r="C26" s="49">
        <v>1</v>
      </c>
      <c r="D26" s="90">
        <v>1252.4000000000001</v>
      </c>
      <c r="E26" s="91">
        <v>341.85</v>
      </c>
      <c r="F26" s="80">
        <f t="shared" si="4"/>
        <v>1.0557913924306019E-2</v>
      </c>
      <c r="G26" s="80">
        <f t="shared" si="5"/>
        <v>1.1065277630923262E-2</v>
      </c>
      <c r="H26" s="111">
        <v>0.4375</v>
      </c>
      <c r="I26" s="81">
        <f>jar_information!L12</f>
        <v>43707.416666666664</v>
      </c>
      <c r="J26" s="82">
        <f t="shared" si="1"/>
        <v>7.0208333333357587</v>
      </c>
      <c r="K26" s="82">
        <f t="shared" si="6"/>
        <v>168.50000000005821</v>
      </c>
      <c r="L26" s="83">
        <f>jar_information!G12</f>
        <v>1045.7149806761979</v>
      </c>
      <c r="M26" s="82">
        <f t="shared" si="7"/>
        <v>11.040568755336629</v>
      </c>
      <c r="N26" s="82">
        <f t="shared" si="8"/>
        <v>20.204240822266033</v>
      </c>
      <c r="O26" s="84">
        <f t="shared" si="2"/>
        <v>5.5102474969816448</v>
      </c>
      <c r="P26" s="85">
        <f t="shared" si="9"/>
        <v>1.5245736734095019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10557.91392430602</v>
      </c>
      <c r="U26" s="10">
        <f t="shared" si="12"/>
        <v>1.0557913924306019</v>
      </c>
      <c r="V26" s="103">
        <f t="shared" si="13"/>
        <v>3.2701765560710631E-2</v>
      </c>
      <c r="W26" t="s">
        <v>155</v>
      </c>
    </row>
    <row r="27" spans="1:23" x14ac:dyDescent="0.25">
      <c r="A27" s="33" t="s">
        <v>139</v>
      </c>
      <c r="B27" s="77">
        <f t="shared" si="3"/>
        <v>43714.4375</v>
      </c>
      <c r="C27" s="49">
        <v>1</v>
      </c>
      <c r="D27" s="90">
        <v>1301.4000000000001</v>
      </c>
      <c r="E27" s="91">
        <v>326.82</v>
      </c>
      <c r="F27" s="80">
        <f t="shared" si="4"/>
        <v>1.0980137092763799E-2</v>
      </c>
      <c r="G27" s="80">
        <f t="shared" si="5"/>
        <v>1.0556076904895078E-2</v>
      </c>
      <c r="H27" s="111">
        <v>0.4375</v>
      </c>
      <c r="I27" s="81">
        <f>jar_information!L13</f>
        <v>43707.416666666664</v>
      </c>
      <c r="J27" s="82">
        <f t="shared" si="1"/>
        <v>7.0208333333357587</v>
      </c>
      <c r="K27" s="82">
        <f t="shared" si="6"/>
        <v>168.50000000005821</v>
      </c>
      <c r="L27" s="83">
        <f>jar_information!G13</f>
        <v>1040.8668117949733</v>
      </c>
      <c r="M27" s="82">
        <f t="shared" si="7"/>
        <v>11.428860288816782</v>
      </c>
      <c r="N27" s="82">
        <f t="shared" si="8"/>
        <v>20.914814328534714</v>
      </c>
      <c r="O27" s="84">
        <f t="shared" si="2"/>
        <v>5.7040402714185579</v>
      </c>
      <c r="P27" s="85">
        <f t="shared" si="9"/>
        <v>1.5835024374841966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10980.1370927638</v>
      </c>
      <c r="U27" s="10">
        <f t="shared" si="12"/>
        <v>1.09801370927638</v>
      </c>
      <c r="V27" s="103">
        <f t="shared" si="13"/>
        <v>3.3851871046982715E-2</v>
      </c>
      <c r="W27" t="s">
        <v>155</v>
      </c>
    </row>
    <row r="28" spans="1:23" x14ac:dyDescent="0.25">
      <c r="A28" s="33" t="s">
        <v>142</v>
      </c>
      <c r="B28" s="77">
        <f t="shared" si="3"/>
        <v>43714.4375</v>
      </c>
      <c r="C28" s="49">
        <v>1</v>
      </c>
      <c r="D28" s="90">
        <v>1231.8</v>
      </c>
      <c r="E28" s="91">
        <v>322.95999999999998</v>
      </c>
      <c r="F28" s="80">
        <f t="shared" si="4"/>
        <v>1.0380407857566625E-2</v>
      </c>
      <c r="G28" s="80">
        <f t="shared" si="5"/>
        <v>1.0425304130279724E-2</v>
      </c>
      <c r="H28" s="111">
        <v>0.4375</v>
      </c>
      <c r="I28" s="81">
        <f>jar_information!L14</f>
        <v>43707.416666666664</v>
      </c>
      <c r="J28" s="82">
        <f t="shared" si="1"/>
        <v>7.0208333333357587</v>
      </c>
      <c r="K28" s="82">
        <f t="shared" si="6"/>
        <v>168.50000000005821</v>
      </c>
      <c r="L28" s="83">
        <f>jar_information!G14</f>
        <v>1050.5774088776614</v>
      </c>
      <c r="M28" s="82">
        <f t="shared" si="7"/>
        <v>10.905421990095661</v>
      </c>
      <c r="N28" s="82">
        <f t="shared" si="8"/>
        <v>19.956922241875059</v>
      </c>
      <c r="O28" s="84">
        <f t="shared" si="2"/>
        <v>5.4427969750568339</v>
      </c>
      <c r="P28" s="85">
        <f t="shared" si="9"/>
        <v>1.5008635710845728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10380.407857566624</v>
      </c>
      <c r="U28" s="10">
        <f t="shared" si="12"/>
        <v>1.0380407857566625</v>
      </c>
      <c r="V28" s="103">
        <f t="shared" si="13"/>
        <v>3.2301465727329101E-2</v>
      </c>
      <c r="W28" t="s">
        <v>156</v>
      </c>
    </row>
  </sheetData>
  <conditionalFormatting sqref="O17:O28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B1" workbookViewId="0">
      <selection activeCell="W17" sqref="W17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43717</v>
      </c>
      <c r="C3" s="58">
        <v>2992</v>
      </c>
      <c r="D3" s="47">
        <v>1690</v>
      </c>
      <c r="E3" s="59">
        <v>421.73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43717</v>
      </c>
      <c r="C4" s="58">
        <v>2992</v>
      </c>
      <c r="D4" s="59">
        <v>1515.9</v>
      </c>
      <c r="E4" s="59">
        <v>379.23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43717</v>
      </c>
      <c r="C5" s="58">
        <v>2992</v>
      </c>
      <c r="D5" s="47">
        <v>1387.6</v>
      </c>
      <c r="E5" s="59">
        <v>354.56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43717</v>
      </c>
      <c r="C6" s="58">
        <v>2992</v>
      </c>
      <c r="D6" s="59">
        <v>1219.5</v>
      </c>
      <c r="E6" s="59">
        <v>311.77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43717</v>
      </c>
      <c r="C7" s="58">
        <v>2992</v>
      </c>
      <c r="D7" s="47">
        <v>1078.9000000000001</v>
      </c>
      <c r="E7" s="59">
        <v>287.52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43717</v>
      </c>
      <c r="C8" s="58">
        <v>2992</v>
      </c>
      <c r="D8" s="59">
        <v>874.4</v>
      </c>
      <c r="E8" s="59">
        <v>236.9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43717</v>
      </c>
      <c r="C9" s="58">
        <v>2992</v>
      </c>
      <c r="D9" s="47">
        <v>751.39</v>
      </c>
      <c r="E9" s="59">
        <v>205.75</v>
      </c>
      <c r="F9" s="60">
        <f t="shared" si="0"/>
        <v>5.984</v>
      </c>
      <c r="G9" s="63" t="s">
        <v>75</v>
      </c>
      <c r="H9" s="63"/>
      <c r="I9" s="64">
        <f>SLOPE(F3:F14,D3:D14)</f>
        <v>8.7197427141754991E-3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43717</v>
      </c>
      <c r="C10" s="58">
        <v>2992</v>
      </c>
      <c r="D10" s="47">
        <v>527.21</v>
      </c>
      <c r="E10" s="59">
        <v>145.07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-0.21553434478685674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43717</v>
      </c>
      <c r="C11" s="58">
        <v>2992</v>
      </c>
      <c r="D11" s="47">
        <v>383.57</v>
      </c>
      <c r="E11" s="59">
        <v>108.01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43717</v>
      </c>
      <c r="C12" s="58">
        <v>2992</v>
      </c>
      <c r="D12" s="65">
        <v>144.72999999999999</v>
      </c>
      <c r="E12" s="65">
        <v>43.055</v>
      </c>
      <c r="F12" s="60">
        <f t="shared" si="0"/>
        <v>1.1968000000000001</v>
      </c>
      <c r="G12" s="66" t="s">
        <v>77</v>
      </c>
      <c r="H12" s="66"/>
      <c r="I12" s="67">
        <f>SLOPE(F3:F14,E3:E14)</f>
        <v>3.5081954899204834E-2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43717</v>
      </c>
      <c r="C13" s="58">
        <v>2992</v>
      </c>
      <c r="D13" s="65">
        <v>60.816000000000003</v>
      </c>
      <c r="E13" s="65">
        <v>21.329000000000001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-0.5795681997042248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43717</v>
      </c>
      <c r="C14" s="58">
        <v>2992</v>
      </c>
      <c r="D14" s="65">
        <v>30.032</v>
      </c>
      <c r="E14" s="65">
        <v>11.629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43717.4375</v>
      </c>
      <c r="C17" s="49">
        <v>1</v>
      </c>
      <c r="D17" s="78">
        <v>1139.9000000000001</v>
      </c>
      <c r="E17" s="79">
        <v>292.3</v>
      </c>
      <c r="F17" s="80">
        <f>((I$9*D17)+I$10)/C17/1000</f>
        <v>9.7241003751017945E-3</v>
      </c>
      <c r="G17" s="80">
        <f>((I$12*E17)+I$13)/C17/1000</f>
        <v>9.6748872173333476E-3</v>
      </c>
      <c r="H17" s="111">
        <v>0.4375</v>
      </c>
      <c r="I17" s="81">
        <f>jar_information!L3</f>
        <v>43707.416666666664</v>
      </c>
      <c r="J17" s="82">
        <f t="shared" ref="J17:J28" si="1">B17-I17</f>
        <v>10.020833333335759</v>
      </c>
      <c r="K17" s="82">
        <f>J17*24</f>
        <v>240.50000000005821</v>
      </c>
      <c r="L17" s="83">
        <f>jar_information!G3</f>
        <v>1050.5774088776614</v>
      </c>
      <c r="M17" s="82">
        <f>F17*L17</f>
        <v>10.215920175740738</v>
      </c>
      <c r="N17" s="82">
        <f>M17*1.83</f>
        <v>18.695133921605553</v>
      </c>
      <c r="O17" s="84">
        <f t="shared" ref="O17:O28" si="2">N17*(12/(12+(16*2)))</f>
        <v>5.0986728877106051</v>
      </c>
      <c r="P17" s="85">
        <f>O17*(400/(400+L17))</f>
        <v>1.4059705759944359</v>
      </c>
      <c r="Q17" s="86"/>
      <c r="R17" s="86">
        <f>Q17/314.7</f>
        <v>0</v>
      </c>
      <c r="S17" s="86">
        <f>R17/P17*100</f>
        <v>0</v>
      </c>
      <c r="T17" s="87">
        <f>F17*1000000</f>
        <v>9724.1003751017943</v>
      </c>
      <c r="U17" s="10">
        <f>M17/L17*100</f>
        <v>0.9724100375101794</v>
      </c>
      <c r="V17" s="103">
        <f>O17/K17</f>
        <v>2.1200303067398632E-2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43717.4375</v>
      </c>
      <c r="C18" s="49">
        <v>1</v>
      </c>
      <c r="D18" s="88">
        <v>1229.4000000000001</v>
      </c>
      <c r="E18" s="89">
        <v>338.63</v>
      </c>
      <c r="F18" s="80">
        <f t="shared" ref="F18:F28" si="4">((I$9*D18)+I$10)/C18/1000</f>
        <v>1.0504517348020503E-2</v>
      </c>
      <c r="G18" s="80">
        <f t="shared" ref="G18:G28" si="5">((I$12*E18)+I$13)/C18/1000</f>
        <v>1.1300234187813509E-2</v>
      </c>
      <c r="H18" s="111">
        <v>0.4375</v>
      </c>
      <c r="I18" s="81">
        <f>jar_information!L4</f>
        <v>43707.416666666664</v>
      </c>
      <c r="J18" s="82">
        <f t="shared" si="1"/>
        <v>10.020833333335759</v>
      </c>
      <c r="K18" s="82">
        <f t="shared" ref="K18:K28" si="6">J18*24</f>
        <v>240.50000000005821</v>
      </c>
      <c r="L18" s="83">
        <f>jar_information!G4</f>
        <v>1050.5774088776614</v>
      </c>
      <c r="M18" s="82">
        <f t="shared" ref="M18:M28" si="7">F18*L18</f>
        <v>11.035808616993823</v>
      </c>
      <c r="N18" s="82">
        <f t="shared" ref="N18:N28" si="8">M18*1.83</f>
        <v>20.195529769098695</v>
      </c>
      <c r="O18" s="84">
        <f t="shared" si="2"/>
        <v>5.5078717552087344</v>
      </c>
      <c r="P18" s="85">
        <f t="shared" ref="P18:P28" si="9">O18*(400/(400+L18))</f>
        <v>1.5188080888341633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10504.517348020503</v>
      </c>
      <c r="U18" s="10">
        <f t="shared" ref="U18:U28" si="12">M18/L18*100</f>
        <v>1.0504517348020503</v>
      </c>
      <c r="V18" s="103">
        <f t="shared" ref="V18:V28" si="13">O18/K18</f>
        <v>2.2901753659906033E-2</v>
      </c>
      <c r="W18" t="s">
        <v>154</v>
      </c>
    </row>
    <row r="19" spans="1:23" x14ac:dyDescent="0.25">
      <c r="A19" s="33" t="s">
        <v>134</v>
      </c>
      <c r="B19" s="77">
        <f t="shared" si="3"/>
        <v>43717.4375</v>
      </c>
      <c r="C19" s="49">
        <v>1</v>
      </c>
      <c r="D19" s="90">
        <v>929.9</v>
      </c>
      <c r="E19" s="91">
        <v>252.78</v>
      </c>
      <c r="F19" s="80">
        <f t="shared" si="4"/>
        <v>7.8929544051249394E-3</v>
      </c>
      <c r="G19" s="80">
        <f t="shared" si="5"/>
        <v>8.2884483597167723E-3</v>
      </c>
      <c r="H19" s="111">
        <v>0.4375</v>
      </c>
      <c r="I19" s="81">
        <f>jar_information!L5</f>
        <v>43707.416666666664</v>
      </c>
      <c r="J19" s="82">
        <f t="shared" si="1"/>
        <v>10.020833333335759</v>
      </c>
      <c r="K19" s="82">
        <f t="shared" si="6"/>
        <v>240.50000000005821</v>
      </c>
      <c r="L19" s="83">
        <f>jar_information!G5</f>
        <v>1050.5774088776614</v>
      </c>
      <c r="M19" s="82">
        <f t="shared" si="7"/>
        <v>8.2921595873256813</v>
      </c>
      <c r="N19" s="82">
        <f t="shared" si="8"/>
        <v>15.174652044805997</v>
      </c>
      <c r="O19" s="84">
        <f t="shared" si="2"/>
        <v>4.1385414667652718</v>
      </c>
      <c r="P19" s="85">
        <f t="shared" si="9"/>
        <v>1.1412121659794323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7892.9544051249395</v>
      </c>
      <c r="U19" s="10">
        <f t="shared" si="12"/>
        <v>0.7892954405124939</v>
      </c>
      <c r="V19" s="103">
        <f t="shared" si="13"/>
        <v>1.7208072626878464E-2</v>
      </c>
    </row>
    <row r="20" spans="1:23" x14ac:dyDescent="0.25">
      <c r="A20" s="33" t="s">
        <v>135</v>
      </c>
      <c r="B20" s="77">
        <f t="shared" si="3"/>
        <v>43717.4375</v>
      </c>
      <c r="C20" s="49">
        <v>1</v>
      </c>
      <c r="D20" s="90">
        <v>882.07</v>
      </c>
      <c r="E20" s="91">
        <v>243.09</v>
      </c>
      <c r="F20" s="80">
        <f t="shared" si="4"/>
        <v>7.475889111105926E-3</v>
      </c>
      <c r="G20" s="80">
        <f t="shared" si="5"/>
        <v>7.9485042167434777E-3</v>
      </c>
      <c r="H20" s="111">
        <v>0.4375</v>
      </c>
      <c r="I20" s="81">
        <f>jar_information!L6</f>
        <v>43707.416666666664</v>
      </c>
      <c r="J20" s="82">
        <f t="shared" si="1"/>
        <v>10.020833333335759</v>
      </c>
      <c r="K20" s="82">
        <f t="shared" si="6"/>
        <v>240.50000000005821</v>
      </c>
      <c r="L20" s="83">
        <f>jar_information!G6</f>
        <v>1055.454159400779</v>
      </c>
      <c r="M20" s="82">
        <f t="shared" si="7"/>
        <v>7.8904582575357418</v>
      </c>
      <c r="N20" s="82">
        <f t="shared" si="8"/>
        <v>14.439538611290407</v>
      </c>
      <c r="O20" s="84">
        <f t="shared" si="2"/>
        <v>3.9380559848973835</v>
      </c>
      <c r="P20" s="85">
        <f t="shared" si="9"/>
        <v>1.082289252316599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7475.8891111059256</v>
      </c>
      <c r="U20" s="10">
        <f t="shared" si="12"/>
        <v>0.74758891111059256</v>
      </c>
      <c r="V20" s="103">
        <f t="shared" si="13"/>
        <v>1.6374453159652518E-2</v>
      </c>
    </row>
    <row r="21" spans="1:23" x14ac:dyDescent="0.25">
      <c r="A21" s="33" t="s">
        <v>136</v>
      </c>
      <c r="B21" s="77">
        <f t="shared" si="3"/>
        <v>43717.4375</v>
      </c>
      <c r="C21" s="49">
        <v>1</v>
      </c>
      <c r="D21" s="90">
        <v>404.15</v>
      </c>
      <c r="E21" s="91">
        <v>109.9</v>
      </c>
      <c r="F21" s="80">
        <f t="shared" si="4"/>
        <v>3.3085496731471713E-3</v>
      </c>
      <c r="G21" s="80">
        <f t="shared" si="5"/>
        <v>3.2759386437183867E-3</v>
      </c>
      <c r="H21" s="111">
        <v>0.4375</v>
      </c>
      <c r="I21" s="81">
        <f>jar_information!L7</f>
        <v>43707.416666666664</v>
      </c>
      <c r="J21" s="82">
        <f t="shared" si="1"/>
        <v>10.020833333335759</v>
      </c>
      <c r="K21" s="82">
        <f t="shared" si="6"/>
        <v>240.50000000005821</v>
      </c>
      <c r="L21" s="83">
        <f>jar_information!G7</f>
        <v>1065.2508812788285</v>
      </c>
      <c r="M21" s="82">
        <f t="shared" si="7"/>
        <v>3.524435455074804</v>
      </c>
      <c r="N21" s="82">
        <f t="shared" si="8"/>
        <v>6.449716882786892</v>
      </c>
      <c r="O21" s="84">
        <f t="shared" si="2"/>
        <v>1.759013695305516</v>
      </c>
      <c r="P21" s="85">
        <f t="shared" si="9"/>
        <v>0.48019454355019392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3308.5496731471712</v>
      </c>
      <c r="U21" s="10">
        <f t="shared" si="12"/>
        <v>0.33085496731471714</v>
      </c>
      <c r="V21" s="103">
        <f t="shared" si="13"/>
        <v>7.313986259064824E-3</v>
      </c>
    </row>
    <row r="22" spans="1:23" x14ac:dyDescent="0.25">
      <c r="A22" s="33" t="s">
        <v>145</v>
      </c>
      <c r="B22" s="77">
        <f t="shared" si="3"/>
        <v>43717.4375</v>
      </c>
      <c r="C22" s="49">
        <v>1</v>
      </c>
      <c r="D22" s="90">
        <v>538.42999999999995</v>
      </c>
      <c r="E22" s="91">
        <v>146.79</v>
      </c>
      <c r="F22" s="80">
        <f t="shared" si="4"/>
        <v>4.4794367248066572E-3</v>
      </c>
      <c r="G22" s="80">
        <f t="shared" si="5"/>
        <v>4.5701119599500526E-3</v>
      </c>
      <c r="H22" s="111">
        <v>0.4375</v>
      </c>
      <c r="I22" s="81">
        <f>jar_information!L8</f>
        <v>43707.416666666664</v>
      </c>
      <c r="J22" s="82">
        <f t="shared" si="1"/>
        <v>10.020833333335759</v>
      </c>
      <c r="K22" s="82">
        <f t="shared" si="6"/>
        <v>240.50000000005821</v>
      </c>
      <c r="L22" s="83">
        <f>jar_information!G8</f>
        <v>1050.5774088776614</v>
      </c>
      <c r="M22" s="82">
        <f t="shared" si="7"/>
        <v>4.7059950275788154</v>
      </c>
      <c r="N22" s="82">
        <f t="shared" si="8"/>
        <v>8.6119709004692329</v>
      </c>
      <c r="O22" s="84">
        <f t="shared" si="2"/>
        <v>2.3487193364916088</v>
      </c>
      <c r="P22" s="85">
        <f t="shared" si="9"/>
        <v>0.6476646670814642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4479.4367248066574</v>
      </c>
      <c r="U22" s="10">
        <f t="shared" si="12"/>
        <v>0.44794367248066574</v>
      </c>
      <c r="V22" s="103">
        <f t="shared" si="13"/>
        <v>9.7659847671145127E-3</v>
      </c>
      <c r="W22" t="s">
        <v>153</v>
      </c>
    </row>
    <row r="23" spans="1:23" x14ac:dyDescent="0.25">
      <c r="A23" s="33" t="s">
        <v>137</v>
      </c>
      <c r="B23" s="77">
        <f t="shared" si="3"/>
        <v>43717.4375</v>
      </c>
      <c r="C23" s="49">
        <v>1</v>
      </c>
      <c r="D23" s="90">
        <v>458.09</v>
      </c>
      <c r="E23" s="91">
        <v>141.24</v>
      </c>
      <c r="F23" s="80">
        <f t="shared" si="4"/>
        <v>3.7788925951497973E-3</v>
      </c>
      <c r="G23" s="80">
        <f t="shared" si="5"/>
        <v>4.3754071102594669E-3</v>
      </c>
      <c r="H23" s="111">
        <v>0.4375</v>
      </c>
      <c r="I23" s="81">
        <f>jar_information!L9</f>
        <v>43707.416666666664</v>
      </c>
      <c r="J23" s="82">
        <f t="shared" si="1"/>
        <v>10.020833333335759</v>
      </c>
      <c r="K23" s="82">
        <f t="shared" si="6"/>
        <v>240.50000000005821</v>
      </c>
      <c r="L23" s="83">
        <f>jar_information!G9</f>
        <v>1050.5774088776614</v>
      </c>
      <c r="M23" s="82">
        <f t="shared" si="7"/>
        <v>3.9700191910394556</v>
      </c>
      <c r="N23" s="82">
        <f t="shared" si="8"/>
        <v>7.2651351196022036</v>
      </c>
      <c r="O23" s="84">
        <f t="shared" si="2"/>
        <v>1.9814004871642372</v>
      </c>
      <c r="P23" s="85">
        <f t="shared" si="9"/>
        <v>0.54637566393572423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3778.8925951497972</v>
      </c>
      <c r="U23" s="10">
        <f t="shared" si="12"/>
        <v>0.37788925951497976</v>
      </c>
      <c r="V23" s="103">
        <f t="shared" si="13"/>
        <v>8.2386714642983683E-3</v>
      </c>
      <c r="W23" t="s">
        <v>155</v>
      </c>
    </row>
    <row r="24" spans="1:23" x14ac:dyDescent="0.25">
      <c r="A24" s="33" t="s">
        <v>140</v>
      </c>
      <c r="B24" s="77">
        <f t="shared" si="3"/>
        <v>43717.4375</v>
      </c>
      <c r="C24" s="49">
        <v>1</v>
      </c>
      <c r="D24" s="90">
        <v>506.58</v>
      </c>
      <c r="E24" s="91">
        <v>138.53</v>
      </c>
      <c r="F24" s="80">
        <f t="shared" si="4"/>
        <v>4.2017129193601668E-3</v>
      </c>
      <c r="G24" s="80">
        <f t="shared" si="5"/>
        <v>4.2803350124826214E-3</v>
      </c>
      <c r="H24" s="111">
        <v>0.4375</v>
      </c>
      <c r="I24" s="81">
        <f>jar_information!L10</f>
        <v>43707.416666666664</v>
      </c>
      <c r="J24" s="82">
        <f t="shared" si="1"/>
        <v>10.020833333335759</v>
      </c>
      <c r="K24" s="82">
        <f t="shared" si="6"/>
        <v>240.50000000005821</v>
      </c>
      <c r="L24" s="83">
        <f>jar_information!G10</f>
        <v>1055.454159400779</v>
      </c>
      <c r="M24" s="82">
        <f t="shared" si="7"/>
        <v>4.4347153773466781</v>
      </c>
      <c r="N24" s="82">
        <f t="shared" si="8"/>
        <v>8.115529140544421</v>
      </c>
      <c r="O24" s="84">
        <f t="shared" si="2"/>
        <v>2.2133261292393875</v>
      </c>
      <c r="P24" s="85">
        <f t="shared" si="9"/>
        <v>0.60828466906869261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4201.7129193601668</v>
      </c>
      <c r="U24" s="10">
        <f t="shared" si="12"/>
        <v>0.42017129193601666</v>
      </c>
      <c r="V24" s="103">
        <f t="shared" si="13"/>
        <v>9.2030192483943951E-3</v>
      </c>
      <c r="W24" t="s">
        <v>155</v>
      </c>
    </row>
    <row r="25" spans="1:23" x14ac:dyDescent="0.25">
      <c r="A25" s="33" t="s">
        <v>138</v>
      </c>
      <c r="B25" s="77">
        <f t="shared" si="3"/>
        <v>43717.4375</v>
      </c>
      <c r="C25" s="49">
        <v>1</v>
      </c>
      <c r="D25" s="90">
        <v>467.6</v>
      </c>
      <c r="E25" s="91">
        <v>131.71</v>
      </c>
      <c r="F25" s="80">
        <f t="shared" si="4"/>
        <v>3.8618173483616065E-3</v>
      </c>
      <c r="G25" s="80">
        <f t="shared" si="5"/>
        <v>4.0410760800700446E-3</v>
      </c>
      <c r="H25" s="111">
        <v>0.4375</v>
      </c>
      <c r="I25" s="81">
        <f>jar_information!L11</f>
        <v>43707.416666666664</v>
      </c>
      <c r="J25" s="82">
        <f t="shared" si="1"/>
        <v>10.020833333335759</v>
      </c>
      <c r="K25" s="82">
        <f t="shared" si="6"/>
        <v>240.50000000005821</v>
      </c>
      <c r="L25" s="83">
        <f>jar_information!G11</f>
        <v>1021.6154823015972</v>
      </c>
      <c r="M25" s="82">
        <f t="shared" si="7"/>
        <v>3.9452923929071182</v>
      </c>
      <c r="N25" s="82">
        <f t="shared" si="8"/>
        <v>7.2198850790200266</v>
      </c>
      <c r="O25" s="84">
        <f t="shared" si="2"/>
        <v>1.9690595670054616</v>
      </c>
      <c r="P25" s="85">
        <f t="shared" si="9"/>
        <v>0.55403436203931933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3861.8173483616065</v>
      </c>
      <c r="U25" s="10">
        <f t="shared" si="12"/>
        <v>0.38618173483616064</v>
      </c>
      <c r="V25" s="103">
        <f t="shared" si="13"/>
        <v>8.1873578669645949E-3</v>
      </c>
      <c r="W25" t="s">
        <v>155</v>
      </c>
    </row>
    <row r="26" spans="1:23" x14ac:dyDescent="0.25">
      <c r="A26" s="33" t="s">
        <v>141</v>
      </c>
      <c r="B26" s="77">
        <f t="shared" si="3"/>
        <v>43717.4375</v>
      </c>
      <c r="C26" s="49">
        <v>1</v>
      </c>
      <c r="D26" s="90">
        <v>485.88</v>
      </c>
      <c r="E26" s="91">
        <v>136.72</v>
      </c>
      <c r="F26" s="80">
        <f t="shared" si="4"/>
        <v>4.0212142451767343E-3</v>
      </c>
      <c r="G26" s="80">
        <f t="shared" si="5"/>
        <v>4.2168366741150605E-3</v>
      </c>
      <c r="H26" s="111">
        <v>0.4375</v>
      </c>
      <c r="I26" s="81">
        <f>jar_information!L12</f>
        <v>43707.416666666664</v>
      </c>
      <c r="J26" s="82">
        <f t="shared" si="1"/>
        <v>10.020833333335759</v>
      </c>
      <c r="K26" s="82">
        <f t="shared" si="6"/>
        <v>240.50000000005821</v>
      </c>
      <c r="L26" s="83">
        <f>jar_information!G12</f>
        <v>1045.7149806761979</v>
      </c>
      <c r="M26" s="82">
        <f t="shared" si="7"/>
        <v>4.2050439766898409</v>
      </c>
      <c r="N26" s="82">
        <f t="shared" si="8"/>
        <v>7.6952304773424087</v>
      </c>
      <c r="O26" s="84">
        <f t="shared" si="2"/>
        <v>2.0986992210933839</v>
      </c>
      <c r="P26" s="85">
        <f t="shared" si="9"/>
        <v>0.5806674895522681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4021.2142451767345</v>
      </c>
      <c r="U26" s="10">
        <f t="shared" si="12"/>
        <v>0.40212142451767341</v>
      </c>
      <c r="V26" s="103">
        <f t="shared" si="13"/>
        <v>8.7264000877042662E-3</v>
      </c>
      <c r="W26" t="s">
        <v>155</v>
      </c>
    </row>
    <row r="27" spans="1:23" x14ac:dyDescent="0.25">
      <c r="A27" s="33" t="s">
        <v>139</v>
      </c>
      <c r="B27" s="77">
        <f t="shared" si="3"/>
        <v>43717.4375</v>
      </c>
      <c r="C27" s="49">
        <v>1</v>
      </c>
      <c r="D27" s="90">
        <v>494.44</v>
      </c>
      <c r="E27" s="91">
        <v>137.46</v>
      </c>
      <c r="F27" s="80">
        <f t="shared" si="4"/>
        <v>4.0958552428100774E-3</v>
      </c>
      <c r="G27" s="80">
        <f t="shared" si="5"/>
        <v>4.2427973207404719E-3</v>
      </c>
      <c r="H27" s="111">
        <v>0.4375</v>
      </c>
      <c r="I27" s="81">
        <f>jar_information!L13</f>
        <v>43707.416666666664</v>
      </c>
      <c r="J27" s="82">
        <f t="shared" si="1"/>
        <v>10.020833333335759</v>
      </c>
      <c r="K27" s="82">
        <f t="shared" si="6"/>
        <v>240.50000000005821</v>
      </c>
      <c r="L27" s="83">
        <f>jar_information!G13</f>
        <v>1040.8668117949733</v>
      </c>
      <c r="M27" s="82">
        <f t="shared" si="7"/>
        <v>4.2632397881574517</v>
      </c>
      <c r="N27" s="82">
        <f t="shared" si="8"/>
        <v>7.801728812328137</v>
      </c>
      <c r="O27" s="84">
        <f t="shared" si="2"/>
        <v>2.1277442215440372</v>
      </c>
      <c r="P27" s="85">
        <f t="shared" si="9"/>
        <v>0.59068449745008145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4095.8552428100775</v>
      </c>
      <c r="U27" s="10">
        <f t="shared" si="12"/>
        <v>0.40958552428100775</v>
      </c>
      <c r="V27" s="103">
        <f t="shared" si="13"/>
        <v>8.8471693203472854E-3</v>
      </c>
      <c r="W27" t="s">
        <v>155</v>
      </c>
    </row>
    <row r="28" spans="1:23" x14ac:dyDescent="0.25">
      <c r="A28" s="33" t="s">
        <v>142</v>
      </c>
      <c r="B28" s="77">
        <f t="shared" si="3"/>
        <v>43717.4375</v>
      </c>
      <c r="C28" s="49">
        <v>1</v>
      </c>
      <c r="D28" s="90">
        <v>467.02</v>
      </c>
      <c r="E28" s="91">
        <v>134.71</v>
      </c>
      <c r="F28" s="80">
        <f t="shared" si="4"/>
        <v>3.8567598975873842E-3</v>
      </c>
      <c r="G28" s="80">
        <f t="shared" si="5"/>
        <v>4.1463219447676579E-3</v>
      </c>
      <c r="H28" s="111">
        <v>0.4375</v>
      </c>
      <c r="I28" s="81">
        <f>jar_information!L14</f>
        <v>43707.416666666664</v>
      </c>
      <c r="J28" s="82">
        <f t="shared" si="1"/>
        <v>10.020833333335759</v>
      </c>
      <c r="K28" s="82">
        <f t="shared" si="6"/>
        <v>240.50000000005821</v>
      </c>
      <c r="L28" s="83">
        <f>jar_information!G14</f>
        <v>1050.5774088776614</v>
      </c>
      <c r="M28" s="82">
        <f t="shared" si="7"/>
        <v>4.051824819870629</v>
      </c>
      <c r="N28" s="82">
        <f t="shared" si="8"/>
        <v>7.4148394203632515</v>
      </c>
      <c r="O28" s="84">
        <f t="shared" si="2"/>
        <v>2.0222289328263412</v>
      </c>
      <c r="P28" s="85">
        <f t="shared" si="9"/>
        <v>0.557634200133029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3856.7598975873843</v>
      </c>
      <c r="U28" s="10">
        <f t="shared" si="12"/>
        <v>0.38567598975873846</v>
      </c>
      <c r="V28" s="103">
        <f t="shared" si="13"/>
        <v>8.408436311126203E-3</v>
      </c>
      <c r="W28" t="s">
        <v>156</v>
      </c>
    </row>
  </sheetData>
  <conditionalFormatting sqref="O17:O28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43719</v>
      </c>
      <c r="C3" s="58">
        <v>2992</v>
      </c>
      <c r="D3" s="47">
        <v>1725.4</v>
      </c>
      <c r="E3" s="59">
        <v>432.65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43719</v>
      </c>
      <c r="C4" s="58">
        <v>2992</v>
      </c>
      <c r="D4" s="59">
        <v>1535.1</v>
      </c>
      <c r="E4" s="59">
        <v>385.28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43719</v>
      </c>
      <c r="C5" s="58">
        <v>2992</v>
      </c>
      <c r="D5" s="47">
        <v>1413.7</v>
      </c>
      <c r="E5" s="59">
        <v>366.66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43719</v>
      </c>
      <c r="C6" s="58">
        <v>2992</v>
      </c>
      <c r="D6" s="59">
        <v>1236.5999999999999</v>
      </c>
      <c r="E6" s="59">
        <v>324.22000000000003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43719</v>
      </c>
      <c r="C7" s="58">
        <v>2992</v>
      </c>
      <c r="D7" s="47">
        <v>1102.3</v>
      </c>
      <c r="E7" s="59">
        <v>290.49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43719</v>
      </c>
      <c r="C8" s="58">
        <v>2992</v>
      </c>
      <c r="D8" s="59">
        <v>883.11</v>
      </c>
      <c r="E8" s="59">
        <v>244.27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43719</v>
      </c>
      <c r="C9" s="58">
        <v>2992</v>
      </c>
      <c r="D9" s="47">
        <v>742.75</v>
      </c>
      <c r="E9" s="59">
        <v>196.31</v>
      </c>
      <c r="F9" s="60">
        <f t="shared" si="0"/>
        <v>5.984</v>
      </c>
      <c r="G9" s="63" t="s">
        <v>75</v>
      </c>
      <c r="H9" s="63"/>
      <c r="I9" s="64">
        <f>SLOPE(F3:F14,D3:D14)</f>
        <v>8.5582159411798104E-3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43719</v>
      </c>
      <c r="C10" s="58">
        <v>2992</v>
      </c>
      <c r="D10" s="47">
        <v>545.05999999999995</v>
      </c>
      <c r="E10" s="59">
        <v>142.41999999999999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-0.18093981170894757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43719</v>
      </c>
      <c r="C11" s="58">
        <v>2992</v>
      </c>
      <c r="D11" s="47">
        <v>375.29</v>
      </c>
      <c r="E11" s="59">
        <v>104.13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43719</v>
      </c>
      <c r="C12" s="58">
        <v>2992</v>
      </c>
      <c r="D12" s="65">
        <v>143.13999999999999</v>
      </c>
      <c r="E12" s="65">
        <v>44.468000000000004</v>
      </c>
      <c r="F12" s="60">
        <f t="shared" si="0"/>
        <v>1.1968000000000001</v>
      </c>
      <c r="G12" s="66" t="s">
        <v>77</v>
      </c>
      <c r="H12" s="66"/>
      <c r="I12" s="67">
        <f>SLOPE(F3:F14,E3:E14)</f>
        <v>3.405636225090599E-2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43719</v>
      </c>
      <c r="C13" s="58">
        <v>2992</v>
      </c>
      <c r="D13" s="65">
        <v>65.043000000000006</v>
      </c>
      <c r="E13" s="65">
        <v>22.863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-0.47211171236913874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43719</v>
      </c>
      <c r="C14" s="58">
        <v>2992</v>
      </c>
      <c r="D14" s="65">
        <v>30.446000000000002</v>
      </c>
      <c r="E14" s="65">
        <v>11.015000000000001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43719.4375</v>
      </c>
      <c r="C17" s="49">
        <v>1</v>
      </c>
      <c r="D17" s="78"/>
      <c r="E17" s="79"/>
      <c r="F17" s="80">
        <f>((I$9*D17)+I$10)/C17/1000</f>
        <v>-1.8093981170894758E-4</v>
      </c>
      <c r="G17" s="80">
        <f>((I$12*E17)+I$13)/C17/1000</f>
        <v>-4.7211171236913871E-4</v>
      </c>
      <c r="H17" s="111">
        <v>0.4375</v>
      </c>
      <c r="I17" s="81">
        <f>jar_information!L3</f>
        <v>43707.416666666664</v>
      </c>
      <c r="J17" s="82">
        <f t="shared" ref="J17:J28" si="1">B17-I17</f>
        <v>12.020833333335759</v>
      </c>
      <c r="K17" s="82">
        <f>J17*24</f>
        <v>288.50000000005821</v>
      </c>
      <c r="L17" s="83">
        <f>jar_information!G3</f>
        <v>1050.5774088776614</v>
      </c>
      <c r="M17" s="82">
        <f>F17*L17</f>
        <v>-0.19009127854799809</v>
      </c>
      <c r="N17" s="82">
        <f>M17*1.83</f>
        <v>-0.3478670397428365</v>
      </c>
      <c r="O17" s="84">
        <f t="shared" ref="O17:O28" si="2">N17*(12/(12+(16*2)))</f>
        <v>-9.4872829020773583E-2</v>
      </c>
      <c r="P17" s="85">
        <f>O17*(400/(400+L17))</f>
        <v>-2.616139709336255E-2</v>
      </c>
      <c r="Q17" s="86"/>
      <c r="R17" s="86">
        <f>Q17/314.7</f>
        <v>0</v>
      </c>
      <c r="S17" s="86">
        <f>R17/P17*100</f>
        <v>0</v>
      </c>
      <c r="T17" s="87">
        <f>F17*1000000</f>
        <v>-180.93981170894759</v>
      </c>
      <c r="U17" s="10">
        <f>M17/L17*100</f>
        <v>-1.8093981170894759E-2</v>
      </c>
      <c r="V17" s="103">
        <f>O17/K17</f>
        <v>-3.2884862745495471E-4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43719.4375</v>
      </c>
      <c r="C18" s="49">
        <v>1</v>
      </c>
      <c r="D18" s="88"/>
      <c r="E18" s="89"/>
      <c r="F18" s="80">
        <f t="shared" ref="F18:F28" si="4">((I$9*D18)+I$10)/C18/1000</f>
        <v>-1.8093981170894758E-4</v>
      </c>
      <c r="G18" s="80">
        <f t="shared" ref="G18:G28" si="5">((I$12*E18)+I$13)/C18/1000</f>
        <v>-4.7211171236913871E-4</v>
      </c>
      <c r="H18" s="111">
        <v>0.4375</v>
      </c>
      <c r="I18" s="81">
        <f>jar_information!L4</f>
        <v>43707.416666666664</v>
      </c>
      <c r="J18" s="82">
        <f t="shared" si="1"/>
        <v>12.020833333335759</v>
      </c>
      <c r="K18" s="82">
        <f t="shared" ref="K18:K28" si="6">J18*24</f>
        <v>288.50000000005821</v>
      </c>
      <c r="L18" s="83">
        <f>jar_information!G4</f>
        <v>1050.5774088776614</v>
      </c>
      <c r="M18" s="82">
        <f t="shared" ref="M18:M28" si="7">F18*L18</f>
        <v>-0.19009127854799809</v>
      </c>
      <c r="N18" s="82">
        <f t="shared" ref="N18:N28" si="8">M18*1.83</f>
        <v>-0.3478670397428365</v>
      </c>
      <c r="O18" s="84">
        <f t="shared" si="2"/>
        <v>-9.4872829020773583E-2</v>
      </c>
      <c r="P18" s="85">
        <f t="shared" ref="P18:P28" si="9">O18*(400/(400+L18))</f>
        <v>-2.616139709336255E-2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-180.93981170894759</v>
      </c>
      <c r="U18" s="10">
        <f t="shared" ref="U18:U28" si="12">M18/L18*100</f>
        <v>-1.8093981170894759E-2</v>
      </c>
      <c r="V18" s="103">
        <f t="shared" ref="V18:V28" si="13">O18/K18</f>
        <v>-3.2884862745495471E-4</v>
      </c>
      <c r="W18" t="s">
        <v>154</v>
      </c>
    </row>
    <row r="19" spans="1:23" x14ac:dyDescent="0.25">
      <c r="A19" s="33" t="s">
        <v>134</v>
      </c>
      <c r="B19" s="77">
        <f t="shared" si="3"/>
        <v>43719.701388888891</v>
      </c>
      <c r="C19" s="49">
        <v>1</v>
      </c>
      <c r="D19" s="90">
        <v>1051.2</v>
      </c>
      <c r="E19" s="91">
        <v>284.22000000000003</v>
      </c>
      <c r="F19" s="80">
        <f t="shared" si="4"/>
        <v>8.8154567856592696E-3</v>
      </c>
      <c r="G19" s="80">
        <f t="shared" si="5"/>
        <v>9.2073875665833645E-3</v>
      </c>
      <c r="H19" s="111">
        <v>0.70138888888888884</v>
      </c>
      <c r="I19" s="81">
        <f>jar_information!L5</f>
        <v>43707.416666666664</v>
      </c>
      <c r="J19" s="82">
        <f t="shared" si="1"/>
        <v>12.284722222226264</v>
      </c>
      <c r="K19" s="82">
        <f t="shared" si="6"/>
        <v>294.83333333343035</v>
      </c>
      <c r="L19" s="83">
        <f>jar_information!G5</f>
        <v>1050.5774088776614</v>
      </c>
      <c r="M19" s="82">
        <f t="shared" si="7"/>
        <v>9.2613197479509122</v>
      </c>
      <c r="N19" s="82">
        <f t="shared" si="8"/>
        <v>16.948215138750172</v>
      </c>
      <c r="O19" s="84">
        <f t="shared" si="2"/>
        <v>4.6222404923864104</v>
      </c>
      <c r="P19" s="85">
        <f t="shared" si="9"/>
        <v>1.2745932658534158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8815.4567856592694</v>
      </c>
      <c r="U19" s="10">
        <f t="shared" si="12"/>
        <v>0.88154567856592692</v>
      </c>
      <c r="V19" s="103">
        <f t="shared" si="13"/>
        <v>1.5677469165805164E-2</v>
      </c>
    </row>
    <row r="20" spans="1:23" x14ac:dyDescent="0.25">
      <c r="A20" s="33" t="s">
        <v>135</v>
      </c>
      <c r="B20" s="77">
        <f t="shared" si="3"/>
        <v>43719.701388888891</v>
      </c>
      <c r="C20" s="49">
        <v>1</v>
      </c>
      <c r="D20" s="90">
        <v>872.23</v>
      </c>
      <c r="E20" s="91">
        <v>247.65</v>
      </c>
      <c r="F20" s="80">
        <f t="shared" si="4"/>
        <v>7.2837928786663184E-3</v>
      </c>
      <c r="G20" s="80">
        <f t="shared" si="5"/>
        <v>7.9619463990677295E-3</v>
      </c>
      <c r="H20" s="111">
        <v>0.70138888888888884</v>
      </c>
      <c r="I20" s="81">
        <f>jar_information!L6</f>
        <v>43707.416666666664</v>
      </c>
      <c r="J20" s="82">
        <f t="shared" si="1"/>
        <v>12.284722222226264</v>
      </c>
      <c r="K20" s="82">
        <f t="shared" si="6"/>
        <v>294.83333333343035</v>
      </c>
      <c r="L20" s="83">
        <f>jar_information!G6</f>
        <v>1055.454159400779</v>
      </c>
      <c r="M20" s="82">
        <f t="shared" si="7"/>
        <v>7.6877094900021392</v>
      </c>
      <c r="N20" s="82">
        <f t="shared" si="8"/>
        <v>14.068508366703915</v>
      </c>
      <c r="O20" s="84">
        <f t="shared" si="2"/>
        <v>3.8368659181919766</v>
      </c>
      <c r="P20" s="85">
        <f t="shared" si="9"/>
        <v>1.0544793577756215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7283.7928786663188</v>
      </c>
      <c r="U20" s="10">
        <f t="shared" si="12"/>
        <v>0.72837928786663186</v>
      </c>
      <c r="V20" s="103">
        <f t="shared" si="13"/>
        <v>1.3013677506582411E-2</v>
      </c>
    </row>
    <row r="21" spans="1:23" x14ac:dyDescent="0.25">
      <c r="A21" s="33" t="s">
        <v>136</v>
      </c>
      <c r="B21" s="77">
        <f t="shared" si="3"/>
        <v>43719.701388888891</v>
      </c>
      <c r="C21" s="49">
        <v>1</v>
      </c>
      <c r="D21" s="90">
        <v>434.49</v>
      </c>
      <c r="E21" s="91">
        <v>123.79</v>
      </c>
      <c r="F21" s="80">
        <f t="shared" si="4"/>
        <v>3.5375194325742683E-3</v>
      </c>
      <c r="G21" s="80">
        <f t="shared" si="5"/>
        <v>3.7437253706705141E-3</v>
      </c>
      <c r="H21" s="111">
        <v>0.70138888888888884</v>
      </c>
      <c r="I21" s="81">
        <f>jar_information!L7</f>
        <v>43707.416666666664</v>
      </c>
      <c r="J21" s="82">
        <f t="shared" si="1"/>
        <v>12.284722222226264</v>
      </c>
      <c r="K21" s="82">
        <f t="shared" si="6"/>
        <v>294.83333333343035</v>
      </c>
      <c r="L21" s="83">
        <f>jar_information!G7</f>
        <v>1065.2508812788285</v>
      </c>
      <c r="M21" s="82">
        <f t="shared" si="7"/>
        <v>3.7683456930907209</v>
      </c>
      <c r="N21" s="82">
        <f t="shared" si="8"/>
        <v>6.896072618356019</v>
      </c>
      <c r="O21" s="84">
        <f t="shared" si="2"/>
        <v>1.8807470777334596</v>
      </c>
      <c r="P21" s="85">
        <f t="shared" si="9"/>
        <v>0.51342663615175532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3537.5194325742682</v>
      </c>
      <c r="U21" s="10">
        <f t="shared" si="12"/>
        <v>0.35375194325742682</v>
      </c>
      <c r="V21" s="103">
        <f t="shared" si="13"/>
        <v>6.3790177876749832E-3</v>
      </c>
    </row>
    <row r="22" spans="1:23" x14ac:dyDescent="0.25">
      <c r="A22" s="33" t="s">
        <v>145</v>
      </c>
      <c r="B22" s="77">
        <f t="shared" si="3"/>
        <v>43719.701388888891</v>
      </c>
      <c r="C22" s="49">
        <v>1</v>
      </c>
      <c r="D22" s="90">
        <v>626.01</v>
      </c>
      <c r="E22" s="91">
        <v>174.72</v>
      </c>
      <c r="F22" s="80">
        <f t="shared" si="4"/>
        <v>5.1765889496290258E-3</v>
      </c>
      <c r="G22" s="80">
        <f t="shared" si="5"/>
        <v>5.4782159001091554E-3</v>
      </c>
      <c r="H22" s="111">
        <v>0.70138888888888884</v>
      </c>
      <c r="I22" s="81">
        <f>jar_information!L8</f>
        <v>43707.416666666664</v>
      </c>
      <c r="J22" s="82">
        <f t="shared" si="1"/>
        <v>12.284722222226264</v>
      </c>
      <c r="K22" s="82">
        <f t="shared" si="6"/>
        <v>294.83333333343035</v>
      </c>
      <c r="L22" s="83">
        <f>jar_information!G8</f>
        <v>1050.5774088776614</v>
      </c>
      <c r="M22" s="82">
        <f t="shared" si="7"/>
        <v>5.4384074055259966</v>
      </c>
      <c r="N22" s="82">
        <f t="shared" si="8"/>
        <v>9.9522855521125742</v>
      </c>
      <c r="O22" s="84">
        <f t="shared" si="2"/>
        <v>2.7142596960307017</v>
      </c>
      <c r="P22" s="85">
        <f t="shared" si="9"/>
        <v>0.7484632476472316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5176.5889496290256</v>
      </c>
      <c r="U22" s="10">
        <f t="shared" si="12"/>
        <v>0.51765889496290263</v>
      </c>
      <c r="V22" s="103">
        <f t="shared" si="13"/>
        <v>9.2060815015143314E-3</v>
      </c>
      <c r="W22" t="s">
        <v>153</v>
      </c>
    </row>
    <row r="23" spans="1:23" x14ac:dyDescent="0.25">
      <c r="A23" s="33" t="s">
        <v>137</v>
      </c>
      <c r="B23" s="77">
        <f t="shared" si="3"/>
        <v>43719.4375</v>
      </c>
      <c r="C23" s="49">
        <v>1</v>
      </c>
      <c r="D23" s="90"/>
      <c r="E23" s="91"/>
      <c r="F23" s="80">
        <f t="shared" si="4"/>
        <v>-1.8093981170894758E-4</v>
      </c>
      <c r="G23" s="80">
        <f t="shared" si="5"/>
        <v>-4.7211171236913871E-4</v>
      </c>
      <c r="H23" s="111">
        <v>0.4375</v>
      </c>
      <c r="I23" s="81">
        <f>jar_information!L9</f>
        <v>43707.416666666664</v>
      </c>
      <c r="J23" s="82">
        <f t="shared" si="1"/>
        <v>12.020833333335759</v>
      </c>
      <c r="K23" s="82">
        <f t="shared" si="6"/>
        <v>288.50000000005821</v>
      </c>
      <c r="L23" s="83">
        <f>jar_information!G9</f>
        <v>1050.5774088776614</v>
      </c>
      <c r="M23" s="82">
        <f t="shared" si="7"/>
        <v>-0.19009127854799809</v>
      </c>
      <c r="N23" s="82">
        <f t="shared" si="8"/>
        <v>-0.3478670397428365</v>
      </c>
      <c r="O23" s="84">
        <f t="shared" si="2"/>
        <v>-9.4872829020773583E-2</v>
      </c>
      <c r="P23" s="85">
        <f t="shared" si="9"/>
        <v>-2.616139709336255E-2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-180.93981170894759</v>
      </c>
      <c r="U23" s="10">
        <f t="shared" si="12"/>
        <v>-1.8093981170894759E-2</v>
      </c>
      <c r="V23" s="103">
        <f t="shared" si="13"/>
        <v>-3.2884862745495471E-4</v>
      </c>
      <c r="W23" t="s">
        <v>155</v>
      </c>
    </row>
    <row r="24" spans="1:23" x14ac:dyDescent="0.25">
      <c r="A24" s="33" t="s">
        <v>140</v>
      </c>
      <c r="B24" s="77">
        <f t="shared" si="3"/>
        <v>43719.4375</v>
      </c>
      <c r="C24" s="49">
        <v>1</v>
      </c>
      <c r="D24" s="90"/>
      <c r="E24" s="91"/>
      <c r="F24" s="80">
        <f t="shared" si="4"/>
        <v>-1.8093981170894758E-4</v>
      </c>
      <c r="G24" s="80">
        <f t="shared" si="5"/>
        <v>-4.7211171236913871E-4</v>
      </c>
      <c r="H24" s="111">
        <v>0.4375</v>
      </c>
      <c r="I24" s="81">
        <f>jar_information!L10</f>
        <v>43707.416666666664</v>
      </c>
      <c r="J24" s="82">
        <f t="shared" si="1"/>
        <v>12.020833333335759</v>
      </c>
      <c r="K24" s="82">
        <f t="shared" si="6"/>
        <v>288.50000000005821</v>
      </c>
      <c r="L24" s="83">
        <f>jar_information!G10</f>
        <v>1055.454159400779</v>
      </c>
      <c r="M24" s="82">
        <f t="shared" si="7"/>
        <v>-0.1909736768694025</v>
      </c>
      <c r="N24" s="82">
        <f t="shared" si="8"/>
        <v>-0.34948182867100658</v>
      </c>
      <c r="O24" s="84">
        <f t="shared" si="2"/>
        <v>-9.531322600118361E-2</v>
      </c>
      <c r="P24" s="85">
        <f t="shared" si="9"/>
        <v>-2.6194772370000233E-2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-180.93981170894759</v>
      </c>
      <c r="U24" s="10">
        <f t="shared" si="12"/>
        <v>-1.8093981170894759E-2</v>
      </c>
      <c r="V24" s="103">
        <f t="shared" si="13"/>
        <v>-3.3037513345290947E-4</v>
      </c>
      <c r="W24" t="s">
        <v>155</v>
      </c>
    </row>
    <row r="25" spans="1:23" x14ac:dyDescent="0.25">
      <c r="A25" s="33" t="s">
        <v>138</v>
      </c>
      <c r="B25" s="77">
        <f t="shared" si="3"/>
        <v>43719.4375</v>
      </c>
      <c r="C25" s="49">
        <v>1</v>
      </c>
      <c r="D25" s="90"/>
      <c r="E25" s="91"/>
      <c r="F25" s="80">
        <f t="shared" si="4"/>
        <v>-1.8093981170894758E-4</v>
      </c>
      <c r="G25" s="80">
        <f t="shared" si="5"/>
        <v>-4.7211171236913871E-4</v>
      </c>
      <c r="H25" s="111">
        <v>0.4375</v>
      </c>
      <c r="I25" s="81">
        <f>jar_information!L11</f>
        <v>43707.416666666664</v>
      </c>
      <c r="J25" s="82">
        <f t="shared" si="1"/>
        <v>12.020833333335759</v>
      </c>
      <c r="K25" s="82">
        <f t="shared" si="6"/>
        <v>288.50000000005821</v>
      </c>
      <c r="L25" s="83">
        <f>jar_information!G11</f>
        <v>1021.6154823015972</v>
      </c>
      <c r="M25" s="82">
        <f t="shared" si="7"/>
        <v>-0.18485091300659667</v>
      </c>
      <c r="N25" s="82">
        <f t="shared" si="8"/>
        <v>-0.33827717080207192</v>
      </c>
      <c r="O25" s="84">
        <f t="shared" si="2"/>
        <v>-9.225741021874688E-2</v>
      </c>
      <c r="P25" s="85">
        <f t="shared" si="9"/>
        <v>-2.5958470871288494E-2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-180.93981170894759</v>
      </c>
      <c r="U25" s="10">
        <f t="shared" si="12"/>
        <v>-1.8093981170894759E-2</v>
      </c>
      <c r="V25" s="103">
        <f t="shared" si="13"/>
        <v>-3.1978305101812226E-4</v>
      </c>
      <c r="W25" t="s">
        <v>155</v>
      </c>
    </row>
    <row r="26" spans="1:23" x14ac:dyDescent="0.25">
      <c r="A26" s="33" t="s">
        <v>141</v>
      </c>
      <c r="B26" s="77">
        <f t="shared" si="3"/>
        <v>43719.4375</v>
      </c>
      <c r="C26" s="49">
        <v>1</v>
      </c>
      <c r="D26" s="90"/>
      <c r="E26" s="91"/>
      <c r="F26" s="80">
        <f t="shared" si="4"/>
        <v>-1.8093981170894758E-4</v>
      </c>
      <c r="G26" s="80">
        <f t="shared" si="5"/>
        <v>-4.7211171236913871E-4</v>
      </c>
      <c r="H26" s="111">
        <v>0.4375</v>
      </c>
      <c r="I26" s="81">
        <f>jar_information!L12</f>
        <v>43707.416666666664</v>
      </c>
      <c r="J26" s="82">
        <f t="shared" si="1"/>
        <v>12.020833333335759</v>
      </c>
      <c r="K26" s="82">
        <f t="shared" si="6"/>
        <v>288.50000000005821</v>
      </c>
      <c r="L26" s="83">
        <f>jar_information!G12</f>
        <v>1045.7149806761979</v>
      </c>
      <c r="M26" s="82">
        <f t="shared" si="7"/>
        <v>-0.18921147170477701</v>
      </c>
      <c r="N26" s="82">
        <f t="shared" si="8"/>
        <v>-0.34625699321974196</v>
      </c>
      <c r="O26" s="84">
        <f t="shared" si="2"/>
        <v>-9.4433725423565984E-2</v>
      </c>
      <c r="P26" s="85">
        <f t="shared" si="9"/>
        <v>-2.6127895660152022E-2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-180.93981170894759</v>
      </c>
      <c r="U26" s="10">
        <f t="shared" si="12"/>
        <v>-1.8093981170894759E-2</v>
      </c>
      <c r="V26" s="103">
        <f t="shared" si="13"/>
        <v>-3.2732660458768435E-4</v>
      </c>
      <c r="W26" t="s">
        <v>155</v>
      </c>
    </row>
    <row r="27" spans="1:23" x14ac:dyDescent="0.25">
      <c r="A27" s="33" t="s">
        <v>139</v>
      </c>
      <c r="B27" s="77">
        <f t="shared" si="3"/>
        <v>43719.4375</v>
      </c>
      <c r="C27" s="49">
        <v>1</v>
      </c>
      <c r="D27" s="90"/>
      <c r="E27" s="91"/>
      <c r="F27" s="80">
        <f t="shared" si="4"/>
        <v>-1.8093981170894758E-4</v>
      </c>
      <c r="G27" s="80">
        <f t="shared" si="5"/>
        <v>-4.7211171236913871E-4</v>
      </c>
      <c r="H27" s="111">
        <v>0.4375</v>
      </c>
      <c r="I27" s="81">
        <f>jar_information!L13</f>
        <v>43707.416666666664</v>
      </c>
      <c r="J27" s="82">
        <f t="shared" si="1"/>
        <v>12.020833333335759</v>
      </c>
      <c r="K27" s="82">
        <f t="shared" si="6"/>
        <v>288.50000000005821</v>
      </c>
      <c r="L27" s="83">
        <f>jar_information!G13</f>
        <v>1040.8668117949733</v>
      </c>
      <c r="M27" s="82">
        <f t="shared" si="7"/>
        <v>-0.18833424494027504</v>
      </c>
      <c r="N27" s="82">
        <f t="shared" si="8"/>
        <v>-0.34465166824070331</v>
      </c>
      <c r="O27" s="84">
        <f t="shared" si="2"/>
        <v>-9.3995909520191809E-2</v>
      </c>
      <c r="P27" s="85">
        <f t="shared" si="9"/>
        <v>-2.6094267353717594E-2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-180.93981170894759</v>
      </c>
      <c r="U27" s="10">
        <f t="shared" si="12"/>
        <v>-1.8093981170894759E-2</v>
      </c>
      <c r="V27" s="103">
        <f t="shared" si="13"/>
        <v>-3.2580904513058176E-4</v>
      </c>
      <c r="W27" t="s">
        <v>155</v>
      </c>
    </row>
    <row r="28" spans="1:23" x14ac:dyDescent="0.25">
      <c r="A28" s="33" t="s">
        <v>142</v>
      </c>
      <c r="B28" s="77">
        <f t="shared" si="3"/>
        <v>43719.4375</v>
      </c>
      <c r="C28" s="49">
        <v>1</v>
      </c>
      <c r="D28" s="90"/>
      <c r="E28" s="91"/>
      <c r="F28" s="80">
        <f t="shared" si="4"/>
        <v>-1.8093981170894758E-4</v>
      </c>
      <c r="G28" s="80">
        <f t="shared" si="5"/>
        <v>-4.7211171236913871E-4</v>
      </c>
      <c r="H28" s="111">
        <v>0.4375</v>
      </c>
      <c r="I28" s="81">
        <f>jar_information!L14</f>
        <v>43707.416666666664</v>
      </c>
      <c r="J28" s="82">
        <f t="shared" si="1"/>
        <v>12.020833333335759</v>
      </c>
      <c r="K28" s="82">
        <f t="shared" si="6"/>
        <v>288.50000000005821</v>
      </c>
      <c r="L28" s="83">
        <f>jar_information!G14</f>
        <v>1050.5774088776614</v>
      </c>
      <c r="M28" s="82">
        <f t="shared" si="7"/>
        <v>-0.19009127854799809</v>
      </c>
      <c r="N28" s="82">
        <f t="shared" si="8"/>
        <v>-0.3478670397428365</v>
      </c>
      <c r="O28" s="84">
        <f t="shared" si="2"/>
        <v>-9.4872829020773583E-2</v>
      </c>
      <c r="P28" s="85">
        <f t="shared" si="9"/>
        <v>-2.616139709336255E-2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-180.93981170894759</v>
      </c>
      <c r="U28" s="10">
        <f t="shared" si="12"/>
        <v>-1.8093981170894759E-2</v>
      </c>
      <c r="V28" s="103">
        <f t="shared" si="13"/>
        <v>-3.2884862745495471E-4</v>
      </c>
      <c r="W28" t="s">
        <v>156</v>
      </c>
    </row>
  </sheetData>
  <conditionalFormatting sqref="O17:O28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43721</v>
      </c>
      <c r="C3" s="58">
        <v>2992</v>
      </c>
      <c r="D3" s="47">
        <v>1732.1</v>
      </c>
      <c r="E3" s="59">
        <v>437.11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43721</v>
      </c>
      <c r="C4" s="58">
        <v>2992</v>
      </c>
      <c r="D4" s="59">
        <v>1517.6</v>
      </c>
      <c r="E4" s="59">
        <v>418.08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43721</v>
      </c>
      <c r="C5" s="58">
        <v>2992</v>
      </c>
      <c r="D5" s="47">
        <v>1439.4</v>
      </c>
      <c r="E5" s="59">
        <v>368.24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43721</v>
      </c>
      <c r="C6" s="58">
        <v>2992</v>
      </c>
      <c r="D6" s="59">
        <v>1213</v>
      </c>
      <c r="E6" s="59">
        <v>338.26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43721</v>
      </c>
      <c r="C7" s="58">
        <v>2992</v>
      </c>
      <c r="D7" s="47">
        <v>1110.2</v>
      </c>
      <c r="E7" s="59">
        <v>293.11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43721</v>
      </c>
      <c r="C8" s="58">
        <v>2992</v>
      </c>
      <c r="D8" s="59">
        <v>882.83</v>
      </c>
      <c r="E8" s="59">
        <v>244.92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43721</v>
      </c>
      <c r="C9" s="58">
        <v>2992</v>
      </c>
      <c r="D9" s="47">
        <v>755.43</v>
      </c>
      <c r="E9" s="59">
        <v>196.88</v>
      </c>
      <c r="F9" s="60">
        <f t="shared" si="0"/>
        <v>5.984</v>
      </c>
      <c r="G9" s="63" t="s">
        <v>75</v>
      </c>
      <c r="H9" s="63"/>
      <c r="I9" s="64">
        <f>SLOPE(F3:F14,D3:D14)</f>
        <v>8.5469616993698091E-3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43721</v>
      </c>
      <c r="C10" s="58">
        <v>2992</v>
      </c>
      <c r="D10" s="47">
        <v>520.26</v>
      </c>
      <c r="E10" s="59">
        <v>154.55000000000001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-0.16519454860992067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43721</v>
      </c>
      <c r="C11" s="58">
        <v>2992</v>
      </c>
      <c r="D11" s="47">
        <v>374.75</v>
      </c>
      <c r="E11" s="59">
        <v>113.62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43721</v>
      </c>
      <c r="C12" s="58">
        <v>2992</v>
      </c>
      <c r="D12" s="65">
        <v>140.86000000000001</v>
      </c>
      <c r="E12" s="65">
        <v>43.716000000000001</v>
      </c>
      <c r="F12" s="60">
        <f t="shared" si="0"/>
        <v>1.1968000000000001</v>
      </c>
      <c r="G12" s="66" t="s">
        <v>77</v>
      </c>
      <c r="H12" s="66"/>
      <c r="I12" s="67">
        <f>SLOPE(F3:F14,E3:E14)</f>
        <v>3.3097214654526301E-2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43721</v>
      </c>
      <c r="C13" s="58">
        <v>2992</v>
      </c>
      <c r="D13" s="65">
        <v>74.295000000000002</v>
      </c>
      <c r="E13" s="65">
        <v>23.434999999999999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-0.48536036736583643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43721</v>
      </c>
      <c r="C14" s="58">
        <v>2992</v>
      </c>
      <c r="D14" s="65">
        <v>28.009</v>
      </c>
      <c r="E14" s="65">
        <v>11.984999999999999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43721.4375</v>
      </c>
      <c r="C17" s="49">
        <v>1</v>
      </c>
      <c r="D17" s="78"/>
      <c r="E17" s="79"/>
      <c r="F17" s="80">
        <f>((I$9*D17)+I$10)/C17/1000</f>
        <v>-1.6519454860992067E-4</v>
      </c>
      <c r="G17" s="80">
        <f>((I$12*E17)+I$13)/C17/1000</f>
        <v>-4.8536036736583643E-4</v>
      </c>
      <c r="H17" s="111">
        <v>0.4375</v>
      </c>
      <c r="I17" s="81">
        <f>jar_information!L3</f>
        <v>43707.416666666664</v>
      </c>
      <c r="J17" s="82">
        <f t="shared" ref="J17:J28" si="1">B17-I17</f>
        <v>14.020833333335759</v>
      </c>
      <c r="K17" s="82">
        <f>J17*24</f>
        <v>336.50000000005821</v>
      </c>
      <c r="L17" s="83">
        <f>jar_information!G3</f>
        <v>1050.5774088776614</v>
      </c>
      <c r="M17" s="82">
        <f>F17*L17</f>
        <v>-0.17354966083932533</v>
      </c>
      <c r="N17" s="82">
        <f>M17*1.83</f>
        <v>-0.31759587933596534</v>
      </c>
      <c r="O17" s="84">
        <f t="shared" ref="O17:O28" si="2">N17*(12/(12+(16*2)))</f>
        <v>-8.6617058000717811E-2</v>
      </c>
      <c r="P17" s="85">
        <f>O17*(400/(400+L17))</f>
        <v>-2.3884849569726866E-2</v>
      </c>
      <c r="Q17" s="86"/>
      <c r="R17" s="86">
        <f>Q17/314.7</f>
        <v>0</v>
      </c>
      <c r="S17" s="86">
        <f>R17/P17*100</f>
        <v>0</v>
      </c>
      <c r="T17" s="87">
        <f>F17*1000000</f>
        <v>-165.19454860992067</v>
      </c>
      <c r="U17" s="10">
        <f>M17/L17*100</f>
        <v>-1.6519454860992065E-2</v>
      </c>
      <c r="V17" s="103">
        <f>O17/K17</f>
        <v>-2.5740581872422833E-4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43721.4375</v>
      </c>
      <c r="C18" s="49">
        <v>1</v>
      </c>
      <c r="D18" s="88"/>
      <c r="E18" s="89"/>
      <c r="F18" s="80">
        <f t="shared" ref="F18:F28" si="4">((I$9*D18)+I$10)/C18/1000</f>
        <v>-1.6519454860992067E-4</v>
      </c>
      <c r="G18" s="80">
        <f t="shared" ref="G18:G28" si="5">((I$12*E18)+I$13)/C18/1000</f>
        <v>-4.8536036736583643E-4</v>
      </c>
      <c r="H18" s="111">
        <v>0.4375</v>
      </c>
      <c r="I18" s="81">
        <f>jar_information!L4</f>
        <v>43707.416666666664</v>
      </c>
      <c r="J18" s="82">
        <f t="shared" si="1"/>
        <v>14.020833333335759</v>
      </c>
      <c r="K18" s="82">
        <f t="shared" ref="K18:K28" si="6">J18*24</f>
        <v>336.50000000005821</v>
      </c>
      <c r="L18" s="83">
        <f>jar_information!G4</f>
        <v>1050.5774088776614</v>
      </c>
      <c r="M18" s="82">
        <f t="shared" ref="M18:M28" si="7">F18*L18</f>
        <v>-0.17354966083932533</v>
      </c>
      <c r="N18" s="82">
        <f t="shared" ref="N18:N28" si="8">M18*1.83</f>
        <v>-0.31759587933596534</v>
      </c>
      <c r="O18" s="84">
        <f t="shared" si="2"/>
        <v>-8.6617058000717811E-2</v>
      </c>
      <c r="P18" s="85">
        <f t="shared" ref="P18:P28" si="9">O18*(400/(400+L18))</f>
        <v>-2.3884849569726866E-2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-165.19454860992067</v>
      </c>
      <c r="U18" s="10">
        <f t="shared" ref="U18:U28" si="12">M18/L18*100</f>
        <v>-1.6519454860992065E-2</v>
      </c>
      <c r="V18" s="103">
        <f t="shared" ref="V18:V28" si="13">O18/K18</f>
        <v>-2.5740581872422833E-4</v>
      </c>
      <c r="W18" t="s">
        <v>154</v>
      </c>
    </row>
    <row r="19" spans="1:23" x14ac:dyDescent="0.25">
      <c r="A19" s="33" t="s">
        <v>134</v>
      </c>
      <c r="B19" s="77">
        <f t="shared" si="3"/>
        <v>43721.701388888891</v>
      </c>
      <c r="C19" s="49">
        <v>1</v>
      </c>
      <c r="D19" s="90">
        <v>1116.5</v>
      </c>
      <c r="E19" s="91">
        <v>301.88</v>
      </c>
      <c r="F19" s="80">
        <f t="shared" si="4"/>
        <v>9.3774881887364707E-3</v>
      </c>
      <c r="G19" s="80">
        <f t="shared" si="5"/>
        <v>9.5060267925425636E-3</v>
      </c>
      <c r="H19" s="111">
        <v>0.70138888888888884</v>
      </c>
      <c r="I19" s="81">
        <f>jar_information!L5</f>
        <v>43707.416666666664</v>
      </c>
      <c r="J19" s="82">
        <f t="shared" si="1"/>
        <v>14.284722222226264</v>
      </c>
      <c r="K19" s="82">
        <f t="shared" si="6"/>
        <v>342.83333333343035</v>
      </c>
      <c r="L19" s="83">
        <f>jar_information!G5</f>
        <v>1050.5774088776614</v>
      </c>
      <c r="M19" s="82">
        <f t="shared" si="7"/>
        <v>9.8517772431036352</v>
      </c>
      <c r="N19" s="82">
        <f t="shared" si="8"/>
        <v>18.028752354879654</v>
      </c>
      <c r="O19" s="84">
        <f t="shared" si="2"/>
        <v>4.9169324604217231</v>
      </c>
      <c r="P19" s="85">
        <f t="shared" si="9"/>
        <v>1.3558552422861858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9377.48818873647</v>
      </c>
      <c r="U19" s="10">
        <f t="shared" si="12"/>
        <v>0.93774881887364703</v>
      </c>
      <c r="V19" s="103">
        <f t="shared" si="13"/>
        <v>1.4342048985183271E-2</v>
      </c>
      <c r="W19" s="115" t="s">
        <v>157</v>
      </c>
    </row>
    <row r="20" spans="1:23" x14ac:dyDescent="0.25">
      <c r="A20" s="33" t="s">
        <v>135</v>
      </c>
      <c r="B20" s="77">
        <f t="shared" si="3"/>
        <v>43721.701388888891</v>
      </c>
      <c r="C20" s="49">
        <v>1</v>
      </c>
      <c r="D20" s="90">
        <v>1081.7</v>
      </c>
      <c r="E20" s="91">
        <v>293.98</v>
      </c>
      <c r="F20" s="80">
        <f t="shared" si="4"/>
        <v>9.0800539215984029E-3</v>
      </c>
      <c r="G20" s="80">
        <f t="shared" si="5"/>
        <v>9.2445587967718047E-3</v>
      </c>
      <c r="H20" s="111">
        <v>0.70138888888888884</v>
      </c>
      <c r="I20" s="81">
        <f>jar_information!L6</f>
        <v>43707.416666666664</v>
      </c>
      <c r="J20" s="82">
        <f t="shared" si="1"/>
        <v>14.284722222226264</v>
      </c>
      <c r="K20" s="82">
        <f t="shared" si="6"/>
        <v>342.83333333343035</v>
      </c>
      <c r="L20" s="83">
        <f>jar_information!G6</f>
        <v>1055.454159400779</v>
      </c>
      <c r="M20" s="82">
        <f t="shared" si="7"/>
        <v>9.5835806791343892</v>
      </c>
      <c r="N20" s="82">
        <f t="shared" si="8"/>
        <v>17.537952642815934</v>
      </c>
      <c r="O20" s="84">
        <f t="shared" si="2"/>
        <v>4.7830779934952545</v>
      </c>
      <c r="P20" s="85">
        <f t="shared" si="9"/>
        <v>1.3145252188401404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9080.0539215984027</v>
      </c>
      <c r="U20" s="10">
        <f t="shared" si="12"/>
        <v>0.90800539215984033</v>
      </c>
      <c r="V20" s="103">
        <f t="shared" si="13"/>
        <v>1.3951613009705108E-2</v>
      </c>
      <c r="W20" s="115" t="s">
        <v>157</v>
      </c>
    </row>
    <row r="21" spans="1:23" x14ac:dyDescent="0.25">
      <c r="A21" s="33" t="s">
        <v>136</v>
      </c>
      <c r="B21" s="77">
        <f t="shared" si="3"/>
        <v>43721.701388888891</v>
      </c>
      <c r="C21" s="49">
        <v>1</v>
      </c>
      <c r="D21" s="90">
        <v>438.12</v>
      </c>
      <c r="E21" s="91">
        <v>126.83</v>
      </c>
      <c r="F21" s="80">
        <f t="shared" si="4"/>
        <v>3.5794003111179798E-3</v>
      </c>
      <c r="G21" s="80">
        <f t="shared" si="5"/>
        <v>3.7123593672677346E-3</v>
      </c>
      <c r="H21" s="111">
        <v>0.70138888888888884</v>
      </c>
      <c r="I21" s="81">
        <f>jar_information!L7</f>
        <v>43707.416666666664</v>
      </c>
      <c r="J21" s="82">
        <f t="shared" si="1"/>
        <v>14.284722222226264</v>
      </c>
      <c r="K21" s="82">
        <f t="shared" si="6"/>
        <v>342.83333333343035</v>
      </c>
      <c r="L21" s="83">
        <f>jar_information!G7</f>
        <v>1065.2508812788285</v>
      </c>
      <c r="M21" s="82">
        <f t="shared" si="7"/>
        <v>3.8129593358681411</v>
      </c>
      <c r="N21" s="82">
        <f t="shared" si="8"/>
        <v>6.9777155846386982</v>
      </c>
      <c r="O21" s="84">
        <f t="shared" si="2"/>
        <v>1.9030133412650994</v>
      </c>
      <c r="P21" s="85">
        <f t="shared" si="9"/>
        <v>0.51950512109003599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3579.40031111798</v>
      </c>
      <c r="U21" s="10">
        <f t="shared" si="12"/>
        <v>0.35794003111179801</v>
      </c>
      <c r="V21" s="103">
        <f t="shared" si="13"/>
        <v>5.5508410537614804E-3</v>
      </c>
    </row>
    <row r="22" spans="1:23" x14ac:dyDescent="0.25">
      <c r="A22" s="33" t="s">
        <v>145</v>
      </c>
      <c r="B22" s="77">
        <f t="shared" si="3"/>
        <v>43721.701388888891</v>
      </c>
      <c r="C22" s="49">
        <v>1</v>
      </c>
      <c r="D22" s="90">
        <v>677.73</v>
      </c>
      <c r="E22" s="91">
        <v>177.46</v>
      </c>
      <c r="F22" s="80">
        <f t="shared" si="4"/>
        <v>5.6273378039039803E-3</v>
      </c>
      <c r="G22" s="80">
        <f t="shared" si="5"/>
        <v>5.3880713452264016E-3</v>
      </c>
      <c r="H22" s="111">
        <v>0.70138888888888884</v>
      </c>
      <c r="I22" s="81">
        <f>jar_information!L8</f>
        <v>43707.416666666664</v>
      </c>
      <c r="J22" s="82">
        <f t="shared" si="1"/>
        <v>14.284722222226264</v>
      </c>
      <c r="K22" s="82">
        <f t="shared" si="6"/>
        <v>342.83333333343035</v>
      </c>
      <c r="L22" s="83">
        <f>jar_information!G8</f>
        <v>1050.5774088776614</v>
      </c>
      <c r="M22" s="82">
        <f t="shared" si="7"/>
        <v>5.9119539689047524</v>
      </c>
      <c r="N22" s="82">
        <f t="shared" si="8"/>
        <v>10.818875763095697</v>
      </c>
      <c r="O22" s="84">
        <f t="shared" si="2"/>
        <v>2.9506024808442808</v>
      </c>
      <c r="P22" s="85">
        <f t="shared" si="9"/>
        <v>0.81363530488930369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5627.3378039039799</v>
      </c>
      <c r="U22" s="10">
        <f t="shared" si="12"/>
        <v>0.56273378039039801</v>
      </c>
      <c r="V22" s="103">
        <f t="shared" si="13"/>
        <v>8.6065215775696039E-3</v>
      </c>
      <c r="W22" t="s">
        <v>153</v>
      </c>
    </row>
    <row r="23" spans="1:23" x14ac:dyDescent="0.25">
      <c r="A23" s="33" t="s">
        <v>137</v>
      </c>
      <c r="B23" s="77">
        <f t="shared" si="3"/>
        <v>43721.4375</v>
      </c>
      <c r="C23" s="49">
        <v>1</v>
      </c>
      <c r="D23" s="90"/>
      <c r="E23" s="91"/>
      <c r="F23" s="80">
        <f t="shared" si="4"/>
        <v>-1.6519454860992067E-4</v>
      </c>
      <c r="G23" s="80">
        <f t="shared" si="5"/>
        <v>-4.8536036736583643E-4</v>
      </c>
      <c r="H23" s="111">
        <v>0.4375</v>
      </c>
      <c r="I23" s="81">
        <f>jar_information!L9</f>
        <v>43707.416666666664</v>
      </c>
      <c r="J23" s="82">
        <f t="shared" si="1"/>
        <v>14.020833333335759</v>
      </c>
      <c r="K23" s="82">
        <f t="shared" si="6"/>
        <v>336.50000000005821</v>
      </c>
      <c r="L23" s="83">
        <f>jar_information!G9</f>
        <v>1050.5774088776614</v>
      </c>
      <c r="M23" s="82">
        <f t="shared" si="7"/>
        <v>-0.17354966083932533</v>
      </c>
      <c r="N23" s="82">
        <f t="shared" si="8"/>
        <v>-0.31759587933596534</v>
      </c>
      <c r="O23" s="84">
        <f t="shared" si="2"/>
        <v>-8.6617058000717811E-2</v>
      </c>
      <c r="P23" s="85">
        <f t="shared" si="9"/>
        <v>-2.3884849569726866E-2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-165.19454860992067</v>
      </c>
      <c r="U23" s="10">
        <f t="shared" si="12"/>
        <v>-1.6519454860992065E-2</v>
      </c>
      <c r="V23" s="103">
        <f t="shared" si="13"/>
        <v>-2.5740581872422833E-4</v>
      </c>
      <c r="W23" t="s">
        <v>155</v>
      </c>
    </row>
    <row r="24" spans="1:23" x14ac:dyDescent="0.25">
      <c r="A24" s="33" t="s">
        <v>140</v>
      </c>
      <c r="B24" s="77">
        <f t="shared" si="3"/>
        <v>43721.4375</v>
      </c>
      <c r="C24" s="49">
        <v>1</v>
      </c>
      <c r="D24" s="90"/>
      <c r="E24" s="91"/>
      <c r="F24" s="80">
        <f t="shared" si="4"/>
        <v>-1.6519454860992067E-4</v>
      </c>
      <c r="G24" s="80">
        <f t="shared" si="5"/>
        <v>-4.8536036736583643E-4</v>
      </c>
      <c r="H24" s="111">
        <v>0.4375</v>
      </c>
      <c r="I24" s="81">
        <f>jar_information!L10</f>
        <v>43707.416666666664</v>
      </c>
      <c r="J24" s="82">
        <f t="shared" si="1"/>
        <v>14.020833333335759</v>
      </c>
      <c r="K24" s="82">
        <f t="shared" si="6"/>
        <v>336.50000000005821</v>
      </c>
      <c r="L24" s="83">
        <f>jar_information!G10</f>
        <v>1055.454159400779</v>
      </c>
      <c r="M24" s="82">
        <f t="shared" si="7"/>
        <v>-0.17435527344067495</v>
      </c>
      <c r="N24" s="82">
        <f t="shared" si="8"/>
        <v>-0.31907015039643516</v>
      </c>
      <c r="O24" s="84">
        <f t="shared" si="2"/>
        <v>-8.7019131926300494E-2</v>
      </c>
      <c r="P24" s="85">
        <f t="shared" si="9"/>
        <v>-2.3915320551799967E-2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-165.19454860992067</v>
      </c>
      <c r="U24" s="10">
        <f t="shared" si="12"/>
        <v>-1.6519454860992065E-2</v>
      </c>
      <c r="V24" s="103">
        <f t="shared" si="13"/>
        <v>-2.5860068923116031E-4</v>
      </c>
      <c r="W24" t="s">
        <v>155</v>
      </c>
    </row>
    <row r="25" spans="1:23" x14ac:dyDescent="0.25">
      <c r="A25" s="33" t="s">
        <v>138</v>
      </c>
      <c r="B25" s="77">
        <f t="shared" si="3"/>
        <v>43721.4375</v>
      </c>
      <c r="C25" s="49">
        <v>1</v>
      </c>
      <c r="D25" s="90"/>
      <c r="E25" s="91"/>
      <c r="F25" s="80">
        <f t="shared" si="4"/>
        <v>-1.6519454860992067E-4</v>
      </c>
      <c r="G25" s="80">
        <f t="shared" si="5"/>
        <v>-4.8536036736583643E-4</v>
      </c>
      <c r="H25" s="111">
        <v>0.4375</v>
      </c>
      <c r="I25" s="81">
        <f>jar_information!L11</f>
        <v>43707.416666666664</v>
      </c>
      <c r="J25" s="82">
        <f t="shared" si="1"/>
        <v>14.020833333335759</v>
      </c>
      <c r="K25" s="82">
        <f t="shared" si="6"/>
        <v>336.50000000005821</v>
      </c>
      <c r="L25" s="83">
        <f>jar_information!G11</f>
        <v>1021.6154823015972</v>
      </c>
      <c r="M25" s="82">
        <f t="shared" si="7"/>
        <v>-0.16876530845171875</v>
      </c>
      <c r="N25" s="82">
        <f t="shared" si="8"/>
        <v>-0.30884051446664534</v>
      </c>
      <c r="O25" s="84">
        <f t="shared" si="2"/>
        <v>-8.4229231218175993E-2</v>
      </c>
      <c r="P25" s="85">
        <f t="shared" si="9"/>
        <v>-2.3699581853683465E-2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-165.19454860992067</v>
      </c>
      <c r="U25" s="10">
        <f t="shared" si="12"/>
        <v>-1.6519454860992065E-2</v>
      </c>
      <c r="V25" s="103">
        <f t="shared" si="13"/>
        <v>-2.503097510197962E-4</v>
      </c>
      <c r="W25" t="s">
        <v>155</v>
      </c>
    </row>
    <row r="26" spans="1:23" x14ac:dyDescent="0.25">
      <c r="A26" s="33" t="s">
        <v>141</v>
      </c>
      <c r="B26" s="77">
        <f t="shared" si="3"/>
        <v>43721.4375</v>
      </c>
      <c r="C26" s="49">
        <v>1</v>
      </c>
      <c r="D26" s="90"/>
      <c r="E26" s="91"/>
      <c r="F26" s="80">
        <f t="shared" si="4"/>
        <v>-1.6519454860992067E-4</v>
      </c>
      <c r="G26" s="80">
        <f t="shared" si="5"/>
        <v>-4.8536036736583643E-4</v>
      </c>
      <c r="H26" s="111">
        <v>0.4375</v>
      </c>
      <c r="I26" s="81">
        <f>jar_information!L12</f>
        <v>43707.416666666664</v>
      </c>
      <c r="J26" s="82">
        <f t="shared" si="1"/>
        <v>14.020833333335759</v>
      </c>
      <c r="K26" s="82">
        <f t="shared" si="6"/>
        <v>336.50000000005821</v>
      </c>
      <c r="L26" s="83">
        <f>jar_information!G12</f>
        <v>1045.7149806761979</v>
      </c>
      <c r="M26" s="82">
        <f t="shared" si="7"/>
        <v>-0.17274641420743642</v>
      </c>
      <c r="N26" s="82">
        <f t="shared" si="8"/>
        <v>-0.31612593799960864</v>
      </c>
      <c r="O26" s="84">
        <f t="shared" si="2"/>
        <v>-8.6216164908984164E-2</v>
      </c>
      <c r="P26" s="85">
        <f t="shared" si="9"/>
        <v>-2.3854263409142696E-2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-165.19454860992067</v>
      </c>
      <c r="U26" s="10">
        <f t="shared" si="12"/>
        <v>-1.6519454860992065E-2</v>
      </c>
      <c r="V26" s="103">
        <f t="shared" si="13"/>
        <v>-2.5621445738178083E-4</v>
      </c>
      <c r="W26" t="s">
        <v>155</v>
      </c>
    </row>
    <row r="27" spans="1:23" x14ac:dyDescent="0.25">
      <c r="A27" s="33" t="s">
        <v>139</v>
      </c>
      <c r="B27" s="77">
        <f t="shared" si="3"/>
        <v>43721.4375</v>
      </c>
      <c r="C27" s="49">
        <v>1</v>
      </c>
      <c r="D27" s="90"/>
      <c r="E27" s="91"/>
      <c r="F27" s="80">
        <f t="shared" si="4"/>
        <v>-1.6519454860992067E-4</v>
      </c>
      <c r="G27" s="80">
        <f t="shared" si="5"/>
        <v>-4.8536036736583643E-4</v>
      </c>
      <c r="H27" s="111">
        <v>0.4375</v>
      </c>
      <c r="I27" s="81">
        <f>jar_information!L13</f>
        <v>43707.416666666664</v>
      </c>
      <c r="J27" s="82">
        <f t="shared" si="1"/>
        <v>14.020833333335759</v>
      </c>
      <c r="K27" s="82">
        <f t="shared" si="6"/>
        <v>336.50000000005821</v>
      </c>
      <c r="L27" s="83">
        <f>jar_information!G13</f>
        <v>1040.8668117949733</v>
      </c>
      <c r="M27" s="82">
        <f t="shared" si="7"/>
        <v>-0.17194552313751785</v>
      </c>
      <c r="N27" s="82">
        <f t="shared" si="8"/>
        <v>-0.31466030734165767</v>
      </c>
      <c r="O27" s="84">
        <f t="shared" si="2"/>
        <v>-8.5816447456815728E-2</v>
      </c>
      <c r="P27" s="85">
        <f t="shared" si="9"/>
        <v>-2.382356141575892E-2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-165.19454860992067</v>
      </c>
      <c r="U27" s="10">
        <f t="shared" si="12"/>
        <v>-1.6519454860992065E-2</v>
      </c>
      <c r="V27" s="103">
        <f t="shared" si="13"/>
        <v>-2.5502658976761034E-4</v>
      </c>
      <c r="W27" t="s">
        <v>155</v>
      </c>
    </row>
    <row r="28" spans="1:23" x14ac:dyDescent="0.25">
      <c r="A28" s="33" t="s">
        <v>142</v>
      </c>
      <c r="B28" s="77">
        <f t="shared" si="3"/>
        <v>43721.4375</v>
      </c>
      <c r="C28" s="49">
        <v>1</v>
      </c>
      <c r="D28" s="90"/>
      <c r="E28" s="91"/>
      <c r="F28" s="80">
        <f t="shared" si="4"/>
        <v>-1.6519454860992067E-4</v>
      </c>
      <c r="G28" s="80">
        <f t="shared" si="5"/>
        <v>-4.8536036736583643E-4</v>
      </c>
      <c r="H28" s="111">
        <v>0.4375</v>
      </c>
      <c r="I28" s="81">
        <f>jar_information!L14</f>
        <v>43707.416666666664</v>
      </c>
      <c r="J28" s="82">
        <f t="shared" si="1"/>
        <v>14.020833333335759</v>
      </c>
      <c r="K28" s="82">
        <f t="shared" si="6"/>
        <v>336.50000000005821</v>
      </c>
      <c r="L28" s="83">
        <f>jar_information!G14</f>
        <v>1050.5774088776614</v>
      </c>
      <c r="M28" s="82">
        <f t="shared" si="7"/>
        <v>-0.17354966083932533</v>
      </c>
      <c r="N28" s="82">
        <f t="shared" si="8"/>
        <v>-0.31759587933596534</v>
      </c>
      <c r="O28" s="84">
        <f t="shared" si="2"/>
        <v>-8.6617058000717811E-2</v>
      </c>
      <c r="P28" s="85">
        <f t="shared" si="9"/>
        <v>-2.3884849569726866E-2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-165.19454860992067</v>
      </c>
      <c r="U28" s="10">
        <f t="shared" si="12"/>
        <v>-1.6519454860992065E-2</v>
      </c>
      <c r="V28" s="103">
        <f t="shared" si="13"/>
        <v>-2.5740581872422833E-4</v>
      </c>
      <c r="W28" t="s">
        <v>156</v>
      </c>
    </row>
  </sheetData>
  <conditionalFormatting sqref="O17:O28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43724</v>
      </c>
      <c r="C3" s="58">
        <v>2992</v>
      </c>
      <c r="D3" s="47">
        <v>1757.6</v>
      </c>
      <c r="E3" s="59">
        <v>446.66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43724</v>
      </c>
      <c r="C4" s="58">
        <v>2992</v>
      </c>
      <c r="D4" s="59">
        <v>1560.5</v>
      </c>
      <c r="E4" s="59">
        <v>424.54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43724</v>
      </c>
      <c r="C5" s="58">
        <v>2992</v>
      </c>
      <c r="D5" s="47">
        <v>1425.4</v>
      </c>
      <c r="E5" s="59">
        <v>375.87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43724</v>
      </c>
      <c r="C6" s="58">
        <v>2992</v>
      </c>
      <c r="D6" s="59">
        <v>1248.4000000000001</v>
      </c>
      <c r="E6" s="59">
        <v>322.16000000000003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43724</v>
      </c>
      <c r="C7" s="58">
        <v>2992</v>
      </c>
      <c r="D7" s="47">
        <v>1113.7</v>
      </c>
      <c r="E7" s="59">
        <v>288.89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43724</v>
      </c>
      <c r="C8" s="58">
        <v>2992</v>
      </c>
      <c r="D8" s="59">
        <v>899.39</v>
      </c>
      <c r="E8" s="59">
        <v>245.66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43724</v>
      </c>
      <c r="C9" s="58">
        <v>2992</v>
      </c>
      <c r="D9" s="47">
        <v>753.54</v>
      </c>
      <c r="E9" s="59">
        <v>211.1</v>
      </c>
      <c r="F9" s="60">
        <f t="shared" si="0"/>
        <v>5.984</v>
      </c>
      <c r="G9" s="63" t="s">
        <v>75</v>
      </c>
      <c r="H9" s="63"/>
      <c r="I9" s="64">
        <f>SLOPE(F3:F14,D3:D14)</f>
        <v>8.481219117081551E-3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43724</v>
      </c>
      <c r="C10" s="58">
        <v>2992</v>
      </c>
      <c r="D10" s="47">
        <v>547.85</v>
      </c>
      <c r="E10" s="59">
        <v>145.19999999999999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-0.24224794563121144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43724</v>
      </c>
      <c r="C11" s="58">
        <v>2992</v>
      </c>
      <c r="D11" s="47">
        <v>413.41</v>
      </c>
      <c r="E11" s="59">
        <v>116.56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43724</v>
      </c>
      <c r="C12" s="58">
        <v>2992</v>
      </c>
      <c r="D12" s="65">
        <v>153.88999999999999</v>
      </c>
      <c r="E12" s="65">
        <v>46.024999999999999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3.2801155128679656E-2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43724</v>
      </c>
      <c r="C13" s="58">
        <v>2992</v>
      </c>
      <c r="D13" s="65">
        <v>68.814999999999998</v>
      </c>
      <c r="E13" s="65">
        <v>22.097000000000001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-0.45339674246357919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43724</v>
      </c>
      <c r="C14" s="58">
        <v>2992</v>
      </c>
      <c r="D14" s="65">
        <v>31.138999999999999</v>
      </c>
      <c r="E14" s="65">
        <v>11.314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43724.4375</v>
      </c>
      <c r="C17" s="49">
        <v>1</v>
      </c>
      <c r="D17" s="78"/>
      <c r="E17" s="79"/>
      <c r="F17" s="80">
        <f>((I$9*D17)+I$10)/C17/1000</f>
        <v>-2.4224794563121142E-4</v>
      </c>
      <c r="G17" s="80">
        <f>((I$12*E17)+I$13)/C17/1000</f>
        <v>-4.5339674246357918E-4</v>
      </c>
      <c r="H17" s="111">
        <v>0.4375</v>
      </c>
      <c r="I17" s="81">
        <f>jar_information!L3</f>
        <v>43707.416666666664</v>
      </c>
      <c r="J17" s="82">
        <f t="shared" ref="J17:J28" si="1">B17-I17</f>
        <v>17.020833333335759</v>
      </c>
      <c r="K17" s="82">
        <f>J17*24</f>
        <v>408.50000000005821</v>
      </c>
      <c r="L17" s="83">
        <f>jar_information!G3</f>
        <v>1050.5774088776614</v>
      </c>
      <c r="M17" s="82">
        <f>F17*L17</f>
        <v>-0.25450021902717468</v>
      </c>
      <c r="N17" s="82">
        <f>M17*1.83</f>
        <v>-0.46573540081972969</v>
      </c>
      <c r="O17" s="84">
        <f t="shared" ref="O17:O28" si="2">N17*(12/(12+(16*2)))</f>
        <v>-0.12701874567810809</v>
      </c>
      <c r="P17" s="85">
        <f>O17*(400/(400+L17))</f>
        <v>-3.5025706287921538E-2</v>
      </c>
      <c r="Q17" s="86"/>
      <c r="R17" s="86">
        <f>Q17/314.7</f>
        <v>0</v>
      </c>
      <c r="S17" s="86">
        <f>R17/P17*100</f>
        <v>0</v>
      </c>
      <c r="T17" s="87">
        <f>F17*1000000</f>
        <v>-242.24794563121142</v>
      </c>
      <c r="U17" s="10">
        <f>M17/L17*100</f>
        <v>-2.4224794563121141E-2</v>
      </c>
      <c r="V17" s="103">
        <f>O17/K17</f>
        <v>-3.1093940190474905E-4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43724.4375</v>
      </c>
      <c r="C18" s="49">
        <v>1</v>
      </c>
      <c r="D18" s="88"/>
      <c r="E18" s="89"/>
      <c r="F18" s="80">
        <f t="shared" ref="F18:F28" si="4">((I$9*D18)+I$10)/C18/1000</f>
        <v>-2.4224794563121142E-4</v>
      </c>
      <c r="G18" s="80">
        <f t="shared" ref="G18:G28" si="5">((I$12*E18)+I$13)/C18/1000</f>
        <v>-4.5339674246357918E-4</v>
      </c>
      <c r="H18" s="111">
        <v>0.4375</v>
      </c>
      <c r="I18" s="81">
        <f>jar_information!L4</f>
        <v>43707.416666666664</v>
      </c>
      <c r="J18" s="82">
        <f t="shared" si="1"/>
        <v>17.020833333335759</v>
      </c>
      <c r="K18" s="82">
        <f t="shared" ref="K18:K28" si="6">J18*24</f>
        <v>408.50000000005821</v>
      </c>
      <c r="L18" s="83">
        <f>jar_information!G4</f>
        <v>1050.5774088776614</v>
      </c>
      <c r="M18" s="82">
        <f t="shared" ref="M18:M28" si="7">F18*L18</f>
        <v>-0.25450021902717468</v>
      </c>
      <c r="N18" s="82">
        <f t="shared" ref="N18:N28" si="8">M18*1.83</f>
        <v>-0.46573540081972969</v>
      </c>
      <c r="O18" s="84">
        <f t="shared" si="2"/>
        <v>-0.12701874567810809</v>
      </c>
      <c r="P18" s="85">
        <f t="shared" ref="P18:P28" si="9">O18*(400/(400+L18))</f>
        <v>-3.5025706287921538E-2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-242.24794563121142</v>
      </c>
      <c r="U18" s="10">
        <f t="shared" ref="U18:U28" si="12">M18/L18*100</f>
        <v>-2.4224794563121141E-2</v>
      </c>
      <c r="V18" s="103">
        <f t="shared" ref="V18:V28" si="13">O18/K18</f>
        <v>-3.1093940190474905E-4</v>
      </c>
      <c r="W18" t="s">
        <v>154</v>
      </c>
    </row>
    <row r="19" spans="1:23" x14ac:dyDescent="0.25">
      <c r="A19" s="33" t="s">
        <v>134</v>
      </c>
      <c r="B19" s="77">
        <f t="shared" si="3"/>
        <v>43724.701388888891</v>
      </c>
      <c r="C19" s="49">
        <v>1</v>
      </c>
      <c r="D19" s="90"/>
      <c r="E19" s="91"/>
      <c r="F19" s="80">
        <f t="shared" si="4"/>
        <v>-2.4224794563121142E-4</v>
      </c>
      <c r="G19" s="80">
        <f t="shared" si="5"/>
        <v>-4.5339674246357918E-4</v>
      </c>
      <c r="H19" s="111">
        <v>0.70138888888888884</v>
      </c>
      <c r="I19" s="81">
        <f>jar_information!L5</f>
        <v>43707.416666666664</v>
      </c>
      <c r="J19" s="82">
        <f t="shared" si="1"/>
        <v>17.284722222226264</v>
      </c>
      <c r="K19" s="82">
        <f t="shared" si="6"/>
        <v>414.83333333343035</v>
      </c>
      <c r="L19" s="83">
        <f>jar_information!G5</f>
        <v>1050.5774088776614</v>
      </c>
      <c r="M19" s="82">
        <f t="shared" si="7"/>
        <v>-0.25450021902717468</v>
      </c>
      <c r="N19" s="82">
        <f t="shared" si="8"/>
        <v>-0.46573540081972969</v>
      </c>
      <c r="O19" s="84">
        <f t="shared" si="2"/>
        <v>-0.12701874567810809</v>
      </c>
      <c r="P19" s="85">
        <f t="shared" si="9"/>
        <v>-3.5025706287921538E-2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-242.24794563121142</v>
      </c>
      <c r="U19" s="10">
        <f t="shared" si="12"/>
        <v>-2.4224794563121141E-2</v>
      </c>
      <c r="V19" s="103">
        <f t="shared" si="13"/>
        <v>-3.0619223546342718E-4</v>
      </c>
      <c r="W19" s="115" t="s">
        <v>157</v>
      </c>
    </row>
    <row r="20" spans="1:23" x14ac:dyDescent="0.25">
      <c r="A20" s="33" t="s">
        <v>135</v>
      </c>
      <c r="B20" s="77">
        <f t="shared" si="3"/>
        <v>43724.701388888891</v>
      </c>
      <c r="C20" s="49">
        <v>1</v>
      </c>
      <c r="D20" s="90"/>
      <c r="E20" s="91"/>
      <c r="F20" s="80">
        <f t="shared" si="4"/>
        <v>-2.4224794563121142E-4</v>
      </c>
      <c r="G20" s="80">
        <f t="shared" si="5"/>
        <v>-4.5339674246357918E-4</v>
      </c>
      <c r="H20" s="111">
        <v>0.70138888888888884</v>
      </c>
      <c r="I20" s="81">
        <f>jar_information!L6</f>
        <v>43707.416666666664</v>
      </c>
      <c r="J20" s="82">
        <f t="shared" si="1"/>
        <v>17.284722222226264</v>
      </c>
      <c r="K20" s="82">
        <f t="shared" si="6"/>
        <v>414.83333333343035</v>
      </c>
      <c r="L20" s="83">
        <f>jar_information!G6</f>
        <v>1055.454159400779</v>
      </c>
      <c r="M20" s="82">
        <f t="shared" si="7"/>
        <v>-0.25568160182275584</v>
      </c>
      <c r="N20" s="82">
        <f t="shared" si="8"/>
        <v>-0.46789733133564321</v>
      </c>
      <c r="O20" s="84">
        <f t="shared" si="2"/>
        <v>-0.12760836309153906</v>
      </c>
      <c r="P20" s="85">
        <f t="shared" si="9"/>
        <v>-3.5070390164421622E-2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-242.24794563121142</v>
      </c>
      <c r="U20" s="10">
        <f t="shared" si="12"/>
        <v>-2.4224794563121141E-2</v>
      </c>
      <c r="V20" s="103">
        <f t="shared" si="13"/>
        <v>-3.076135711326056E-4</v>
      </c>
      <c r="W20" s="115" t="s">
        <v>157</v>
      </c>
    </row>
    <row r="21" spans="1:23" x14ac:dyDescent="0.25">
      <c r="A21" s="33" t="s">
        <v>136</v>
      </c>
      <c r="B21" s="77">
        <f t="shared" si="3"/>
        <v>43724.701388888891</v>
      </c>
      <c r="C21" s="49">
        <v>1</v>
      </c>
      <c r="D21" s="90">
        <v>532.48</v>
      </c>
      <c r="E21" s="91">
        <v>145.43</v>
      </c>
      <c r="F21" s="80">
        <f t="shared" si="4"/>
        <v>4.2738316098323726E-3</v>
      </c>
      <c r="G21" s="80">
        <f t="shared" si="5"/>
        <v>4.3168752479003031E-3</v>
      </c>
      <c r="H21" s="111">
        <v>0.70138888888888884</v>
      </c>
      <c r="I21" s="81">
        <f>jar_information!L7</f>
        <v>43707.416666666664</v>
      </c>
      <c r="J21" s="82">
        <f t="shared" si="1"/>
        <v>17.284722222226264</v>
      </c>
      <c r="K21" s="82">
        <f t="shared" si="6"/>
        <v>414.83333333343035</v>
      </c>
      <c r="L21" s="83">
        <f>jar_information!G7</f>
        <v>1065.2508812788285</v>
      </c>
      <c r="M21" s="82">
        <f t="shared" si="7"/>
        <v>4.5527028888112495</v>
      </c>
      <c r="N21" s="82">
        <f t="shared" si="8"/>
        <v>8.3314462865245869</v>
      </c>
      <c r="O21" s="84">
        <f t="shared" si="2"/>
        <v>2.2722126235976146</v>
      </c>
      <c r="P21" s="85">
        <f t="shared" si="9"/>
        <v>0.62029312594290842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4273.831609832373</v>
      </c>
      <c r="U21" s="10">
        <f t="shared" si="12"/>
        <v>0.42738316098323725</v>
      </c>
      <c r="V21" s="103">
        <f t="shared" si="13"/>
        <v>5.4774109046132977E-3</v>
      </c>
    </row>
    <row r="22" spans="1:23" x14ac:dyDescent="0.25">
      <c r="A22" s="33" t="s">
        <v>145</v>
      </c>
      <c r="B22" s="77">
        <f t="shared" si="3"/>
        <v>43724.701388888891</v>
      </c>
      <c r="C22" s="49">
        <v>1</v>
      </c>
      <c r="D22" s="90">
        <v>835.06</v>
      </c>
      <c r="E22" s="91">
        <v>217.52</v>
      </c>
      <c r="F22" s="80">
        <f t="shared" si="4"/>
        <v>6.8400788902789082E-3</v>
      </c>
      <c r="G22" s="80">
        <f t="shared" si="5"/>
        <v>6.6815105211268204E-3</v>
      </c>
      <c r="H22" s="111">
        <v>0.70138888888888884</v>
      </c>
      <c r="I22" s="81">
        <f>jar_information!L8</f>
        <v>43707.416666666664</v>
      </c>
      <c r="J22" s="82">
        <f t="shared" si="1"/>
        <v>17.284722222226264</v>
      </c>
      <c r="K22" s="82">
        <f t="shared" si="6"/>
        <v>414.83333333343035</v>
      </c>
      <c r="L22" s="83">
        <f>jar_information!G8</f>
        <v>1050.5774088776614</v>
      </c>
      <c r="M22" s="82">
        <f t="shared" si="7"/>
        <v>7.1860323570680045</v>
      </c>
      <c r="N22" s="82">
        <f t="shared" si="8"/>
        <v>13.150439213434449</v>
      </c>
      <c r="O22" s="84">
        <f t="shared" si="2"/>
        <v>3.5864834218457586</v>
      </c>
      <c r="P22" s="85">
        <f t="shared" si="9"/>
        <v>0.98898091198612748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6840.0788902789081</v>
      </c>
      <c r="U22" s="10">
        <f t="shared" si="12"/>
        <v>0.68400788902789078</v>
      </c>
      <c r="V22" s="103">
        <f t="shared" si="13"/>
        <v>8.645600856195066E-3</v>
      </c>
      <c r="W22" t="s">
        <v>153</v>
      </c>
    </row>
    <row r="23" spans="1:23" x14ac:dyDescent="0.25">
      <c r="A23" s="33" t="s">
        <v>137</v>
      </c>
      <c r="B23" s="77">
        <f t="shared" si="3"/>
        <v>43724.4375</v>
      </c>
      <c r="C23" s="49">
        <v>1</v>
      </c>
      <c r="D23" s="90"/>
      <c r="E23" s="91"/>
      <c r="F23" s="80">
        <f t="shared" si="4"/>
        <v>-2.4224794563121142E-4</v>
      </c>
      <c r="G23" s="80">
        <f t="shared" si="5"/>
        <v>-4.5339674246357918E-4</v>
      </c>
      <c r="H23" s="111">
        <v>0.4375</v>
      </c>
      <c r="I23" s="81">
        <f>jar_information!L9</f>
        <v>43707.416666666664</v>
      </c>
      <c r="J23" s="82">
        <f t="shared" si="1"/>
        <v>17.020833333335759</v>
      </c>
      <c r="K23" s="82">
        <f t="shared" si="6"/>
        <v>408.50000000005821</v>
      </c>
      <c r="L23" s="83">
        <f>jar_information!G9</f>
        <v>1050.5774088776614</v>
      </c>
      <c r="M23" s="82">
        <f t="shared" si="7"/>
        <v>-0.25450021902717468</v>
      </c>
      <c r="N23" s="82">
        <f t="shared" si="8"/>
        <v>-0.46573540081972969</v>
      </c>
      <c r="O23" s="84">
        <f t="shared" si="2"/>
        <v>-0.12701874567810809</v>
      </c>
      <c r="P23" s="85">
        <f t="shared" si="9"/>
        <v>-3.5025706287921538E-2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-242.24794563121142</v>
      </c>
      <c r="U23" s="10">
        <f t="shared" si="12"/>
        <v>-2.4224794563121141E-2</v>
      </c>
      <c r="V23" s="103">
        <f t="shared" si="13"/>
        <v>-3.1093940190474905E-4</v>
      </c>
      <c r="W23" t="s">
        <v>155</v>
      </c>
    </row>
    <row r="24" spans="1:23" x14ac:dyDescent="0.25">
      <c r="A24" s="33" t="s">
        <v>140</v>
      </c>
      <c r="B24" s="77">
        <f t="shared" si="3"/>
        <v>43724.4375</v>
      </c>
      <c r="C24" s="49">
        <v>1</v>
      </c>
      <c r="D24" s="90"/>
      <c r="E24" s="91"/>
      <c r="F24" s="80">
        <f t="shared" si="4"/>
        <v>-2.4224794563121142E-4</v>
      </c>
      <c r="G24" s="80">
        <f t="shared" si="5"/>
        <v>-4.5339674246357918E-4</v>
      </c>
      <c r="H24" s="111">
        <v>0.4375</v>
      </c>
      <c r="I24" s="81">
        <f>jar_information!L10</f>
        <v>43707.416666666664</v>
      </c>
      <c r="J24" s="82">
        <f t="shared" si="1"/>
        <v>17.020833333335759</v>
      </c>
      <c r="K24" s="82">
        <f t="shared" si="6"/>
        <v>408.50000000005821</v>
      </c>
      <c r="L24" s="83">
        <f>jar_information!G10</f>
        <v>1055.454159400779</v>
      </c>
      <c r="M24" s="82">
        <f t="shared" si="7"/>
        <v>-0.25568160182275584</v>
      </c>
      <c r="N24" s="82">
        <f t="shared" si="8"/>
        <v>-0.46789733133564321</v>
      </c>
      <c r="O24" s="84">
        <f t="shared" si="2"/>
        <v>-0.12760836309153906</v>
      </c>
      <c r="P24" s="85">
        <f t="shared" si="9"/>
        <v>-3.5070390164421622E-2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-242.24794563121142</v>
      </c>
      <c r="U24" s="10">
        <f t="shared" si="12"/>
        <v>-2.4224794563121141E-2</v>
      </c>
      <c r="V24" s="103">
        <f t="shared" si="13"/>
        <v>-3.1238277378585282E-4</v>
      </c>
      <c r="W24" t="s">
        <v>155</v>
      </c>
    </row>
    <row r="25" spans="1:23" x14ac:dyDescent="0.25">
      <c r="A25" s="33" t="s">
        <v>138</v>
      </c>
      <c r="B25" s="77">
        <f t="shared" si="3"/>
        <v>43724.4375</v>
      </c>
      <c r="C25" s="49">
        <v>1</v>
      </c>
      <c r="D25" s="90"/>
      <c r="E25" s="91"/>
      <c r="F25" s="80">
        <f t="shared" si="4"/>
        <v>-2.4224794563121142E-4</v>
      </c>
      <c r="G25" s="80">
        <f t="shared" si="5"/>
        <v>-4.5339674246357918E-4</v>
      </c>
      <c r="H25" s="111">
        <v>0.4375</v>
      </c>
      <c r="I25" s="81">
        <f>jar_information!L11</f>
        <v>43707.416666666664</v>
      </c>
      <c r="J25" s="82">
        <f t="shared" si="1"/>
        <v>17.020833333335759</v>
      </c>
      <c r="K25" s="82">
        <f t="shared" si="6"/>
        <v>408.50000000005821</v>
      </c>
      <c r="L25" s="83">
        <f>jar_information!G11</f>
        <v>1021.6154823015972</v>
      </c>
      <c r="M25" s="82">
        <f t="shared" si="7"/>
        <v>-0.24748425181260117</v>
      </c>
      <c r="N25" s="82">
        <f t="shared" si="8"/>
        <v>-0.45289618081706018</v>
      </c>
      <c r="O25" s="84">
        <f t="shared" si="2"/>
        <v>-0.12351714022283458</v>
      </c>
      <c r="P25" s="85">
        <f t="shared" si="9"/>
        <v>-3.4754022240348757E-2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-242.24794563121142</v>
      </c>
      <c r="U25" s="10">
        <f t="shared" si="12"/>
        <v>-2.4224794563121141E-2</v>
      </c>
      <c r="V25" s="103">
        <f t="shared" si="13"/>
        <v>-3.0236754032513338E-4</v>
      </c>
      <c r="W25" t="s">
        <v>155</v>
      </c>
    </row>
    <row r="26" spans="1:23" x14ac:dyDescent="0.25">
      <c r="A26" s="33" t="s">
        <v>141</v>
      </c>
      <c r="B26" s="77">
        <f t="shared" si="3"/>
        <v>43724.4375</v>
      </c>
      <c r="C26" s="49">
        <v>1</v>
      </c>
      <c r="D26" s="90"/>
      <c r="E26" s="91"/>
      <c r="F26" s="80">
        <f t="shared" si="4"/>
        <v>-2.4224794563121142E-4</v>
      </c>
      <c r="G26" s="80">
        <f t="shared" si="5"/>
        <v>-4.5339674246357918E-4</v>
      </c>
      <c r="H26" s="111">
        <v>0.4375</v>
      </c>
      <c r="I26" s="81">
        <f>jar_information!L12</f>
        <v>43707.416666666664</v>
      </c>
      <c r="J26" s="82">
        <f t="shared" si="1"/>
        <v>17.020833333335759</v>
      </c>
      <c r="K26" s="82">
        <f t="shared" si="6"/>
        <v>408.50000000005821</v>
      </c>
      <c r="L26" s="83">
        <f>jar_information!G12</f>
        <v>1045.7149806761979</v>
      </c>
      <c r="M26" s="82">
        <f t="shared" si="7"/>
        <v>-0.25332230578459092</v>
      </c>
      <c r="N26" s="82">
        <f t="shared" si="8"/>
        <v>-0.46357981958580141</v>
      </c>
      <c r="O26" s="84">
        <f t="shared" si="2"/>
        <v>-0.12643085988703673</v>
      </c>
      <c r="P26" s="85">
        <f t="shared" si="9"/>
        <v>-3.4980853509009577E-2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-242.24794563121142</v>
      </c>
      <c r="U26" s="10">
        <f t="shared" si="12"/>
        <v>-2.4224794563121144E-2</v>
      </c>
      <c r="V26" s="103">
        <f t="shared" si="13"/>
        <v>-3.0950026900126981E-4</v>
      </c>
      <c r="W26" t="s">
        <v>155</v>
      </c>
    </row>
    <row r="27" spans="1:23" x14ac:dyDescent="0.25">
      <c r="A27" s="33" t="s">
        <v>139</v>
      </c>
      <c r="B27" s="77">
        <f t="shared" si="3"/>
        <v>43724.4375</v>
      </c>
      <c r="C27" s="49">
        <v>1</v>
      </c>
      <c r="D27" s="90"/>
      <c r="E27" s="91"/>
      <c r="F27" s="80">
        <f t="shared" si="4"/>
        <v>-2.4224794563121142E-4</v>
      </c>
      <c r="G27" s="80">
        <f t="shared" si="5"/>
        <v>-4.5339674246357918E-4</v>
      </c>
      <c r="H27" s="111">
        <v>0.4375</v>
      </c>
      <c r="I27" s="81">
        <f>jar_information!L13</f>
        <v>43707.416666666664</v>
      </c>
      <c r="J27" s="82">
        <f t="shared" si="1"/>
        <v>17.020833333335759</v>
      </c>
      <c r="K27" s="82">
        <f t="shared" si="6"/>
        <v>408.50000000005821</v>
      </c>
      <c r="L27" s="83">
        <f>jar_information!G13</f>
        <v>1040.8668117949733</v>
      </c>
      <c r="M27" s="82">
        <f t="shared" si="7"/>
        <v>-0.25214784683304103</v>
      </c>
      <c r="N27" s="82">
        <f t="shared" si="8"/>
        <v>-0.46143055970446512</v>
      </c>
      <c r="O27" s="84">
        <f t="shared" si="2"/>
        <v>-0.12584469810121776</v>
      </c>
      <c r="P27" s="85">
        <f t="shared" si="9"/>
        <v>-3.4935830868210664E-2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-242.24794563121142</v>
      </c>
      <c r="U27" s="10">
        <f t="shared" si="12"/>
        <v>-2.4224794563121141E-2</v>
      </c>
      <c r="V27" s="103">
        <f t="shared" si="13"/>
        <v>-3.0806535642888575E-4</v>
      </c>
      <c r="W27" t="s">
        <v>155</v>
      </c>
    </row>
    <row r="28" spans="1:23" x14ac:dyDescent="0.25">
      <c r="A28" s="33" t="s">
        <v>142</v>
      </c>
      <c r="B28" s="77">
        <f t="shared" si="3"/>
        <v>43724.4375</v>
      </c>
      <c r="C28" s="49">
        <v>1</v>
      </c>
      <c r="D28" s="90"/>
      <c r="E28" s="91"/>
      <c r="F28" s="80">
        <f t="shared" si="4"/>
        <v>-2.4224794563121142E-4</v>
      </c>
      <c r="G28" s="80">
        <f t="shared" si="5"/>
        <v>-4.5339674246357918E-4</v>
      </c>
      <c r="H28" s="111">
        <v>0.4375</v>
      </c>
      <c r="I28" s="81">
        <f>jar_information!L14</f>
        <v>43707.416666666664</v>
      </c>
      <c r="J28" s="82">
        <f t="shared" si="1"/>
        <v>17.020833333335759</v>
      </c>
      <c r="K28" s="82">
        <f t="shared" si="6"/>
        <v>408.50000000005821</v>
      </c>
      <c r="L28" s="83">
        <f>jar_information!G14</f>
        <v>1050.5774088776614</v>
      </c>
      <c r="M28" s="82">
        <f t="shared" si="7"/>
        <v>-0.25450021902717468</v>
      </c>
      <c r="N28" s="82">
        <f t="shared" si="8"/>
        <v>-0.46573540081972969</v>
      </c>
      <c r="O28" s="84">
        <f t="shared" si="2"/>
        <v>-0.12701874567810809</v>
      </c>
      <c r="P28" s="85">
        <f t="shared" si="9"/>
        <v>-3.5025706287921538E-2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-242.24794563121142</v>
      </c>
      <c r="U28" s="10">
        <f t="shared" si="12"/>
        <v>-2.4224794563121141E-2</v>
      </c>
      <c r="V28" s="103">
        <f t="shared" si="13"/>
        <v>-3.1093940190474905E-4</v>
      </c>
      <c r="W28" t="s">
        <v>156</v>
      </c>
    </row>
  </sheetData>
  <conditionalFormatting sqref="O17:O28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40625" defaultRowHeight="15" x14ac:dyDescent="0.25"/>
  <cols>
    <col min="1" max="1" width="5.5703125" customWidth="1"/>
    <col min="2" max="2" width="12.7109375" customWidth="1"/>
    <col min="3" max="3" width="10.85546875" bestFit="1" customWidth="1"/>
    <col min="4" max="4" width="13.7109375" bestFit="1" customWidth="1"/>
    <col min="5" max="5" width="10.7109375" customWidth="1"/>
    <col min="6" max="6" width="9.85546875" customWidth="1"/>
    <col min="7" max="7" width="15.140625" customWidth="1"/>
    <col min="8" max="8" width="9" customWidth="1"/>
  </cols>
  <sheetData>
    <row r="1" spans="1:13" x14ac:dyDescent="0.25">
      <c r="A1" s="172" t="s">
        <v>5</v>
      </c>
      <c r="B1" s="171" t="s">
        <v>1</v>
      </c>
      <c r="C1" s="171" t="s">
        <v>0</v>
      </c>
      <c r="D1" s="171" t="s">
        <v>2</v>
      </c>
      <c r="E1" s="171" t="s">
        <v>3</v>
      </c>
      <c r="F1" s="171" t="s">
        <v>4</v>
      </c>
      <c r="G1" s="171" t="s">
        <v>126</v>
      </c>
      <c r="H1" s="171" t="s">
        <v>4</v>
      </c>
      <c r="I1" s="171" t="s">
        <v>127</v>
      </c>
      <c r="J1" s="171"/>
      <c r="K1" s="171" t="s">
        <v>129</v>
      </c>
      <c r="L1" s="171" t="s">
        <v>130</v>
      </c>
      <c r="M1" s="171"/>
    </row>
    <row r="2" spans="1:13" x14ac:dyDescent="0.25">
      <c r="A2" s="173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</row>
    <row r="3" spans="1:13" x14ac:dyDescent="0.25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 x14ac:dyDescent="0.25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 x14ac:dyDescent="0.25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 x14ac:dyDescent="0.25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 x14ac:dyDescent="0.25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 x14ac:dyDescent="0.25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 x14ac:dyDescent="0.25">
      <c r="A9" s="1"/>
      <c r="B9" s="1"/>
      <c r="C9" s="2"/>
      <c r="D9" s="3"/>
      <c r="E9" s="4"/>
      <c r="F9" s="1"/>
      <c r="G9" s="1"/>
      <c r="H9" s="1"/>
      <c r="I9" s="1"/>
    </row>
    <row r="10" spans="1:13" x14ac:dyDescent="0.25">
      <c r="A10" s="1"/>
      <c r="B10" s="1"/>
      <c r="C10" s="2"/>
      <c r="D10" s="3"/>
      <c r="E10" s="4"/>
      <c r="F10" s="1"/>
      <c r="G10" s="1"/>
      <c r="H10" s="1"/>
      <c r="I10" s="1"/>
    </row>
    <row r="11" spans="1:13" x14ac:dyDescent="0.25">
      <c r="A11" s="1"/>
      <c r="B11" s="1"/>
      <c r="C11" s="2"/>
      <c r="D11" s="3"/>
      <c r="E11" s="4"/>
      <c r="F11" s="1"/>
      <c r="G11" s="1"/>
      <c r="H11" s="1"/>
      <c r="I11" s="1"/>
    </row>
    <row r="12" spans="1:13" x14ac:dyDescent="0.25">
      <c r="A12" s="1"/>
      <c r="B12" s="1"/>
      <c r="C12" s="2"/>
      <c r="D12" s="3"/>
      <c r="E12" s="4"/>
      <c r="F12" s="1"/>
      <c r="G12" s="1"/>
      <c r="H12" s="1"/>
      <c r="I12" s="1"/>
    </row>
    <row r="13" spans="1:13" x14ac:dyDescent="0.25">
      <c r="A13" s="1"/>
      <c r="B13" s="1"/>
      <c r="C13" s="2"/>
      <c r="D13" s="3"/>
      <c r="E13" s="4"/>
      <c r="F13" s="1"/>
      <c r="G13" s="1"/>
      <c r="H13" s="1"/>
      <c r="I13" s="1"/>
    </row>
    <row r="14" spans="1:13" x14ac:dyDescent="0.25">
      <c r="A14" s="1"/>
      <c r="B14" s="1"/>
      <c r="C14" s="2"/>
      <c r="D14" s="3"/>
      <c r="E14" s="4"/>
      <c r="F14" s="1"/>
      <c r="G14" s="1"/>
      <c r="H14" s="1"/>
      <c r="I14" s="1"/>
    </row>
    <row r="15" spans="1:13" x14ac:dyDescent="0.25">
      <c r="A15" s="1"/>
      <c r="B15" s="1"/>
      <c r="C15" s="5"/>
      <c r="D15" s="3"/>
      <c r="E15" s="4"/>
      <c r="F15" s="1"/>
      <c r="G15" s="1"/>
      <c r="H15" s="1"/>
      <c r="I15" s="1"/>
    </row>
    <row r="16" spans="1:13" x14ac:dyDescent="0.25">
      <c r="A16" s="1"/>
      <c r="B16" s="1"/>
      <c r="C16" s="5"/>
      <c r="D16" s="3"/>
      <c r="E16" s="1"/>
      <c r="F16" s="1"/>
      <c r="G16" s="1"/>
      <c r="H16" s="1"/>
      <c r="I16" s="1"/>
    </row>
    <row r="17" spans="1:9" x14ac:dyDescent="0.25">
      <c r="A17" s="1"/>
      <c r="B17" s="1"/>
      <c r="C17" s="5"/>
      <c r="D17" s="3"/>
      <c r="E17" s="1"/>
      <c r="F17" s="1"/>
      <c r="G17" s="1"/>
      <c r="H17" s="1"/>
      <c r="I17" s="1"/>
    </row>
    <row r="18" spans="1:9" x14ac:dyDescent="0.25">
      <c r="A18" s="1"/>
      <c r="B18" s="1"/>
      <c r="C18" s="5"/>
      <c r="D18" s="3"/>
      <c r="E18" s="1"/>
      <c r="F18" s="1"/>
      <c r="G18" s="1"/>
      <c r="H18" s="1"/>
      <c r="I18" s="1"/>
    </row>
    <row r="19" spans="1:9" x14ac:dyDescent="0.25">
      <c r="A19" s="1"/>
      <c r="B19" s="1"/>
      <c r="C19" s="5"/>
      <c r="D19" s="3"/>
      <c r="E19" s="1"/>
      <c r="F19" s="1"/>
      <c r="G19" s="1"/>
      <c r="H19" s="1"/>
      <c r="I19" s="1"/>
    </row>
    <row r="20" spans="1:9" x14ac:dyDescent="0.25">
      <c r="A20" s="1"/>
      <c r="B20" s="1"/>
      <c r="C20" s="5"/>
      <c r="D20" s="3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4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4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4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4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4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4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4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4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4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4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4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4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43731</v>
      </c>
      <c r="C3" s="58">
        <v>2992</v>
      </c>
      <c r="D3" s="47">
        <v>1722</v>
      </c>
      <c r="E3" s="59">
        <v>438.27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43731</v>
      </c>
      <c r="C4" s="58">
        <v>2992</v>
      </c>
      <c r="D4" s="59">
        <v>1531.7</v>
      </c>
      <c r="E4" s="59">
        <v>401.25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43731</v>
      </c>
      <c r="C5" s="58">
        <v>2992</v>
      </c>
      <c r="D5" s="47">
        <v>1415.5</v>
      </c>
      <c r="E5" s="59">
        <v>374.82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43731</v>
      </c>
      <c r="C6" s="58">
        <v>2992</v>
      </c>
      <c r="D6" s="59">
        <v>1234.0999999999999</v>
      </c>
      <c r="E6" s="59">
        <v>322.86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43731</v>
      </c>
      <c r="C7" s="58">
        <v>2992</v>
      </c>
      <c r="D7" s="47">
        <v>1089.9000000000001</v>
      </c>
      <c r="E7" s="59">
        <v>271.95999999999998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43731</v>
      </c>
      <c r="C8" s="58">
        <v>2992</v>
      </c>
      <c r="D8" s="59">
        <v>905.97</v>
      </c>
      <c r="E8" s="59">
        <v>235.33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43731</v>
      </c>
      <c r="C9" s="58">
        <v>2992</v>
      </c>
      <c r="D9" s="47">
        <v>765.45</v>
      </c>
      <c r="E9" s="59">
        <v>209.81</v>
      </c>
      <c r="F9" s="60">
        <f t="shared" si="0"/>
        <v>5.984</v>
      </c>
      <c r="G9" s="63" t="s">
        <v>75</v>
      </c>
      <c r="H9" s="63"/>
      <c r="I9" s="64">
        <f>SLOPE(F3:F14,D3:D14)</f>
        <v>8.6027387380833344E-3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43731</v>
      </c>
      <c r="C10" s="58">
        <v>2992</v>
      </c>
      <c r="D10" s="47">
        <v>555.41999999999996</v>
      </c>
      <c r="E10" s="59">
        <v>145.22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-0.26063089613423696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43731</v>
      </c>
      <c r="C11" s="58">
        <v>2992</v>
      </c>
      <c r="D11" s="47">
        <v>398.86</v>
      </c>
      <c r="E11" s="59">
        <v>108.25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43731</v>
      </c>
      <c r="C12" s="58">
        <v>2992</v>
      </c>
      <c r="D12" s="65">
        <v>146.84</v>
      </c>
      <c r="E12" s="65">
        <v>43.86</v>
      </c>
      <c r="F12" s="60">
        <f t="shared" si="0"/>
        <v>1.1968000000000001</v>
      </c>
      <c r="G12" s="66" t="s">
        <v>77</v>
      </c>
      <c r="H12" s="66"/>
      <c r="I12" s="67">
        <f>SLOPE(F3:F14,E3:E14)</f>
        <v>3.3589457820219659E-2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43731</v>
      </c>
      <c r="C13" s="58">
        <v>2992</v>
      </c>
      <c r="D13" s="65">
        <v>62.246000000000002</v>
      </c>
      <c r="E13" s="65">
        <v>20.699000000000002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-0.42285774427131351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43731</v>
      </c>
      <c r="C14" s="58">
        <v>2992</v>
      </c>
      <c r="D14" s="65">
        <v>30.405999999999999</v>
      </c>
      <c r="E14" s="65">
        <v>10.502000000000001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43731</v>
      </c>
      <c r="C17" s="49">
        <v>1</v>
      </c>
      <c r="D17" s="78"/>
      <c r="E17" s="79"/>
      <c r="F17" s="80">
        <f>((I$9*D17)+I$10)/C17/1000</f>
        <v>-2.6063089613423694E-4</v>
      </c>
      <c r="G17" s="80">
        <f>((I$12*E17)+I$13)/C17/1000</f>
        <v>-4.2285774427131353E-4</v>
      </c>
      <c r="H17" s="111"/>
      <c r="I17" s="81">
        <f>jar_information!L3</f>
        <v>43707.416666666664</v>
      </c>
      <c r="J17" s="82">
        <f t="shared" ref="J17:J28" si="1">B17-I17</f>
        <v>23.583333333335759</v>
      </c>
      <c r="K17" s="82">
        <f>J17*24</f>
        <v>566.00000000005821</v>
      </c>
      <c r="L17" s="83">
        <f>jar_information!G3</f>
        <v>1050.5774088776614</v>
      </c>
      <c r="M17" s="82">
        <f>F17*L17</f>
        <v>-0.27381293153416952</v>
      </c>
      <c r="N17" s="82">
        <f>M17*1.83</f>
        <v>-0.50107766470753023</v>
      </c>
      <c r="O17" s="84">
        <f t="shared" ref="O17:O28" si="2">N17*(12/(12+(16*2)))</f>
        <v>-0.13665754492023552</v>
      </c>
      <c r="P17" s="85">
        <f>O17*(400/(400+L17))</f>
        <v>-3.768362697057856E-2</v>
      </c>
      <c r="Q17" s="86"/>
      <c r="R17" s="86">
        <f>Q17/314.7</f>
        <v>0</v>
      </c>
      <c r="S17" s="86">
        <f>R17/P17*100</f>
        <v>0</v>
      </c>
      <c r="T17" s="87">
        <f>F17*1000000</f>
        <v>-260.63089613423693</v>
      </c>
      <c r="U17" s="10">
        <f>M17/L17*100</f>
        <v>-2.6063089613423695E-2</v>
      </c>
      <c r="V17" s="103">
        <f>O17/K17</f>
        <v>-2.4144442565410154E-4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43731</v>
      </c>
      <c r="C18" s="49">
        <v>1</v>
      </c>
      <c r="D18" s="88"/>
      <c r="E18" s="89"/>
      <c r="F18" s="80">
        <f t="shared" ref="F18:F28" si="4">((I$9*D18)+I$10)/C18/1000</f>
        <v>-2.6063089613423694E-4</v>
      </c>
      <c r="G18" s="80">
        <f t="shared" ref="G18:G28" si="5">((I$12*E18)+I$13)/C18/1000</f>
        <v>-4.2285774427131353E-4</v>
      </c>
      <c r="H18" s="111"/>
      <c r="I18" s="81">
        <f>jar_information!L4</f>
        <v>43707.416666666664</v>
      </c>
      <c r="J18" s="82">
        <f t="shared" si="1"/>
        <v>23.583333333335759</v>
      </c>
      <c r="K18" s="82">
        <f t="shared" ref="K18:K28" si="6">J18*24</f>
        <v>566.00000000005821</v>
      </c>
      <c r="L18" s="83">
        <f>jar_information!G4</f>
        <v>1050.5774088776614</v>
      </c>
      <c r="M18" s="82">
        <f t="shared" ref="M18:M28" si="7">F18*L18</f>
        <v>-0.27381293153416952</v>
      </c>
      <c r="N18" s="82">
        <f t="shared" ref="N18:N28" si="8">M18*1.83</f>
        <v>-0.50107766470753023</v>
      </c>
      <c r="O18" s="84">
        <f t="shared" si="2"/>
        <v>-0.13665754492023552</v>
      </c>
      <c r="P18" s="85">
        <f t="shared" ref="P18:P28" si="9">O18*(400/(400+L18))</f>
        <v>-3.768362697057856E-2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-260.63089613423693</v>
      </c>
      <c r="U18" s="10">
        <f t="shared" ref="U18:U28" si="12">M18/L18*100</f>
        <v>-2.6063089613423695E-2</v>
      </c>
      <c r="V18" s="103">
        <f t="shared" ref="V18:V28" si="13">O18/K18</f>
        <v>-2.4144442565410154E-4</v>
      </c>
      <c r="W18" t="s">
        <v>154</v>
      </c>
    </row>
    <row r="19" spans="1:23" x14ac:dyDescent="0.25">
      <c r="A19" s="33" t="s">
        <v>134</v>
      </c>
      <c r="B19" s="77">
        <f t="shared" si="3"/>
        <v>43731</v>
      </c>
      <c r="C19" s="49">
        <v>1</v>
      </c>
      <c r="D19" s="90"/>
      <c r="E19" s="91"/>
      <c r="F19" s="80">
        <f t="shared" si="4"/>
        <v>-2.6063089613423694E-4</v>
      </c>
      <c r="G19" s="80">
        <f t="shared" si="5"/>
        <v>-4.2285774427131353E-4</v>
      </c>
      <c r="H19" s="111"/>
      <c r="I19" s="81">
        <f>jar_information!L5</f>
        <v>43707.416666666664</v>
      </c>
      <c r="J19" s="82">
        <f t="shared" si="1"/>
        <v>23.583333333335759</v>
      </c>
      <c r="K19" s="82">
        <f t="shared" si="6"/>
        <v>566.00000000005821</v>
      </c>
      <c r="L19" s="83">
        <f>jar_information!G5</f>
        <v>1050.5774088776614</v>
      </c>
      <c r="M19" s="82">
        <f t="shared" si="7"/>
        <v>-0.27381293153416952</v>
      </c>
      <c r="N19" s="82">
        <f t="shared" si="8"/>
        <v>-0.50107766470753023</v>
      </c>
      <c r="O19" s="84">
        <f t="shared" si="2"/>
        <v>-0.13665754492023552</v>
      </c>
      <c r="P19" s="85">
        <f t="shared" si="9"/>
        <v>-3.768362697057856E-2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-260.63089613423693</v>
      </c>
      <c r="U19" s="10">
        <f t="shared" si="12"/>
        <v>-2.6063089613423695E-2</v>
      </c>
      <c r="V19" s="103">
        <f t="shared" si="13"/>
        <v>-2.4144442565410154E-4</v>
      </c>
      <c r="W19" s="115" t="s">
        <v>157</v>
      </c>
    </row>
    <row r="20" spans="1:23" x14ac:dyDescent="0.25">
      <c r="A20" s="33" t="s">
        <v>135</v>
      </c>
      <c r="B20" s="77">
        <f t="shared" si="3"/>
        <v>43731</v>
      </c>
      <c r="C20" s="49">
        <v>1</v>
      </c>
      <c r="D20" s="90"/>
      <c r="E20" s="91"/>
      <c r="F20" s="80">
        <f t="shared" si="4"/>
        <v>-2.6063089613423694E-4</v>
      </c>
      <c r="G20" s="80">
        <f t="shared" si="5"/>
        <v>-4.2285774427131353E-4</v>
      </c>
      <c r="H20" s="111"/>
      <c r="I20" s="81">
        <f>jar_information!L6</f>
        <v>43707.416666666664</v>
      </c>
      <c r="J20" s="82">
        <f t="shared" si="1"/>
        <v>23.583333333335759</v>
      </c>
      <c r="K20" s="82">
        <f t="shared" si="6"/>
        <v>566.00000000005821</v>
      </c>
      <c r="L20" s="83">
        <f>jar_information!G6</f>
        <v>1055.454159400779</v>
      </c>
      <c r="M20" s="82">
        <f t="shared" si="7"/>
        <v>-0.27508396339323277</v>
      </c>
      <c r="N20" s="82">
        <f t="shared" si="8"/>
        <v>-0.50340365300961598</v>
      </c>
      <c r="O20" s="84">
        <f t="shared" si="2"/>
        <v>-0.1372919053662589</v>
      </c>
      <c r="P20" s="85">
        <f t="shared" si="9"/>
        <v>-3.7731701676618372E-2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-260.63089613423693</v>
      </c>
      <c r="U20" s="10">
        <f t="shared" si="12"/>
        <v>-2.6063089613423695E-2</v>
      </c>
      <c r="V20" s="103">
        <f t="shared" si="13"/>
        <v>-2.425652038272876E-4</v>
      </c>
      <c r="W20" s="115" t="s">
        <v>157</v>
      </c>
    </row>
    <row r="21" spans="1:23" x14ac:dyDescent="0.25">
      <c r="A21" s="33" t="s">
        <v>136</v>
      </c>
      <c r="B21" s="77">
        <f t="shared" si="3"/>
        <v>43731.517361111109</v>
      </c>
      <c r="C21" s="49">
        <v>1</v>
      </c>
      <c r="D21" s="90">
        <v>556.51</v>
      </c>
      <c r="E21" s="91">
        <v>154.82</v>
      </c>
      <c r="F21" s="80">
        <f t="shared" si="4"/>
        <v>4.5268792389965198E-3</v>
      </c>
      <c r="G21" s="80">
        <f t="shared" si="5"/>
        <v>4.777462115455094E-3</v>
      </c>
      <c r="H21" s="111">
        <v>0.51736111111111105</v>
      </c>
      <c r="I21" s="81">
        <f>jar_information!L7</f>
        <v>43707.416666666664</v>
      </c>
      <c r="J21" s="82">
        <f t="shared" si="1"/>
        <v>24.100694444445253</v>
      </c>
      <c r="K21" s="82">
        <f t="shared" si="6"/>
        <v>578.41666666668607</v>
      </c>
      <c r="L21" s="83">
        <f>jar_information!G7</f>
        <v>1065.2508812788285</v>
      </c>
      <c r="M21" s="82">
        <f t="shared" si="7"/>
        <v>4.8222620987838756</v>
      </c>
      <c r="N21" s="82">
        <f t="shared" si="8"/>
        <v>8.8247396407744922</v>
      </c>
      <c r="O21" s="84">
        <f t="shared" si="2"/>
        <v>2.4067471747566795</v>
      </c>
      <c r="P21" s="85">
        <f t="shared" si="9"/>
        <v>0.65701981974749346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4526.8792389965201</v>
      </c>
      <c r="U21" s="10">
        <f t="shared" si="12"/>
        <v>0.45268792389965196</v>
      </c>
      <c r="V21" s="103">
        <f t="shared" si="13"/>
        <v>4.1609229357555374E-3</v>
      </c>
    </row>
    <row r="22" spans="1:23" x14ac:dyDescent="0.25">
      <c r="A22" s="33" t="s">
        <v>145</v>
      </c>
      <c r="B22" s="77">
        <f t="shared" si="3"/>
        <v>43731.517361111109</v>
      </c>
      <c r="C22" s="49">
        <v>1</v>
      </c>
      <c r="D22" s="90">
        <v>1026.9000000000001</v>
      </c>
      <c r="E22" s="91">
        <v>272.18</v>
      </c>
      <c r="F22" s="80">
        <f t="shared" si="4"/>
        <v>8.5735215140035417E-3</v>
      </c>
      <c r="G22" s="80">
        <f t="shared" si="5"/>
        <v>8.7195208852360734E-3</v>
      </c>
      <c r="H22" s="111">
        <v>0.51736111111111105</v>
      </c>
      <c r="I22" s="81">
        <f>jar_information!L8</f>
        <v>43707.416666666664</v>
      </c>
      <c r="J22" s="82">
        <f t="shared" si="1"/>
        <v>24.100694444445253</v>
      </c>
      <c r="K22" s="82">
        <f t="shared" si="6"/>
        <v>578.41666666668607</v>
      </c>
      <c r="L22" s="83">
        <f>jar_information!G8</f>
        <v>1050.5774088776614</v>
      </c>
      <c r="M22" s="82">
        <f t="shared" si="7"/>
        <v>9.007148017138725</v>
      </c>
      <c r="N22" s="82">
        <f t="shared" si="8"/>
        <v>16.483080871363867</v>
      </c>
      <c r="O22" s="84">
        <f t="shared" si="2"/>
        <v>4.4953856921901449</v>
      </c>
      <c r="P22" s="85">
        <f t="shared" si="9"/>
        <v>1.2396127679027644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8573.5215140035416</v>
      </c>
      <c r="U22" s="10">
        <f t="shared" si="12"/>
        <v>0.85735215140035415</v>
      </c>
      <c r="V22" s="103">
        <f t="shared" si="13"/>
        <v>7.7718813292436146E-3</v>
      </c>
      <c r="W22" t="s">
        <v>153</v>
      </c>
    </row>
    <row r="23" spans="1:23" x14ac:dyDescent="0.25">
      <c r="A23" s="33" t="s">
        <v>137</v>
      </c>
      <c r="B23" s="77">
        <f t="shared" si="3"/>
        <v>43731</v>
      </c>
      <c r="C23" s="49">
        <v>1</v>
      </c>
      <c r="D23" s="90"/>
      <c r="E23" s="91"/>
      <c r="F23" s="80">
        <f t="shared" si="4"/>
        <v>-2.6063089613423694E-4</v>
      </c>
      <c r="G23" s="80">
        <f t="shared" si="5"/>
        <v>-4.2285774427131353E-4</v>
      </c>
      <c r="H23" s="111"/>
      <c r="I23" s="81">
        <f>jar_information!L9</f>
        <v>43707.416666666664</v>
      </c>
      <c r="J23" s="82">
        <f t="shared" si="1"/>
        <v>23.583333333335759</v>
      </c>
      <c r="K23" s="82">
        <f t="shared" si="6"/>
        <v>566.00000000005821</v>
      </c>
      <c r="L23" s="83">
        <f>jar_information!G9</f>
        <v>1050.5774088776614</v>
      </c>
      <c r="M23" s="82">
        <f t="shared" si="7"/>
        <v>-0.27381293153416952</v>
      </c>
      <c r="N23" s="82">
        <f t="shared" si="8"/>
        <v>-0.50107766470753023</v>
      </c>
      <c r="O23" s="84">
        <f t="shared" si="2"/>
        <v>-0.13665754492023552</v>
      </c>
      <c r="P23" s="85">
        <f t="shared" si="9"/>
        <v>-3.768362697057856E-2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-260.63089613423693</v>
      </c>
      <c r="U23" s="10">
        <f t="shared" si="12"/>
        <v>-2.6063089613423695E-2</v>
      </c>
      <c r="V23" s="103">
        <f t="shared" si="13"/>
        <v>-2.4144442565410154E-4</v>
      </c>
      <c r="W23" t="s">
        <v>155</v>
      </c>
    </row>
    <row r="24" spans="1:23" x14ac:dyDescent="0.25">
      <c r="A24" s="33" t="s">
        <v>140</v>
      </c>
      <c r="B24" s="77">
        <f t="shared" si="3"/>
        <v>43731</v>
      </c>
      <c r="C24" s="49">
        <v>1</v>
      </c>
      <c r="D24" s="90"/>
      <c r="E24" s="91"/>
      <c r="F24" s="80">
        <f t="shared" si="4"/>
        <v>-2.6063089613423694E-4</v>
      </c>
      <c r="G24" s="80">
        <f t="shared" si="5"/>
        <v>-4.2285774427131353E-4</v>
      </c>
      <c r="H24" s="111"/>
      <c r="I24" s="81">
        <f>jar_information!L10</f>
        <v>43707.416666666664</v>
      </c>
      <c r="J24" s="82">
        <f t="shared" si="1"/>
        <v>23.583333333335759</v>
      </c>
      <c r="K24" s="82">
        <f t="shared" si="6"/>
        <v>566.00000000005821</v>
      </c>
      <c r="L24" s="83">
        <f>jar_information!G10</f>
        <v>1055.454159400779</v>
      </c>
      <c r="M24" s="82">
        <f t="shared" si="7"/>
        <v>-0.27508396339323277</v>
      </c>
      <c r="N24" s="82">
        <f t="shared" si="8"/>
        <v>-0.50340365300961598</v>
      </c>
      <c r="O24" s="84">
        <f t="shared" si="2"/>
        <v>-0.1372919053662589</v>
      </c>
      <c r="P24" s="85">
        <f t="shared" si="9"/>
        <v>-3.7731701676618372E-2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-260.63089613423693</v>
      </c>
      <c r="U24" s="10">
        <f t="shared" si="12"/>
        <v>-2.6063089613423695E-2</v>
      </c>
      <c r="V24" s="103">
        <f t="shared" si="13"/>
        <v>-2.425652038272876E-4</v>
      </c>
      <c r="W24" t="s">
        <v>155</v>
      </c>
    </row>
    <row r="25" spans="1:23" x14ac:dyDescent="0.25">
      <c r="A25" s="33" t="s">
        <v>138</v>
      </c>
      <c r="B25" s="77">
        <f t="shared" si="3"/>
        <v>43731</v>
      </c>
      <c r="C25" s="49">
        <v>1</v>
      </c>
      <c r="D25" s="90"/>
      <c r="E25" s="91"/>
      <c r="F25" s="80">
        <f t="shared" si="4"/>
        <v>-2.6063089613423694E-4</v>
      </c>
      <c r="G25" s="80">
        <f t="shared" si="5"/>
        <v>-4.2285774427131353E-4</v>
      </c>
      <c r="H25" s="111"/>
      <c r="I25" s="81">
        <f>jar_information!L11</f>
        <v>43707.416666666664</v>
      </c>
      <c r="J25" s="82">
        <f t="shared" si="1"/>
        <v>23.583333333335759</v>
      </c>
      <c r="K25" s="82">
        <f t="shared" si="6"/>
        <v>566.00000000005821</v>
      </c>
      <c r="L25" s="83">
        <f>jar_information!G11</f>
        <v>1021.6154823015972</v>
      </c>
      <c r="M25" s="82">
        <f t="shared" si="7"/>
        <v>-0.26626455865687598</v>
      </c>
      <c r="N25" s="82">
        <f t="shared" si="8"/>
        <v>-0.48726414234208304</v>
      </c>
      <c r="O25" s="84">
        <f t="shared" si="2"/>
        <v>-0.13289022063874992</v>
      </c>
      <c r="P25" s="85">
        <f t="shared" si="9"/>
        <v>-3.7391326218141771E-2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-260.63089613423693</v>
      </c>
      <c r="U25" s="10">
        <f t="shared" si="12"/>
        <v>-2.6063089613423695E-2</v>
      </c>
      <c r="V25" s="103">
        <f t="shared" si="13"/>
        <v>-2.3478837568681316E-4</v>
      </c>
      <c r="W25" t="s">
        <v>155</v>
      </c>
    </row>
    <row r="26" spans="1:23" x14ac:dyDescent="0.25">
      <c r="A26" s="33" t="s">
        <v>141</v>
      </c>
      <c r="B26" s="77">
        <f t="shared" si="3"/>
        <v>43731</v>
      </c>
      <c r="C26" s="49">
        <v>1</v>
      </c>
      <c r="D26" s="90"/>
      <c r="E26" s="91"/>
      <c r="F26" s="80">
        <f t="shared" si="4"/>
        <v>-2.6063089613423694E-4</v>
      </c>
      <c r="G26" s="80">
        <f t="shared" si="5"/>
        <v>-4.2285774427131353E-4</v>
      </c>
      <c r="H26" s="111"/>
      <c r="I26" s="81">
        <f>jar_information!L12</f>
        <v>43707.416666666664</v>
      </c>
      <c r="J26" s="82">
        <f t="shared" si="1"/>
        <v>23.583333333335759</v>
      </c>
      <c r="K26" s="82">
        <f t="shared" si="6"/>
        <v>566.00000000005821</v>
      </c>
      <c r="L26" s="83">
        <f>jar_information!G12</f>
        <v>1045.7149806761979</v>
      </c>
      <c r="M26" s="82">
        <f t="shared" si="7"/>
        <v>-0.27254563251463371</v>
      </c>
      <c r="N26" s="82">
        <f t="shared" si="8"/>
        <v>-0.49875850750177969</v>
      </c>
      <c r="O26" s="84">
        <f t="shared" si="2"/>
        <v>-0.13602504750048536</v>
      </c>
      <c r="P26" s="85">
        <f t="shared" si="9"/>
        <v>-3.7635370544991643E-2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-260.63089613423693</v>
      </c>
      <c r="U26" s="10">
        <f t="shared" si="12"/>
        <v>-2.6063089613423695E-2</v>
      </c>
      <c r="V26" s="103">
        <f t="shared" si="13"/>
        <v>-2.4032693904676921E-4</v>
      </c>
      <c r="W26" t="s">
        <v>155</v>
      </c>
    </row>
    <row r="27" spans="1:23" x14ac:dyDescent="0.25">
      <c r="A27" s="33" t="s">
        <v>139</v>
      </c>
      <c r="B27" s="77">
        <f t="shared" si="3"/>
        <v>43731</v>
      </c>
      <c r="C27" s="49">
        <v>1</v>
      </c>
      <c r="D27" s="90"/>
      <c r="E27" s="91"/>
      <c r="F27" s="80">
        <f t="shared" si="4"/>
        <v>-2.6063089613423694E-4</v>
      </c>
      <c r="G27" s="80">
        <f t="shared" si="5"/>
        <v>-4.2285774427131353E-4</v>
      </c>
      <c r="H27" s="111"/>
      <c r="I27" s="81">
        <f>jar_information!L13</f>
        <v>43707.416666666664</v>
      </c>
      <c r="J27" s="82">
        <f t="shared" si="1"/>
        <v>23.583333333335759</v>
      </c>
      <c r="K27" s="82">
        <f t="shared" si="6"/>
        <v>566.00000000005821</v>
      </c>
      <c r="L27" s="83">
        <f>jar_information!G13</f>
        <v>1040.8668117949733</v>
      </c>
      <c r="M27" s="82">
        <f t="shared" si="7"/>
        <v>-0.27128204991451005</v>
      </c>
      <c r="N27" s="82">
        <f t="shared" si="8"/>
        <v>-0.49644615134355341</v>
      </c>
      <c r="O27" s="84">
        <f t="shared" si="2"/>
        <v>-0.13539440491187818</v>
      </c>
      <c r="P27" s="85">
        <f t="shared" si="9"/>
        <v>-3.7586931367572927E-2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-260.63089613423693</v>
      </c>
      <c r="U27" s="10">
        <f t="shared" si="12"/>
        <v>-2.6063089613423695E-2</v>
      </c>
      <c r="V27" s="103">
        <f t="shared" si="13"/>
        <v>-2.3921272952626195E-4</v>
      </c>
      <c r="W27" t="s">
        <v>155</v>
      </c>
    </row>
    <row r="28" spans="1:23" x14ac:dyDescent="0.25">
      <c r="A28" s="33" t="s">
        <v>142</v>
      </c>
      <c r="B28" s="77">
        <f t="shared" si="3"/>
        <v>43731</v>
      </c>
      <c r="C28" s="49">
        <v>1</v>
      </c>
      <c r="D28" s="90"/>
      <c r="E28" s="91"/>
      <c r="F28" s="80">
        <f t="shared" si="4"/>
        <v>-2.6063089613423694E-4</v>
      </c>
      <c r="G28" s="80">
        <f t="shared" si="5"/>
        <v>-4.2285774427131353E-4</v>
      </c>
      <c r="H28" s="111"/>
      <c r="I28" s="81">
        <f>jar_information!L14</f>
        <v>43707.416666666664</v>
      </c>
      <c r="J28" s="82">
        <f t="shared" si="1"/>
        <v>23.583333333335759</v>
      </c>
      <c r="K28" s="82">
        <f t="shared" si="6"/>
        <v>566.00000000005821</v>
      </c>
      <c r="L28" s="83">
        <f>jar_information!G14</f>
        <v>1050.5774088776614</v>
      </c>
      <c r="M28" s="82">
        <f t="shared" si="7"/>
        <v>-0.27381293153416952</v>
      </c>
      <c r="N28" s="82">
        <f t="shared" si="8"/>
        <v>-0.50107766470753023</v>
      </c>
      <c r="O28" s="84">
        <f t="shared" si="2"/>
        <v>-0.13665754492023552</v>
      </c>
      <c r="P28" s="85">
        <f t="shared" si="9"/>
        <v>-3.768362697057856E-2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-260.63089613423693</v>
      </c>
      <c r="U28" s="10">
        <f t="shared" si="12"/>
        <v>-2.6063089613423695E-2</v>
      </c>
      <c r="V28" s="103">
        <f t="shared" si="13"/>
        <v>-2.4144442565410154E-4</v>
      </c>
      <c r="W28" t="s">
        <v>156</v>
      </c>
    </row>
  </sheetData>
  <conditionalFormatting sqref="O17:O28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L37" sqref="L37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43738</v>
      </c>
      <c r="C3" s="58">
        <v>2992</v>
      </c>
      <c r="D3" s="47">
        <v>1684</v>
      </c>
      <c r="E3" s="59">
        <v>433.36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43738</v>
      </c>
      <c r="C4" s="58">
        <v>2992</v>
      </c>
      <c r="D4" s="59">
        <v>1467.3</v>
      </c>
      <c r="E4" s="59">
        <v>380.3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43738</v>
      </c>
      <c r="C5" s="58">
        <v>2992</v>
      </c>
      <c r="D5" s="47">
        <v>1371.9</v>
      </c>
      <c r="E5" s="59">
        <v>350.37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43738</v>
      </c>
      <c r="C6" s="58">
        <v>2992</v>
      </c>
      <c r="D6" s="59">
        <v>1195.4000000000001</v>
      </c>
      <c r="E6" s="59">
        <v>313.17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43738</v>
      </c>
      <c r="C7" s="58">
        <v>2992</v>
      </c>
      <c r="D7" s="47">
        <v>1054.4000000000001</v>
      </c>
      <c r="E7" s="59">
        <v>299.95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43738</v>
      </c>
      <c r="C8" s="58">
        <v>2992</v>
      </c>
      <c r="D8" s="59">
        <v>864.26</v>
      </c>
      <c r="E8" s="59">
        <v>242.63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43738</v>
      </c>
      <c r="C9" s="58">
        <v>2992</v>
      </c>
      <c r="D9" s="47">
        <v>735.97</v>
      </c>
      <c r="E9" s="59">
        <v>195.81</v>
      </c>
      <c r="F9" s="60">
        <f t="shared" si="0"/>
        <v>5.984</v>
      </c>
      <c r="G9" s="63" t="s">
        <v>75</v>
      </c>
      <c r="H9" s="63"/>
      <c r="I9" s="64">
        <f>SLOPE(F3:F14,D3:D14)</f>
        <v>8.88058184160565E-3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43738</v>
      </c>
      <c r="C10" s="58">
        <v>2992</v>
      </c>
      <c r="D10" s="47">
        <v>531.69000000000005</v>
      </c>
      <c r="E10" s="59">
        <v>144.07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-0.2443064972892337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43738</v>
      </c>
      <c r="C11" s="58">
        <v>2992</v>
      </c>
      <c r="D11" s="47">
        <v>386.8</v>
      </c>
      <c r="E11" s="59">
        <v>107.72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43738</v>
      </c>
      <c r="C12" s="58">
        <v>2992</v>
      </c>
      <c r="D12" s="65">
        <v>146.78</v>
      </c>
      <c r="E12" s="65">
        <v>43.078000000000003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3.4564565955278466E-2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43738</v>
      </c>
      <c r="C13" s="58">
        <v>2992</v>
      </c>
      <c r="D13" s="65">
        <v>63.316000000000003</v>
      </c>
      <c r="E13" s="65">
        <v>22.928999999999998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-0.52222735944980325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43738</v>
      </c>
      <c r="C14" s="58">
        <v>2992</v>
      </c>
      <c r="D14" s="65">
        <v>26.082000000000001</v>
      </c>
      <c r="E14" s="65">
        <v>11.077999999999999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43738</v>
      </c>
      <c r="C17" s="49">
        <v>1</v>
      </c>
      <c r="D17" s="78"/>
      <c r="E17" s="79"/>
      <c r="F17" s="80">
        <f>((I$9*D17)+I$10)/C17/1000</f>
        <v>-2.4430649728923368E-4</v>
      </c>
      <c r="G17" s="80">
        <f>((I$12*E17)+I$13)/C17/1000</f>
        <v>-5.2222735944980325E-4</v>
      </c>
      <c r="H17" s="111"/>
      <c r="I17" s="81">
        <f>jar_information!L3</f>
        <v>43707.416666666664</v>
      </c>
      <c r="J17" s="82">
        <f t="shared" ref="J17:J28" si="1">B17-I17</f>
        <v>30.583333333335759</v>
      </c>
      <c r="K17" s="82">
        <f>J17*24</f>
        <v>734.00000000005821</v>
      </c>
      <c r="L17" s="83">
        <f>jar_information!G3</f>
        <v>1050.5774088776614</v>
      </c>
      <c r="M17" s="82">
        <f>F17*L17</f>
        <v>-0.25666288689410049</v>
      </c>
      <c r="N17" s="82">
        <f>M17*1.83</f>
        <v>-0.46969308301620394</v>
      </c>
      <c r="O17" s="84">
        <f t="shared" ref="O17:O28" si="2">N17*(12/(12+(16*2)))</f>
        <v>-0.1280981135498738</v>
      </c>
      <c r="P17" s="85">
        <f>O17*(400/(400+L17))</f>
        <v>-3.5323344418823031E-2</v>
      </c>
      <c r="Q17" s="86"/>
      <c r="R17" s="86">
        <f>Q17/314.7</f>
        <v>0</v>
      </c>
      <c r="S17" s="86">
        <f>R17/P17*100</f>
        <v>0</v>
      </c>
      <c r="T17" s="87">
        <f>F17*1000000</f>
        <v>-244.30649728923368</v>
      </c>
      <c r="U17" s="10">
        <f>M17/L17*100</f>
        <v>-2.4430649728923368E-2</v>
      </c>
      <c r="V17" s="103">
        <f>O17/K17</f>
        <v>-1.7452059066738916E-4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43738</v>
      </c>
      <c r="C18" s="49">
        <v>1</v>
      </c>
      <c r="D18" s="88"/>
      <c r="E18" s="89"/>
      <c r="F18" s="80">
        <f t="shared" ref="F18:F28" si="4">((I$9*D18)+I$10)/C18/1000</f>
        <v>-2.4430649728923368E-4</v>
      </c>
      <c r="G18" s="80">
        <f t="shared" ref="G18:G28" si="5">((I$12*E18)+I$13)/C18/1000</f>
        <v>-5.2222735944980325E-4</v>
      </c>
      <c r="H18" s="111"/>
      <c r="I18" s="81">
        <f>jar_information!L4</f>
        <v>43707.416666666664</v>
      </c>
      <c r="J18" s="82">
        <f t="shared" si="1"/>
        <v>30.583333333335759</v>
      </c>
      <c r="K18" s="82">
        <f t="shared" ref="K18:K28" si="6">J18*24</f>
        <v>734.00000000005821</v>
      </c>
      <c r="L18" s="83">
        <f>jar_information!G4</f>
        <v>1050.5774088776614</v>
      </c>
      <c r="M18" s="82">
        <f t="shared" ref="M18:M28" si="7">F18*L18</f>
        <v>-0.25666288689410049</v>
      </c>
      <c r="N18" s="82">
        <f t="shared" ref="N18:N28" si="8">M18*1.83</f>
        <v>-0.46969308301620394</v>
      </c>
      <c r="O18" s="84">
        <f t="shared" si="2"/>
        <v>-0.1280981135498738</v>
      </c>
      <c r="P18" s="85">
        <f t="shared" ref="P18:P28" si="9">O18*(400/(400+L18))</f>
        <v>-3.5323344418823031E-2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-244.30649728923368</v>
      </c>
      <c r="U18" s="10">
        <f t="shared" ref="U18:U28" si="12">M18/L18*100</f>
        <v>-2.4430649728923368E-2</v>
      </c>
      <c r="V18" s="103">
        <f t="shared" ref="V18:V28" si="13">O18/K18</f>
        <v>-1.7452059066738916E-4</v>
      </c>
      <c r="W18" t="s">
        <v>154</v>
      </c>
    </row>
    <row r="19" spans="1:23" x14ac:dyDescent="0.25">
      <c r="A19" s="33" t="s">
        <v>134</v>
      </c>
      <c r="B19" s="77">
        <f t="shared" si="3"/>
        <v>43738</v>
      </c>
      <c r="C19" s="49">
        <v>1</v>
      </c>
      <c r="D19" s="90"/>
      <c r="E19" s="91"/>
      <c r="F19" s="80">
        <f t="shared" si="4"/>
        <v>-2.4430649728923368E-4</v>
      </c>
      <c r="G19" s="80">
        <f t="shared" si="5"/>
        <v>-5.2222735944980325E-4</v>
      </c>
      <c r="H19" s="111"/>
      <c r="I19" s="81">
        <f>jar_information!L5</f>
        <v>43707.416666666664</v>
      </c>
      <c r="J19" s="82">
        <f t="shared" si="1"/>
        <v>30.583333333335759</v>
      </c>
      <c r="K19" s="82">
        <f t="shared" si="6"/>
        <v>734.00000000005821</v>
      </c>
      <c r="L19" s="83">
        <f>jar_information!G5</f>
        <v>1050.5774088776614</v>
      </c>
      <c r="M19" s="82">
        <f t="shared" si="7"/>
        <v>-0.25666288689410049</v>
      </c>
      <c r="N19" s="82">
        <f t="shared" si="8"/>
        <v>-0.46969308301620394</v>
      </c>
      <c r="O19" s="84">
        <f t="shared" si="2"/>
        <v>-0.1280981135498738</v>
      </c>
      <c r="P19" s="85">
        <f t="shared" si="9"/>
        <v>-3.5323344418823031E-2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-244.30649728923368</v>
      </c>
      <c r="U19" s="10">
        <f t="shared" si="12"/>
        <v>-2.4430649728923368E-2</v>
      </c>
      <c r="V19" s="103">
        <f t="shared" si="13"/>
        <v>-1.7452059066738916E-4</v>
      </c>
      <c r="W19" s="115" t="s">
        <v>157</v>
      </c>
    </row>
    <row r="20" spans="1:23" x14ac:dyDescent="0.25">
      <c r="A20" s="33" t="s">
        <v>135</v>
      </c>
      <c r="B20" s="77">
        <f t="shared" si="3"/>
        <v>43738</v>
      </c>
      <c r="C20" s="49">
        <v>1</v>
      </c>
      <c r="D20" s="90"/>
      <c r="E20" s="91"/>
      <c r="F20" s="80">
        <f t="shared" si="4"/>
        <v>-2.4430649728923368E-4</v>
      </c>
      <c r="G20" s="80">
        <f t="shared" si="5"/>
        <v>-5.2222735944980325E-4</v>
      </c>
      <c r="H20" s="111"/>
      <c r="I20" s="81">
        <f>jar_information!L6</f>
        <v>43707.416666666664</v>
      </c>
      <c r="J20" s="82">
        <f t="shared" si="1"/>
        <v>30.583333333335759</v>
      </c>
      <c r="K20" s="82">
        <f t="shared" si="6"/>
        <v>734.00000000005821</v>
      </c>
      <c r="L20" s="83">
        <f>jar_information!G6</f>
        <v>1055.454159400779</v>
      </c>
      <c r="M20" s="82">
        <f t="shared" si="7"/>
        <v>-0.25785430873255683</v>
      </c>
      <c r="N20" s="82">
        <f t="shared" si="8"/>
        <v>-0.47187338498057901</v>
      </c>
      <c r="O20" s="84">
        <f t="shared" si="2"/>
        <v>-0.12869274135833972</v>
      </c>
      <c r="P20" s="85">
        <f t="shared" si="9"/>
        <v>-3.5368408005738483E-2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-244.30649728923368</v>
      </c>
      <c r="U20" s="10">
        <f t="shared" si="12"/>
        <v>-2.4430649728923368E-2</v>
      </c>
      <c r="V20" s="103">
        <f t="shared" si="13"/>
        <v>-1.7533071029745165E-4</v>
      </c>
      <c r="W20" s="115" t="s">
        <v>157</v>
      </c>
    </row>
    <row r="21" spans="1:23" x14ac:dyDescent="0.25">
      <c r="A21" s="33" t="s">
        <v>136</v>
      </c>
      <c r="B21" s="77">
        <f t="shared" si="3"/>
        <v>43738.482638888891</v>
      </c>
      <c r="C21" s="49">
        <v>1</v>
      </c>
      <c r="D21" s="90">
        <v>591.72</v>
      </c>
      <c r="E21" s="91">
        <v>160.93</v>
      </c>
      <c r="F21" s="80">
        <f t="shared" si="4"/>
        <v>5.0105113900256616E-3</v>
      </c>
      <c r="G21" s="80">
        <f t="shared" si="5"/>
        <v>5.0402482397331602E-3</v>
      </c>
      <c r="H21" s="111">
        <v>0.4826388888888889</v>
      </c>
      <c r="I21" s="81">
        <f>jar_information!L7</f>
        <v>43707.416666666664</v>
      </c>
      <c r="J21" s="82">
        <f t="shared" si="1"/>
        <v>31.065972222226264</v>
      </c>
      <c r="K21" s="82">
        <f t="shared" si="6"/>
        <v>745.58333333343035</v>
      </c>
      <c r="L21" s="83">
        <f>jar_information!G7</f>
        <v>1065.2508812788285</v>
      </c>
      <c r="M21" s="82">
        <f t="shared" si="7"/>
        <v>5.3374516738824438</v>
      </c>
      <c r="N21" s="82">
        <f t="shared" si="8"/>
        <v>9.7675365632048727</v>
      </c>
      <c r="O21" s="84">
        <f t="shared" si="2"/>
        <v>2.6638736081467833</v>
      </c>
      <c r="P21" s="85">
        <f t="shared" si="9"/>
        <v>0.7272129686956631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5010.511390025662</v>
      </c>
      <c r="U21" s="10">
        <f t="shared" si="12"/>
        <v>0.50105113900256615</v>
      </c>
      <c r="V21" s="103">
        <f t="shared" si="13"/>
        <v>3.572871722114367E-3</v>
      </c>
    </row>
    <row r="22" spans="1:23" x14ac:dyDescent="0.25">
      <c r="A22" s="33" t="s">
        <v>145</v>
      </c>
      <c r="B22" s="77">
        <f t="shared" si="3"/>
        <v>43738.482638888891</v>
      </c>
      <c r="C22" s="49">
        <v>1</v>
      </c>
      <c r="D22" s="90">
        <v>1244.5999999999999</v>
      </c>
      <c r="E22" s="91">
        <v>336.16</v>
      </c>
      <c r="F22" s="80">
        <f t="shared" si="4"/>
        <v>1.0808465662773157E-2</v>
      </c>
      <c r="G22" s="80">
        <f t="shared" si="5"/>
        <v>1.1096997132076606E-2</v>
      </c>
      <c r="H22" s="111">
        <v>0.4826388888888889</v>
      </c>
      <c r="I22" s="81">
        <f>jar_information!L8</f>
        <v>43707.416666666664</v>
      </c>
      <c r="J22" s="82">
        <f t="shared" si="1"/>
        <v>31.065972222226264</v>
      </c>
      <c r="K22" s="82">
        <f t="shared" si="6"/>
        <v>745.58333333343035</v>
      </c>
      <c r="L22" s="83">
        <f>jar_information!G8</f>
        <v>1050.5774088776614</v>
      </c>
      <c r="M22" s="82">
        <f t="shared" si="7"/>
        <v>11.355129849939399</v>
      </c>
      <c r="N22" s="82">
        <f t="shared" si="8"/>
        <v>20.779887625389101</v>
      </c>
      <c r="O22" s="84">
        <f t="shared" si="2"/>
        <v>5.6672420796515723</v>
      </c>
      <c r="P22" s="85">
        <f t="shared" si="9"/>
        <v>1.5627548161077243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10808.465662773157</v>
      </c>
      <c r="U22" s="10">
        <f t="shared" si="12"/>
        <v>1.0808465662773157</v>
      </c>
      <c r="V22" s="103">
        <f t="shared" si="13"/>
        <v>7.6010847161964929E-3</v>
      </c>
      <c r="W22" t="s">
        <v>159</v>
      </c>
    </row>
    <row r="23" spans="1:23" x14ac:dyDescent="0.25">
      <c r="A23" s="33" t="s">
        <v>137</v>
      </c>
      <c r="B23" s="77">
        <f t="shared" si="3"/>
        <v>43738</v>
      </c>
      <c r="C23" s="49">
        <v>1</v>
      </c>
      <c r="D23" s="90"/>
      <c r="E23" s="91"/>
      <c r="F23" s="80">
        <f t="shared" si="4"/>
        <v>-2.4430649728923368E-4</v>
      </c>
      <c r="G23" s="80">
        <f t="shared" si="5"/>
        <v>-5.2222735944980325E-4</v>
      </c>
      <c r="H23" s="111"/>
      <c r="I23" s="81">
        <f>jar_information!L9</f>
        <v>43707.416666666664</v>
      </c>
      <c r="J23" s="82">
        <f t="shared" si="1"/>
        <v>30.583333333335759</v>
      </c>
      <c r="K23" s="82">
        <f t="shared" si="6"/>
        <v>734.00000000005821</v>
      </c>
      <c r="L23" s="83">
        <f>jar_information!G9</f>
        <v>1050.5774088776614</v>
      </c>
      <c r="M23" s="82">
        <f t="shared" si="7"/>
        <v>-0.25666288689410049</v>
      </c>
      <c r="N23" s="82">
        <f t="shared" si="8"/>
        <v>-0.46969308301620394</v>
      </c>
      <c r="O23" s="84">
        <f t="shared" si="2"/>
        <v>-0.1280981135498738</v>
      </c>
      <c r="P23" s="85">
        <f t="shared" si="9"/>
        <v>-3.5323344418823031E-2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-244.30649728923368</v>
      </c>
      <c r="U23" s="10">
        <f t="shared" si="12"/>
        <v>-2.4430649728923368E-2</v>
      </c>
      <c r="V23" s="103">
        <f t="shared" si="13"/>
        <v>-1.7452059066738916E-4</v>
      </c>
      <c r="W23" t="s">
        <v>155</v>
      </c>
    </row>
    <row r="24" spans="1:23" x14ac:dyDescent="0.25">
      <c r="A24" s="33" t="s">
        <v>140</v>
      </c>
      <c r="B24" s="77">
        <f t="shared" si="3"/>
        <v>43738</v>
      </c>
      <c r="C24" s="49">
        <v>1</v>
      </c>
      <c r="D24" s="90"/>
      <c r="E24" s="91"/>
      <c r="F24" s="80">
        <f t="shared" si="4"/>
        <v>-2.4430649728923368E-4</v>
      </c>
      <c r="G24" s="80">
        <f t="shared" si="5"/>
        <v>-5.2222735944980325E-4</v>
      </c>
      <c r="H24" s="111"/>
      <c r="I24" s="81">
        <f>jar_information!L10</f>
        <v>43707.416666666664</v>
      </c>
      <c r="J24" s="82">
        <f t="shared" si="1"/>
        <v>30.583333333335759</v>
      </c>
      <c r="K24" s="82">
        <f t="shared" si="6"/>
        <v>734.00000000005821</v>
      </c>
      <c r="L24" s="83">
        <f>jar_information!G10</f>
        <v>1055.454159400779</v>
      </c>
      <c r="M24" s="82">
        <f t="shared" si="7"/>
        <v>-0.25785430873255683</v>
      </c>
      <c r="N24" s="82">
        <f t="shared" si="8"/>
        <v>-0.47187338498057901</v>
      </c>
      <c r="O24" s="84">
        <f t="shared" si="2"/>
        <v>-0.12869274135833972</v>
      </c>
      <c r="P24" s="85">
        <f t="shared" si="9"/>
        <v>-3.5368408005738483E-2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-244.30649728923368</v>
      </c>
      <c r="U24" s="10">
        <f t="shared" si="12"/>
        <v>-2.4430649728923368E-2</v>
      </c>
      <c r="V24" s="103">
        <f t="shared" si="13"/>
        <v>-1.7533071029745165E-4</v>
      </c>
      <c r="W24" t="s">
        <v>155</v>
      </c>
    </row>
    <row r="25" spans="1:23" x14ac:dyDescent="0.25">
      <c r="A25" s="33" t="s">
        <v>138</v>
      </c>
      <c r="B25" s="77">
        <f t="shared" si="3"/>
        <v>43738</v>
      </c>
      <c r="C25" s="49">
        <v>1</v>
      </c>
      <c r="D25" s="90"/>
      <c r="E25" s="91"/>
      <c r="F25" s="80">
        <f t="shared" si="4"/>
        <v>-2.4430649728923368E-4</v>
      </c>
      <c r="G25" s="80">
        <f t="shared" si="5"/>
        <v>-5.2222735944980325E-4</v>
      </c>
      <c r="H25" s="111"/>
      <c r="I25" s="81">
        <f>jar_information!L11</f>
        <v>43707.416666666664</v>
      </c>
      <c r="J25" s="82">
        <f t="shared" si="1"/>
        <v>30.583333333335759</v>
      </c>
      <c r="K25" s="82">
        <f t="shared" si="6"/>
        <v>734.00000000005821</v>
      </c>
      <c r="L25" s="83">
        <f>jar_information!G11</f>
        <v>1021.6154823015972</v>
      </c>
      <c r="M25" s="82">
        <f t="shared" si="7"/>
        <v>-0.24958730005755433</v>
      </c>
      <c r="N25" s="82">
        <f t="shared" si="8"/>
        <v>-0.45674475910532447</v>
      </c>
      <c r="O25" s="84">
        <f t="shared" si="2"/>
        <v>-0.1245667524832703</v>
      </c>
      <c r="P25" s="85">
        <f t="shared" si="9"/>
        <v>-3.5049351680271963E-2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-244.30649728923368</v>
      </c>
      <c r="U25" s="10">
        <f t="shared" si="12"/>
        <v>-2.4430649728923368E-2</v>
      </c>
      <c r="V25" s="103">
        <f t="shared" si="13"/>
        <v>-1.6970947204803872E-4</v>
      </c>
      <c r="W25" t="s">
        <v>155</v>
      </c>
    </row>
    <row r="26" spans="1:23" x14ac:dyDescent="0.25">
      <c r="A26" s="33" t="s">
        <v>141</v>
      </c>
      <c r="B26" s="77">
        <f t="shared" si="3"/>
        <v>43738</v>
      </c>
      <c r="C26" s="49">
        <v>1</v>
      </c>
      <c r="D26" s="90"/>
      <c r="E26" s="91"/>
      <c r="F26" s="80">
        <f t="shared" si="4"/>
        <v>-2.4430649728923368E-4</v>
      </c>
      <c r="G26" s="80">
        <f t="shared" si="5"/>
        <v>-5.2222735944980325E-4</v>
      </c>
      <c r="H26" s="111"/>
      <c r="I26" s="81">
        <f>jar_information!L12</f>
        <v>43707.416666666664</v>
      </c>
      <c r="J26" s="82">
        <f t="shared" si="1"/>
        <v>30.583333333335759</v>
      </c>
      <c r="K26" s="82">
        <f t="shared" si="6"/>
        <v>734.00000000005821</v>
      </c>
      <c r="L26" s="83">
        <f>jar_information!G12</f>
        <v>1045.7149806761979</v>
      </c>
      <c r="M26" s="82">
        <f t="shared" si="7"/>
        <v>-0.25547496409188059</v>
      </c>
      <c r="N26" s="82">
        <f t="shared" si="8"/>
        <v>-0.46751918428814149</v>
      </c>
      <c r="O26" s="84">
        <f t="shared" si="2"/>
        <v>-0.12750523207858402</v>
      </c>
      <c r="P26" s="85">
        <f t="shared" si="9"/>
        <v>-3.5278110494212783E-2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-244.30649728923368</v>
      </c>
      <c r="U26" s="10">
        <f t="shared" si="12"/>
        <v>-2.4430649728923368E-2</v>
      </c>
      <c r="V26" s="103">
        <f t="shared" si="13"/>
        <v>-1.7371285024328872E-4</v>
      </c>
      <c r="W26" t="s">
        <v>155</v>
      </c>
    </row>
    <row r="27" spans="1:23" x14ac:dyDescent="0.25">
      <c r="A27" s="33" t="s">
        <v>139</v>
      </c>
      <c r="B27" s="77">
        <f t="shared" si="3"/>
        <v>43738</v>
      </c>
      <c r="C27" s="49">
        <v>1</v>
      </c>
      <c r="D27" s="90"/>
      <c r="E27" s="91"/>
      <c r="F27" s="80">
        <f t="shared" si="4"/>
        <v>-2.4430649728923368E-4</v>
      </c>
      <c r="G27" s="80">
        <f t="shared" si="5"/>
        <v>-5.2222735944980325E-4</v>
      </c>
      <c r="H27" s="111"/>
      <c r="I27" s="81">
        <f>jar_information!L13</f>
        <v>43707.416666666664</v>
      </c>
      <c r="J27" s="82">
        <f t="shared" si="1"/>
        <v>30.583333333335759</v>
      </c>
      <c r="K27" s="82">
        <f t="shared" si="6"/>
        <v>734.00000000005821</v>
      </c>
      <c r="L27" s="83">
        <f>jar_information!G13</f>
        <v>1040.8668117949733</v>
      </c>
      <c r="M27" s="82">
        <f t="shared" si="7"/>
        <v>-0.25429052493424192</v>
      </c>
      <c r="N27" s="82">
        <f t="shared" si="8"/>
        <v>-0.46535166062966271</v>
      </c>
      <c r="O27" s="84">
        <f t="shared" si="2"/>
        <v>-0.12691408926263528</v>
      </c>
      <c r="P27" s="85">
        <f t="shared" si="9"/>
        <v>-3.5232705264279324E-2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-244.30649728923368</v>
      </c>
      <c r="U27" s="10">
        <f t="shared" si="12"/>
        <v>-2.4430649728923368E-2</v>
      </c>
      <c r="V27" s="103">
        <f t="shared" si="13"/>
        <v>-1.7290747855943489E-4</v>
      </c>
      <c r="W27" t="s">
        <v>155</v>
      </c>
    </row>
    <row r="28" spans="1:23" x14ac:dyDescent="0.25">
      <c r="A28" s="33" t="s">
        <v>142</v>
      </c>
      <c r="B28" s="77">
        <f t="shared" si="3"/>
        <v>43738</v>
      </c>
      <c r="C28" s="49">
        <v>1</v>
      </c>
      <c r="D28" s="90"/>
      <c r="E28" s="91"/>
      <c r="F28" s="80">
        <f t="shared" si="4"/>
        <v>-2.4430649728923368E-4</v>
      </c>
      <c r="G28" s="80">
        <f t="shared" si="5"/>
        <v>-5.2222735944980325E-4</v>
      </c>
      <c r="H28" s="111"/>
      <c r="I28" s="81">
        <f>jar_information!L14</f>
        <v>43707.416666666664</v>
      </c>
      <c r="J28" s="82">
        <f t="shared" si="1"/>
        <v>30.583333333335759</v>
      </c>
      <c r="K28" s="82">
        <f t="shared" si="6"/>
        <v>734.00000000005821</v>
      </c>
      <c r="L28" s="83">
        <f>jar_information!G14</f>
        <v>1050.5774088776614</v>
      </c>
      <c r="M28" s="82">
        <f t="shared" si="7"/>
        <v>-0.25666288689410049</v>
      </c>
      <c r="N28" s="82">
        <f t="shared" si="8"/>
        <v>-0.46969308301620394</v>
      </c>
      <c r="O28" s="84">
        <f t="shared" si="2"/>
        <v>-0.1280981135498738</v>
      </c>
      <c r="P28" s="85">
        <f t="shared" si="9"/>
        <v>-3.5323344418823031E-2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-244.30649728923368</v>
      </c>
      <c r="U28" s="10">
        <f t="shared" si="12"/>
        <v>-2.4430649728923368E-2</v>
      </c>
      <c r="V28" s="103">
        <f t="shared" si="13"/>
        <v>-1.7452059066738916E-4</v>
      </c>
      <c r="W28" t="s">
        <v>156</v>
      </c>
    </row>
    <row r="30" spans="1:23" x14ac:dyDescent="0.25">
      <c r="V30" s="103">
        <f>K21*0.004</f>
        <v>2.9823333333337216</v>
      </c>
    </row>
    <row r="31" spans="1:23" x14ac:dyDescent="0.25">
      <c r="V31" s="103">
        <f>K22*0.008</f>
        <v>5.9646666666674433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0" workbookViewId="0">
      <selection activeCell="A31" sqref="A31:A42"/>
    </sheetView>
  </sheetViews>
  <sheetFormatPr baseColWidth="10" defaultRowHeight="15" x14ac:dyDescent="0.25"/>
  <cols>
    <col min="1" max="1" width="27.42578125" bestFit="1" customWidth="1"/>
    <col min="23" max="23" width="49.8554687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43745</v>
      </c>
      <c r="C3" s="58">
        <v>2992</v>
      </c>
      <c r="D3" s="47">
        <v>1729</v>
      </c>
      <c r="E3" s="59">
        <v>447.78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43745</v>
      </c>
      <c r="C4" s="58">
        <v>2992</v>
      </c>
      <c r="D4" s="59">
        <v>1551.2</v>
      </c>
      <c r="E4" s="59">
        <v>421.32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43745</v>
      </c>
      <c r="C5" s="58">
        <v>2992</v>
      </c>
      <c r="D5" s="47">
        <v>1426.8</v>
      </c>
      <c r="E5" s="59">
        <v>368.3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43745</v>
      </c>
      <c r="C6" s="58">
        <v>2992</v>
      </c>
      <c r="D6" s="59">
        <v>1228.3</v>
      </c>
      <c r="E6" s="59">
        <v>335.36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43745</v>
      </c>
      <c r="C7" s="58">
        <v>2992</v>
      </c>
      <c r="D7" s="47">
        <v>1078.4000000000001</v>
      </c>
      <c r="E7" s="59">
        <v>290.86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43745</v>
      </c>
      <c r="C8" s="58">
        <v>2992</v>
      </c>
      <c r="D8" s="59">
        <v>882.16</v>
      </c>
      <c r="E8" s="59">
        <v>249.32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43745</v>
      </c>
      <c r="C9" s="58">
        <v>2992</v>
      </c>
      <c r="D9" s="47">
        <v>759.91</v>
      </c>
      <c r="E9" s="59">
        <v>206.98</v>
      </c>
      <c r="F9" s="60">
        <f t="shared" si="0"/>
        <v>5.984</v>
      </c>
      <c r="G9" s="63" t="s">
        <v>75</v>
      </c>
      <c r="H9" s="63"/>
      <c r="I9" s="64">
        <f>SLOPE(F3:F14,D3:D14)</f>
        <v>8.5292775637641621E-3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43745</v>
      </c>
      <c r="C10" s="58">
        <v>2992</v>
      </c>
      <c r="D10" s="47">
        <v>506.19</v>
      </c>
      <c r="E10" s="59">
        <v>147.88999999999999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-0.15597907403315148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43745</v>
      </c>
      <c r="C11" s="58">
        <v>2992</v>
      </c>
      <c r="D11" s="47">
        <v>392.68</v>
      </c>
      <c r="E11" s="59">
        <v>110.08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43745</v>
      </c>
      <c r="C12" s="58">
        <v>2992</v>
      </c>
      <c r="D12" s="65">
        <v>151.30000000000001</v>
      </c>
      <c r="E12" s="65">
        <v>43.936999999999998</v>
      </c>
      <c r="F12" s="60">
        <f t="shared" si="0"/>
        <v>1.1968000000000001</v>
      </c>
      <c r="G12" s="66" t="s">
        <v>77</v>
      </c>
      <c r="H12" s="66"/>
      <c r="I12" s="67">
        <f>SLOPE(F3:F14,E3:E14)</f>
        <v>3.2677597157480545E-2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43745</v>
      </c>
      <c r="C13" s="58">
        <v>2992</v>
      </c>
      <c r="D13" s="65">
        <v>59.243000000000002</v>
      </c>
      <c r="E13" s="65">
        <v>22.521999999999998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-0.42472229648638304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43745</v>
      </c>
      <c r="C14" s="58">
        <v>2992</v>
      </c>
      <c r="D14" s="65">
        <v>30.881</v>
      </c>
      <c r="E14" s="65">
        <v>11.24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 x14ac:dyDescent="0.25">
      <c r="A17" s="33" t="s">
        <v>132</v>
      </c>
      <c r="B17" s="77">
        <f>B3+H17</f>
        <v>43745</v>
      </c>
      <c r="C17" s="49">
        <v>1</v>
      </c>
      <c r="D17" s="78"/>
      <c r="E17" s="79"/>
      <c r="F17" s="80">
        <f>((I$9*D17)+I$10)/C17/1000</f>
        <v>-1.5597907403315148E-4</v>
      </c>
      <c r="G17" s="80">
        <f>((I$12*E17)+I$13)/C17/1000</f>
        <v>-4.2472229648638307E-4</v>
      </c>
      <c r="H17" s="111"/>
      <c r="I17" s="81">
        <f>jar_information!L3</f>
        <v>43707.416666666664</v>
      </c>
      <c r="J17" s="82">
        <f t="shared" ref="J17:J28" si="1">B17-I17</f>
        <v>37.583333333335759</v>
      </c>
      <c r="K17" s="82">
        <f>J17*24</f>
        <v>902.00000000005821</v>
      </c>
      <c r="L17" s="83">
        <f>jar_information!G3</f>
        <v>1050.5774088776614</v>
      </c>
      <c r="M17" s="82">
        <f>F17*L17</f>
        <v>-0.16386809143688519</v>
      </c>
      <c r="N17" s="82">
        <f>M17*1.83</f>
        <v>-0.29987860732949989</v>
      </c>
      <c r="O17" s="84">
        <f t="shared" ref="O17:O28" si="2">N17*(12/(12+(16*2)))</f>
        <v>-8.178507472622723E-2</v>
      </c>
      <c r="P17" s="85">
        <f>O17*(400/(400+L17))</f>
        <v>-2.2552419257516453E-2</v>
      </c>
      <c r="Q17" s="86"/>
      <c r="R17" s="86">
        <f>Q17/314.7</f>
        <v>0</v>
      </c>
      <c r="S17" s="86">
        <f>R17/P17*100</f>
        <v>0</v>
      </c>
      <c r="T17" s="87">
        <f>F17*1000000</f>
        <v>-155.97907403315148</v>
      </c>
      <c r="U17" s="10">
        <f>M17/L17*100</f>
        <v>-1.5597907403315148E-2</v>
      </c>
      <c r="V17" s="103">
        <f>O17/K17</f>
        <v>-9.06708145523525E-5</v>
      </c>
      <c r="W17" t="s">
        <v>154</v>
      </c>
    </row>
    <row r="18" spans="1:23" x14ac:dyDescent="0.25">
      <c r="A18" s="33" t="s">
        <v>133</v>
      </c>
      <c r="B18" s="77">
        <f t="shared" ref="B18:B28" si="3">B4+H18</f>
        <v>43745</v>
      </c>
      <c r="C18" s="49">
        <v>1</v>
      </c>
      <c r="D18" s="88"/>
      <c r="E18" s="89"/>
      <c r="F18" s="80">
        <f t="shared" ref="F18:F28" si="4">((I$9*D18)+I$10)/C18/1000</f>
        <v>-1.5597907403315148E-4</v>
      </c>
      <c r="G18" s="80">
        <f t="shared" ref="G18:G28" si="5">((I$12*E18)+I$13)/C18/1000</f>
        <v>-4.2472229648638307E-4</v>
      </c>
      <c r="H18" s="111"/>
      <c r="I18" s="81">
        <f>jar_information!L4</f>
        <v>43707.416666666664</v>
      </c>
      <c r="J18" s="82">
        <f t="shared" si="1"/>
        <v>37.583333333335759</v>
      </c>
      <c r="K18" s="82">
        <f t="shared" ref="K18:K28" si="6">J18*24</f>
        <v>902.00000000005821</v>
      </c>
      <c r="L18" s="83">
        <f>jar_information!G4</f>
        <v>1050.5774088776614</v>
      </c>
      <c r="M18" s="82">
        <f t="shared" ref="M18:M28" si="7">F18*L18</f>
        <v>-0.16386809143688519</v>
      </c>
      <c r="N18" s="82">
        <f t="shared" ref="N18:N28" si="8">M18*1.83</f>
        <v>-0.29987860732949989</v>
      </c>
      <c r="O18" s="84">
        <f t="shared" si="2"/>
        <v>-8.178507472622723E-2</v>
      </c>
      <c r="P18" s="85">
        <f t="shared" ref="P18:P28" si="9">O18*(400/(400+L18))</f>
        <v>-2.2552419257516453E-2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-155.97907403315148</v>
      </c>
      <c r="U18" s="10">
        <f t="shared" ref="U18:U28" si="12">M18/L18*100</f>
        <v>-1.5597907403315148E-2</v>
      </c>
      <c r="V18" s="103">
        <f t="shared" ref="V18:V28" si="13">O18/K18</f>
        <v>-9.06708145523525E-5</v>
      </c>
      <c r="W18" t="s">
        <v>154</v>
      </c>
    </row>
    <row r="19" spans="1:23" x14ac:dyDescent="0.25">
      <c r="A19" s="33" t="s">
        <v>134</v>
      </c>
      <c r="B19" s="77">
        <f t="shared" si="3"/>
        <v>43745</v>
      </c>
      <c r="C19" s="49">
        <v>1</v>
      </c>
      <c r="D19" s="90"/>
      <c r="E19" s="91"/>
      <c r="F19" s="80">
        <f t="shared" si="4"/>
        <v>-1.5597907403315148E-4</v>
      </c>
      <c r="G19" s="80">
        <f t="shared" si="5"/>
        <v>-4.2472229648638307E-4</v>
      </c>
      <c r="H19" s="111"/>
      <c r="I19" s="81">
        <f>jar_information!L5</f>
        <v>43707.416666666664</v>
      </c>
      <c r="J19" s="82">
        <f t="shared" si="1"/>
        <v>37.583333333335759</v>
      </c>
      <c r="K19" s="82">
        <f t="shared" si="6"/>
        <v>902.00000000005821</v>
      </c>
      <c r="L19" s="83">
        <f>jar_information!G5</f>
        <v>1050.5774088776614</v>
      </c>
      <c r="M19" s="82">
        <f t="shared" si="7"/>
        <v>-0.16386809143688519</v>
      </c>
      <c r="N19" s="82">
        <f t="shared" si="8"/>
        <v>-0.29987860732949989</v>
      </c>
      <c r="O19" s="84">
        <f t="shared" si="2"/>
        <v>-8.178507472622723E-2</v>
      </c>
      <c r="P19" s="85">
        <f t="shared" si="9"/>
        <v>-2.2552419257516453E-2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-155.97907403315148</v>
      </c>
      <c r="U19" s="10">
        <f t="shared" si="12"/>
        <v>-1.5597907403315148E-2</v>
      </c>
      <c r="V19" s="103">
        <f t="shared" si="13"/>
        <v>-9.06708145523525E-5</v>
      </c>
      <c r="W19" s="115" t="s">
        <v>320</v>
      </c>
    </row>
    <row r="20" spans="1:23" x14ac:dyDescent="0.25">
      <c r="A20" s="33" t="s">
        <v>135</v>
      </c>
      <c r="B20" s="77">
        <f t="shared" si="3"/>
        <v>43745</v>
      </c>
      <c r="C20" s="49">
        <v>1</v>
      </c>
      <c r="D20" s="90"/>
      <c r="E20" s="91"/>
      <c r="F20" s="80">
        <f t="shared" si="4"/>
        <v>-1.5597907403315148E-4</v>
      </c>
      <c r="G20" s="80">
        <f t="shared" si="5"/>
        <v>-4.2472229648638307E-4</v>
      </c>
      <c r="H20" s="111"/>
      <c r="I20" s="81">
        <f>jar_information!L6</f>
        <v>43707.416666666664</v>
      </c>
      <c r="J20" s="82">
        <f t="shared" si="1"/>
        <v>37.583333333335759</v>
      </c>
      <c r="K20" s="82">
        <f t="shared" si="6"/>
        <v>902.00000000005821</v>
      </c>
      <c r="L20" s="83">
        <f>jar_information!G6</f>
        <v>1055.454159400779</v>
      </c>
      <c r="M20" s="82">
        <f t="shared" si="7"/>
        <v>-0.16462876246777178</v>
      </c>
      <c r="N20" s="82">
        <f t="shared" si="8"/>
        <v>-0.30127063531602238</v>
      </c>
      <c r="O20" s="84">
        <f t="shared" si="2"/>
        <v>-8.2164718722551558E-2</v>
      </c>
      <c r="P20" s="85">
        <f t="shared" si="9"/>
        <v>-2.2581190398021016E-2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-155.97907403315148</v>
      </c>
      <c r="U20" s="10">
        <f t="shared" si="12"/>
        <v>-1.5597907403315148E-2</v>
      </c>
      <c r="V20" s="103">
        <f t="shared" si="13"/>
        <v>-9.1091705900827333E-5</v>
      </c>
      <c r="W20" s="115" t="s">
        <v>320</v>
      </c>
    </row>
    <row r="21" spans="1:23" x14ac:dyDescent="0.25">
      <c r="A21" s="33" t="s">
        <v>136</v>
      </c>
      <c r="B21" s="77">
        <f t="shared" si="3"/>
        <v>43745.482638888891</v>
      </c>
      <c r="C21" s="49">
        <v>1</v>
      </c>
      <c r="D21" s="90">
        <v>549.53</v>
      </c>
      <c r="E21" s="91">
        <v>163.58000000000001</v>
      </c>
      <c r="F21" s="80">
        <f t="shared" si="4"/>
        <v>4.5311148255821687E-3</v>
      </c>
      <c r="G21" s="80">
        <f t="shared" si="5"/>
        <v>4.920679046534285E-3</v>
      </c>
      <c r="H21" s="111">
        <v>0.4826388888888889</v>
      </c>
      <c r="I21" s="81">
        <f>jar_information!L7</f>
        <v>43707.416666666664</v>
      </c>
      <c r="J21" s="82">
        <f t="shared" si="1"/>
        <v>38.065972222226264</v>
      </c>
      <c r="K21" s="82">
        <f t="shared" si="6"/>
        <v>913.58333333343035</v>
      </c>
      <c r="L21" s="83">
        <f>jar_information!G7</f>
        <v>1065.2508812788285</v>
      </c>
      <c r="M21" s="82">
        <f t="shared" si="7"/>
        <v>4.8267740611269705</v>
      </c>
      <c r="N21" s="82">
        <f t="shared" si="8"/>
        <v>8.8329965318623564</v>
      </c>
      <c r="O21" s="84">
        <f t="shared" si="2"/>
        <v>2.408999054144279</v>
      </c>
      <c r="P21" s="85">
        <f t="shared" si="9"/>
        <v>0.65763456208721738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4531.114825582169</v>
      </c>
      <c r="U21" s="10">
        <f t="shared" si="12"/>
        <v>0.45311148255821687</v>
      </c>
      <c r="V21" s="103">
        <f t="shared" si="13"/>
        <v>2.6368684347102323E-3</v>
      </c>
      <c r="W21" t="s">
        <v>321</v>
      </c>
    </row>
    <row r="22" spans="1:23" x14ac:dyDescent="0.25">
      <c r="A22" s="33" t="s">
        <v>145</v>
      </c>
      <c r="B22" s="77">
        <f t="shared" si="3"/>
        <v>43745</v>
      </c>
      <c r="C22" s="49">
        <v>1</v>
      </c>
      <c r="D22" s="90"/>
      <c r="E22" s="91"/>
      <c r="F22" s="80">
        <f t="shared" si="4"/>
        <v>-1.5597907403315148E-4</v>
      </c>
      <c r="G22" s="80">
        <f t="shared" si="5"/>
        <v>-4.2472229648638307E-4</v>
      </c>
      <c r="H22" s="111"/>
      <c r="I22" s="81">
        <f>jar_information!L8</f>
        <v>43707.416666666664</v>
      </c>
      <c r="J22" s="82">
        <f t="shared" si="1"/>
        <v>37.583333333335759</v>
      </c>
      <c r="K22" s="82">
        <f t="shared" si="6"/>
        <v>902.00000000005821</v>
      </c>
      <c r="L22" s="83">
        <f>jar_information!G8</f>
        <v>1050.5774088776614</v>
      </c>
      <c r="M22" s="82">
        <f t="shared" si="7"/>
        <v>-0.16386809143688519</v>
      </c>
      <c r="N22" s="82">
        <f t="shared" si="8"/>
        <v>-0.29987860732949989</v>
      </c>
      <c r="O22" s="84">
        <f t="shared" si="2"/>
        <v>-8.178507472622723E-2</v>
      </c>
      <c r="P22" s="85">
        <f t="shared" si="9"/>
        <v>-2.2552419257516453E-2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-155.97907403315148</v>
      </c>
      <c r="U22" s="10">
        <f t="shared" si="12"/>
        <v>-1.5597907403315148E-2</v>
      </c>
      <c r="V22" s="103">
        <f t="shared" si="13"/>
        <v>-9.06708145523525E-5</v>
      </c>
      <c r="W22" t="s">
        <v>322</v>
      </c>
    </row>
    <row r="23" spans="1:23" x14ac:dyDescent="0.25">
      <c r="A23" s="33" t="s">
        <v>137</v>
      </c>
      <c r="B23" s="77">
        <f t="shared" si="3"/>
        <v>43745</v>
      </c>
      <c r="C23" s="49">
        <v>1</v>
      </c>
      <c r="D23" s="90"/>
      <c r="E23" s="91"/>
      <c r="F23" s="80">
        <f t="shared" si="4"/>
        <v>-1.5597907403315148E-4</v>
      </c>
      <c r="G23" s="80">
        <f t="shared" si="5"/>
        <v>-4.2472229648638307E-4</v>
      </c>
      <c r="H23" s="111"/>
      <c r="I23" s="81">
        <f>jar_information!L9</f>
        <v>43707.416666666664</v>
      </c>
      <c r="J23" s="82">
        <f t="shared" si="1"/>
        <v>37.583333333335759</v>
      </c>
      <c r="K23" s="82">
        <f t="shared" si="6"/>
        <v>902.00000000005821</v>
      </c>
      <c r="L23" s="83">
        <f>jar_information!G9</f>
        <v>1050.5774088776614</v>
      </c>
      <c r="M23" s="82">
        <f t="shared" si="7"/>
        <v>-0.16386809143688519</v>
      </c>
      <c r="N23" s="82">
        <f t="shared" si="8"/>
        <v>-0.29987860732949989</v>
      </c>
      <c r="O23" s="84">
        <f t="shared" si="2"/>
        <v>-8.178507472622723E-2</v>
      </c>
      <c r="P23" s="85">
        <f t="shared" si="9"/>
        <v>-2.2552419257516453E-2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-155.97907403315148</v>
      </c>
      <c r="U23" s="10">
        <f t="shared" si="12"/>
        <v>-1.5597907403315148E-2</v>
      </c>
      <c r="V23" s="103">
        <f t="shared" si="13"/>
        <v>-9.06708145523525E-5</v>
      </c>
      <c r="W23" t="s">
        <v>155</v>
      </c>
    </row>
    <row r="24" spans="1:23" x14ac:dyDescent="0.25">
      <c r="A24" s="33" t="s">
        <v>140</v>
      </c>
      <c r="B24" s="77">
        <f t="shared" si="3"/>
        <v>43745</v>
      </c>
      <c r="C24" s="49">
        <v>1</v>
      </c>
      <c r="D24" s="90"/>
      <c r="E24" s="91"/>
      <c r="F24" s="80">
        <f t="shared" si="4"/>
        <v>-1.5597907403315148E-4</v>
      </c>
      <c r="G24" s="80">
        <f t="shared" si="5"/>
        <v>-4.2472229648638307E-4</v>
      </c>
      <c r="H24" s="111"/>
      <c r="I24" s="81">
        <f>jar_information!L10</f>
        <v>43707.416666666664</v>
      </c>
      <c r="J24" s="82">
        <f t="shared" si="1"/>
        <v>37.583333333335759</v>
      </c>
      <c r="K24" s="82">
        <f t="shared" si="6"/>
        <v>902.00000000005821</v>
      </c>
      <c r="L24" s="83">
        <f>jar_information!G10</f>
        <v>1055.454159400779</v>
      </c>
      <c r="M24" s="82">
        <f t="shared" si="7"/>
        <v>-0.16462876246777178</v>
      </c>
      <c r="N24" s="82">
        <f t="shared" si="8"/>
        <v>-0.30127063531602238</v>
      </c>
      <c r="O24" s="84">
        <f t="shared" si="2"/>
        <v>-8.2164718722551558E-2</v>
      </c>
      <c r="P24" s="85">
        <f t="shared" si="9"/>
        <v>-2.2581190398021016E-2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-155.97907403315148</v>
      </c>
      <c r="U24" s="10">
        <f t="shared" si="12"/>
        <v>-1.5597907403315148E-2</v>
      </c>
      <c r="V24" s="103">
        <f t="shared" si="13"/>
        <v>-9.1091705900827333E-5</v>
      </c>
      <c r="W24" t="s">
        <v>155</v>
      </c>
    </row>
    <row r="25" spans="1:23" x14ac:dyDescent="0.25">
      <c r="A25" s="33" t="s">
        <v>138</v>
      </c>
      <c r="B25" s="77">
        <f t="shared" si="3"/>
        <v>43745</v>
      </c>
      <c r="C25" s="49">
        <v>1</v>
      </c>
      <c r="D25" s="90"/>
      <c r="E25" s="91"/>
      <c r="F25" s="80">
        <f t="shared" si="4"/>
        <v>-1.5597907403315148E-4</v>
      </c>
      <c r="G25" s="80">
        <f t="shared" si="5"/>
        <v>-4.2472229648638307E-4</v>
      </c>
      <c r="H25" s="111"/>
      <c r="I25" s="81">
        <f>jar_information!L11</f>
        <v>43707.416666666664</v>
      </c>
      <c r="J25" s="82">
        <f t="shared" si="1"/>
        <v>37.583333333335759</v>
      </c>
      <c r="K25" s="82">
        <f t="shared" si="6"/>
        <v>902.00000000005821</v>
      </c>
      <c r="L25" s="83">
        <f>jar_information!G11</f>
        <v>1021.6154823015972</v>
      </c>
      <c r="M25" s="82">
        <f t="shared" si="7"/>
        <v>-0.15935063694733459</v>
      </c>
      <c r="N25" s="82">
        <f t="shared" si="8"/>
        <v>-0.29161166561362228</v>
      </c>
      <c r="O25" s="84">
        <f t="shared" si="2"/>
        <v>-7.9530454258260622E-2</v>
      </c>
      <c r="P25" s="85">
        <f t="shared" si="9"/>
        <v>-2.2377486809443219E-2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-155.97907403315148</v>
      </c>
      <c r="U25" s="10">
        <f t="shared" si="12"/>
        <v>-1.5597907403315148E-2</v>
      </c>
      <c r="V25" s="103">
        <f t="shared" si="13"/>
        <v>-8.8171235319573716E-5</v>
      </c>
      <c r="W25" t="s">
        <v>155</v>
      </c>
    </row>
    <row r="26" spans="1:23" x14ac:dyDescent="0.25">
      <c r="A26" s="33" t="s">
        <v>141</v>
      </c>
      <c r="B26" s="77">
        <f t="shared" si="3"/>
        <v>43745</v>
      </c>
      <c r="C26" s="49">
        <v>1</v>
      </c>
      <c r="D26" s="90"/>
      <c r="E26" s="91"/>
      <c r="F26" s="80">
        <f t="shared" si="4"/>
        <v>-1.5597907403315148E-4</v>
      </c>
      <c r="G26" s="80">
        <f t="shared" si="5"/>
        <v>-4.2472229648638307E-4</v>
      </c>
      <c r="H26" s="111"/>
      <c r="I26" s="81">
        <f>jar_information!L12</f>
        <v>43707.416666666664</v>
      </c>
      <c r="J26" s="82">
        <f t="shared" si="1"/>
        <v>37.583333333335759</v>
      </c>
      <c r="K26" s="82">
        <f t="shared" si="6"/>
        <v>902.00000000005821</v>
      </c>
      <c r="L26" s="83">
        <f>jar_information!G12</f>
        <v>1045.7149806761979</v>
      </c>
      <c r="M26" s="82">
        <f t="shared" si="7"/>
        <v>-0.16310965438846825</v>
      </c>
      <c r="N26" s="82">
        <f t="shared" si="8"/>
        <v>-0.29849066753089692</v>
      </c>
      <c r="O26" s="84">
        <f t="shared" si="2"/>
        <v>-8.1406545690244608E-2</v>
      </c>
      <c r="P26" s="85">
        <f t="shared" si="9"/>
        <v>-2.2523539363801484E-2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-155.97907403315148</v>
      </c>
      <c r="U26" s="10">
        <f t="shared" si="12"/>
        <v>-1.5597907403315148E-2</v>
      </c>
      <c r="V26" s="103">
        <f t="shared" si="13"/>
        <v>-9.0251159301817465E-5</v>
      </c>
      <c r="W26" t="s">
        <v>155</v>
      </c>
    </row>
    <row r="27" spans="1:23" x14ac:dyDescent="0.25">
      <c r="A27" s="33" t="s">
        <v>139</v>
      </c>
      <c r="B27" s="77">
        <f t="shared" si="3"/>
        <v>43745</v>
      </c>
      <c r="C27" s="49">
        <v>1</v>
      </c>
      <c r="D27" s="90"/>
      <c r="E27" s="91"/>
      <c r="F27" s="80">
        <f t="shared" si="4"/>
        <v>-1.5597907403315148E-4</v>
      </c>
      <c r="G27" s="80">
        <f t="shared" si="5"/>
        <v>-4.2472229648638307E-4</v>
      </c>
      <c r="H27" s="111"/>
      <c r="I27" s="81">
        <f>jar_information!L13</f>
        <v>43707.416666666664</v>
      </c>
      <c r="J27" s="82">
        <f t="shared" si="1"/>
        <v>37.583333333335759</v>
      </c>
      <c r="K27" s="82">
        <f t="shared" si="6"/>
        <v>902.00000000005821</v>
      </c>
      <c r="L27" s="83">
        <f>jar_information!G13</f>
        <v>1040.8668117949733</v>
      </c>
      <c r="M27" s="82">
        <f t="shared" si="7"/>
        <v>-0.16235344149561848</v>
      </c>
      <c r="N27" s="82">
        <f t="shared" si="8"/>
        <v>-0.2971067979369818</v>
      </c>
      <c r="O27" s="84">
        <f t="shared" si="2"/>
        <v>-8.1029126710085941E-2</v>
      </c>
      <c r="P27" s="85">
        <f t="shared" si="9"/>
        <v>-2.249455009908741E-2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-155.97907403315148</v>
      </c>
      <c r="U27" s="10">
        <f t="shared" si="12"/>
        <v>-1.5597907403315148E-2</v>
      </c>
      <c r="V27" s="103">
        <f t="shared" si="13"/>
        <v>-8.9832734711841147E-5</v>
      </c>
      <c r="W27" t="s">
        <v>155</v>
      </c>
    </row>
    <row r="28" spans="1:23" x14ac:dyDescent="0.25">
      <c r="A28" s="33" t="s">
        <v>142</v>
      </c>
      <c r="B28" s="77">
        <f t="shared" si="3"/>
        <v>43745</v>
      </c>
      <c r="C28" s="49">
        <v>1</v>
      </c>
      <c r="D28" s="90"/>
      <c r="E28" s="91"/>
      <c r="F28" s="80">
        <f t="shared" si="4"/>
        <v>-1.5597907403315148E-4</v>
      </c>
      <c r="G28" s="80">
        <f t="shared" si="5"/>
        <v>-4.2472229648638307E-4</v>
      </c>
      <c r="H28" s="111"/>
      <c r="I28" s="81">
        <f>jar_information!L14</f>
        <v>43707.416666666664</v>
      </c>
      <c r="J28" s="82">
        <f t="shared" si="1"/>
        <v>37.583333333335759</v>
      </c>
      <c r="K28" s="82">
        <f t="shared" si="6"/>
        <v>902.00000000005821</v>
      </c>
      <c r="L28" s="83">
        <f>jar_information!G14</f>
        <v>1050.5774088776614</v>
      </c>
      <c r="M28" s="82">
        <f t="shared" si="7"/>
        <v>-0.16386809143688519</v>
      </c>
      <c r="N28" s="82">
        <f t="shared" si="8"/>
        <v>-0.29987860732949989</v>
      </c>
      <c r="O28" s="84">
        <f t="shared" si="2"/>
        <v>-8.178507472622723E-2</v>
      </c>
      <c r="P28" s="85">
        <f t="shared" si="9"/>
        <v>-2.2552419257516453E-2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-155.97907403315148</v>
      </c>
      <c r="U28" s="10">
        <f t="shared" si="12"/>
        <v>-1.5597907403315148E-2</v>
      </c>
      <c r="V28" s="103">
        <f t="shared" si="13"/>
        <v>-9.06708145523525E-5</v>
      </c>
      <c r="W28" t="s">
        <v>156</v>
      </c>
    </row>
    <row r="30" spans="1:23" x14ac:dyDescent="0.25">
      <c r="V30" s="103">
        <f>K21*0.004</f>
        <v>3.6543333333337213</v>
      </c>
    </row>
    <row r="31" spans="1:23" x14ac:dyDescent="0.25">
      <c r="A31" t="str">
        <f>CONCATENATE(A17,"_Inc_fresh_",B31)</f>
        <v>HEW22-1_Inc_fresh_09092019</v>
      </c>
      <c r="B31" s="181" t="s">
        <v>323</v>
      </c>
      <c r="V31" s="103">
        <f>K22*0.008</f>
        <v>7.2160000000004656</v>
      </c>
    </row>
    <row r="32" spans="1:23" x14ac:dyDescent="0.25">
      <c r="A32" t="str">
        <f t="shared" ref="A32:A42" si="15">CONCATENATE(A18,"_Inc_fresh_",B32)</f>
        <v>HEW22-2_Inc_fresh_09092019</v>
      </c>
      <c r="B32" s="181" t="s">
        <v>323</v>
      </c>
    </row>
    <row r="33" spans="1:2" x14ac:dyDescent="0.25">
      <c r="A33" t="str">
        <f t="shared" si="15"/>
        <v>HEW41-1_Inc_fresh_13092019</v>
      </c>
      <c r="B33" s="181">
        <v>13092019</v>
      </c>
    </row>
    <row r="34" spans="1:2" x14ac:dyDescent="0.25">
      <c r="A34" t="str">
        <f t="shared" si="15"/>
        <v>HEW41-2_Inc_fresh_13092019</v>
      </c>
      <c r="B34" s="181">
        <v>13092019</v>
      </c>
    </row>
    <row r="35" spans="1:2" x14ac:dyDescent="0.25">
      <c r="A35" t="str">
        <f t="shared" si="15"/>
        <v>HEW42-1_Inc_fresh_07102019</v>
      </c>
      <c r="B35" s="181" t="s">
        <v>324</v>
      </c>
    </row>
    <row r="36" spans="1:2" x14ac:dyDescent="0.25">
      <c r="A36" t="str">
        <f t="shared" si="15"/>
        <v>HEW42-2_Inc_fresh_30092019</v>
      </c>
      <c r="B36" s="181" t="s">
        <v>325</v>
      </c>
    </row>
    <row r="37" spans="1:2" x14ac:dyDescent="0.25">
      <c r="A37" t="str">
        <f t="shared" si="15"/>
        <v>HEG10-1_Inc_fresh_06092019</v>
      </c>
      <c r="B37" s="181" t="s">
        <v>326</v>
      </c>
    </row>
    <row r="38" spans="1:2" x14ac:dyDescent="0.25">
      <c r="A38" t="str">
        <f t="shared" si="15"/>
        <v>HEG10-2_Inc_fresh_06092019</v>
      </c>
      <c r="B38" s="181" t="s">
        <v>326</v>
      </c>
    </row>
    <row r="39" spans="1:2" x14ac:dyDescent="0.25">
      <c r="A39" t="str">
        <f t="shared" si="15"/>
        <v>HEG32-1_Inc_fresh_06092019</v>
      </c>
      <c r="B39" s="181" t="s">
        <v>326</v>
      </c>
    </row>
    <row r="40" spans="1:2" x14ac:dyDescent="0.25">
      <c r="A40" t="str">
        <f t="shared" si="15"/>
        <v>HEG32-2_Inc_fresh_06092019</v>
      </c>
      <c r="B40" s="181" t="s">
        <v>326</v>
      </c>
    </row>
    <row r="41" spans="1:2" x14ac:dyDescent="0.25">
      <c r="A41" t="str">
        <f t="shared" si="15"/>
        <v>HEG48-1_Inc_fresh_06092019</v>
      </c>
      <c r="B41" s="181" t="s">
        <v>326</v>
      </c>
    </row>
    <row r="42" spans="1:2" x14ac:dyDescent="0.25">
      <c r="A42" t="str">
        <f t="shared" si="15"/>
        <v>HEG48-2_Inc_fresh_06092019</v>
      </c>
      <c r="B42" s="181" t="s">
        <v>326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40625" defaultRowHeight="15" x14ac:dyDescent="0.25"/>
  <cols>
    <col min="2" max="2" width="12.85546875" bestFit="1" customWidth="1"/>
    <col min="8" max="8" width="11.42578125" customWidth="1"/>
    <col min="9" max="9" width="10.28515625" customWidth="1"/>
  </cols>
  <sheetData>
    <row r="1" spans="1:19" x14ac:dyDescent="0.25">
      <c r="A1" s="174" t="s">
        <v>5</v>
      </c>
      <c r="B1" s="175" t="s">
        <v>6</v>
      </c>
      <c r="C1" s="174" t="s">
        <v>7</v>
      </c>
      <c r="D1" s="174" t="s">
        <v>8</v>
      </c>
      <c r="E1" s="174" t="s">
        <v>48</v>
      </c>
      <c r="F1" s="174" t="s">
        <v>9</v>
      </c>
      <c r="G1" s="174" t="s">
        <v>10</v>
      </c>
      <c r="H1" s="176" t="s">
        <v>50</v>
      </c>
      <c r="I1" s="176" t="s">
        <v>49</v>
      </c>
      <c r="J1" s="174" t="s">
        <v>11</v>
      </c>
      <c r="K1" s="174" t="s">
        <v>12</v>
      </c>
      <c r="L1" s="174" t="s">
        <v>13</v>
      </c>
      <c r="M1" s="174" t="s">
        <v>14</v>
      </c>
      <c r="N1" s="174" t="s">
        <v>15</v>
      </c>
      <c r="O1" s="174" t="s">
        <v>16</v>
      </c>
      <c r="P1" s="174" t="s">
        <v>17</v>
      </c>
      <c r="Q1" s="174" t="s">
        <v>18</v>
      </c>
      <c r="R1" s="174" t="s">
        <v>19</v>
      </c>
      <c r="S1" s="174" t="s">
        <v>20</v>
      </c>
    </row>
    <row r="2" spans="1:19" x14ac:dyDescent="0.25">
      <c r="A2" s="174"/>
      <c r="B2" s="175"/>
      <c r="C2" s="174"/>
      <c r="D2" s="174"/>
      <c r="E2" s="174"/>
      <c r="F2" s="174"/>
      <c r="G2" s="174"/>
      <c r="H2" s="176"/>
      <c r="I2" s="176"/>
      <c r="J2" s="174"/>
      <c r="K2" s="174"/>
      <c r="L2" s="174"/>
      <c r="M2" s="174"/>
      <c r="N2" s="174"/>
      <c r="O2" s="174"/>
      <c r="P2" s="174"/>
      <c r="Q2" s="174"/>
      <c r="R2" s="174"/>
      <c r="S2" s="174"/>
    </row>
    <row r="3" spans="1:19" x14ac:dyDescent="0.25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 x14ac:dyDescent="0.25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 x14ac:dyDescent="0.25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 x14ac:dyDescent="0.25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 x14ac:dyDescent="0.25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 x14ac:dyDescent="0.25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 x14ac:dyDescent="0.25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 x14ac:dyDescent="0.25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 x14ac:dyDescent="0.25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 x14ac:dyDescent="0.25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 x14ac:dyDescent="0.25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 x14ac:dyDescent="0.25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 x14ac:dyDescent="0.25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 x14ac:dyDescent="0.25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 x14ac:dyDescent="0.25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 x14ac:dyDescent="0.25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 x14ac:dyDescent="0.25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 x14ac:dyDescent="0.25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workbookViewId="0">
      <selection activeCell="Q19" sqref="Q19"/>
    </sheetView>
  </sheetViews>
  <sheetFormatPr baseColWidth="10" defaultRowHeight="15" x14ac:dyDescent="0.25"/>
  <cols>
    <col min="2" max="2" width="11.85546875" bestFit="1" customWidth="1"/>
    <col min="4" max="4" width="14.7109375" customWidth="1"/>
    <col min="11" max="11" width="19.7109375" bestFit="1" customWidth="1"/>
    <col min="12" max="13" width="19.140625" bestFit="1" customWidth="1"/>
    <col min="14" max="14" width="23.7109375" bestFit="1" customWidth="1"/>
  </cols>
  <sheetData>
    <row r="1" spans="1:24" x14ac:dyDescent="0.25">
      <c r="A1" s="177" t="s">
        <v>6</v>
      </c>
      <c r="B1" s="178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 x14ac:dyDescent="0.25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.75" thickBot="1" x14ac:dyDescent="0.3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.75" thickTop="1" x14ac:dyDescent="0.25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 x14ac:dyDescent="0.25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6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 t="shared" ref="M5:M11" si="0">I5*L5</f>
        <v>12.323764127764132</v>
      </c>
      <c r="N5" s="13">
        <v>31.596</v>
      </c>
      <c r="O5" s="26">
        <f t="shared" ref="O5:O12" si="1">N5-J5</f>
        <v>21.17</v>
      </c>
      <c r="P5" s="27">
        <f t="shared" ref="P5:P12" si="2">(L5-M5)/(O5-M5)</f>
        <v>0.26477203480262512</v>
      </c>
      <c r="Q5" s="29">
        <f t="shared" ref="Q5:Q12" si="3">(((O5-M5)*0.6)+M5)/L5</f>
        <v>1.2022027581553019</v>
      </c>
      <c r="R5" s="13"/>
      <c r="S5">
        <v>24</v>
      </c>
      <c r="T5" s="30">
        <f t="shared" ref="T5:T12" si="4">S5*(Q5-1)</f>
        <v>4.8528661957272448</v>
      </c>
      <c r="U5">
        <v>1</v>
      </c>
      <c r="X5" s="33"/>
    </row>
    <row r="6" spans="1:24" x14ac:dyDescent="0.25">
      <c r="A6" s="105" t="s">
        <v>128</v>
      </c>
      <c r="B6" s="33" t="s">
        <v>121</v>
      </c>
      <c r="C6">
        <v>53.54</v>
      </c>
      <c r="D6">
        <f t="shared" ref="D6:D16" si="5">F6-C6</f>
        <v>6.1000000000000014</v>
      </c>
      <c r="E6" s="29">
        <v>7.47</v>
      </c>
      <c r="F6">
        <v>59.64</v>
      </c>
      <c r="G6" s="26">
        <f t="shared" ref="G6:G16" si="6">E6-(F6-C6)</f>
        <v>1.3699999999999983</v>
      </c>
      <c r="H6" s="108">
        <f t="shared" ref="H6:H16" si="7">G6/E6</f>
        <v>0.18340026773761692</v>
      </c>
      <c r="I6" s="107">
        <f t="shared" ref="I6:I16" si="8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si="0"/>
        <v>12.328206157965196</v>
      </c>
      <c r="N6" s="13">
        <v>32.164999999999999</v>
      </c>
      <c r="O6" s="26">
        <f t="shared" si="1"/>
        <v>21.768999999999998</v>
      </c>
      <c r="P6" s="27">
        <f t="shared" si="2"/>
        <v>0.29327976951544543</v>
      </c>
      <c r="Q6" s="29">
        <f t="shared" si="3"/>
        <v>1.1918051575270636</v>
      </c>
      <c r="R6" s="13"/>
      <c r="S6">
        <v>25</v>
      </c>
      <c r="T6" s="30">
        <f t="shared" si="4"/>
        <v>4.7951289381765907</v>
      </c>
      <c r="U6">
        <v>2</v>
      </c>
      <c r="X6" s="33"/>
    </row>
    <row r="7" spans="1:24" x14ac:dyDescent="0.25">
      <c r="A7" s="105" t="s">
        <v>128</v>
      </c>
      <c r="B7" s="33" t="s">
        <v>122</v>
      </c>
      <c r="C7">
        <v>51.18</v>
      </c>
      <c r="D7">
        <f t="shared" si="5"/>
        <v>8.0200000000000031</v>
      </c>
      <c r="E7" s="29">
        <v>9.77</v>
      </c>
      <c r="F7">
        <v>59.2</v>
      </c>
      <c r="G7" s="26">
        <f t="shared" si="6"/>
        <v>1.7499999999999964</v>
      </c>
      <c r="H7" s="108">
        <f t="shared" si="7"/>
        <v>0.17911975435005081</v>
      </c>
      <c r="I7" s="107">
        <f t="shared" si="8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0"/>
        <v>12.797523029682708</v>
      </c>
      <c r="N7" s="13">
        <v>30.97</v>
      </c>
      <c r="O7" s="26">
        <f t="shared" si="1"/>
        <v>20.545999999999999</v>
      </c>
      <c r="P7" s="27">
        <f t="shared" si="2"/>
        <v>0.36039043298633477</v>
      </c>
      <c r="Q7" s="29">
        <f t="shared" si="3"/>
        <v>1.1190897506012241</v>
      </c>
      <c r="R7" s="22"/>
      <c r="S7">
        <v>24.5</v>
      </c>
      <c r="T7" s="30">
        <f t="shared" si="4"/>
        <v>2.9176988897299898</v>
      </c>
      <c r="U7">
        <v>3</v>
      </c>
      <c r="W7" s="7"/>
      <c r="X7" s="33"/>
    </row>
    <row r="8" spans="1:24" x14ac:dyDescent="0.25">
      <c r="A8" s="105" t="s">
        <v>128</v>
      </c>
      <c r="B8" s="33" t="s">
        <v>123</v>
      </c>
      <c r="C8">
        <v>52.25</v>
      </c>
      <c r="D8">
        <f t="shared" si="5"/>
        <v>5.4500000000000028</v>
      </c>
      <c r="E8" s="29">
        <v>7.08</v>
      </c>
      <c r="F8">
        <v>57.7</v>
      </c>
      <c r="G8" s="26">
        <f t="shared" si="6"/>
        <v>1.6299999999999972</v>
      </c>
      <c r="H8" s="108">
        <f t="shared" si="7"/>
        <v>0.23022598870056457</v>
      </c>
      <c r="I8" s="107">
        <f t="shared" si="8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0"/>
        <v>12.307146892655373</v>
      </c>
      <c r="N8" s="13">
        <v>33.267000000000003</v>
      </c>
      <c r="O8" s="26">
        <f t="shared" si="1"/>
        <v>22.862000000000002</v>
      </c>
      <c r="P8" s="27">
        <f t="shared" si="2"/>
        <v>0.34873560720454677</v>
      </c>
      <c r="Q8" s="29">
        <f t="shared" si="3"/>
        <v>1.1658780808770421</v>
      </c>
      <c r="R8" s="13"/>
      <c r="S8">
        <v>26</v>
      </c>
      <c r="T8" s="30">
        <f t="shared" si="4"/>
        <v>4.3128301028030958</v>
      </c>
      <c r="U8">
        <v>4</v>
      </c>
      <c r="W8" s="7"/>
      <c r="X8" s="33"/>
    </row>
    <row r="9" spans="1:24" x14ac:dyDescent="0.25">
      <c r="A9" s="105" t="s">
        <v>128</v>
      </c>
      <c r="B9" s="33" t="s">
        <v>124</v>
      </c>
      <c r="C9">
        <v>48.77</v>
      </c>
      <c r="D9">
        <f t="shared" si="5"/>
        <v>6.5799999999999983</v>
      </c>
      <c r="E9" s="29">
        <v>7.92</v>
      </c>
      <c r="F9">
        <v>55.35</v>
      </c>
      <c r="G9" s="26">
        <f t="shared" si="6"/>
        <v>1.3400000000000016</v>
      </c>
      <c r="H9" s="108">
        <f t="shared" si="7"/>
        <v>0.16919191919191939</v>
      </c>
      <c r="I9" s="107">
        <f t="shared" si="8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0"/>
        <v>12.836815656565653</v>
      </c>
      <c r="N9" s="13">
        <v>32.561</v>
      </c>
      <c r="O9" s="26">
        <f t="shared" si="1"/>
        <v>22.201999999999998</v>
      </c>
      <c r="P9" s="27">
        <f t="shared" si="2"/>
        <v>0.27913858900888322</v>
      </c>
      <c r="Q9" s="29">
        <f t="shared" si="3"/>
        <v>1.1944810214630937</v>
      </c>
      <c r="R9" s="13"/>
      <c r="S9">
        <v>24</v>
      </c>
      <c r="T9" s="30">
        <f t="shared" si="4"/>
        <v>4.6675445151142476</v>
      </c>
      <c r="U9">
        <v>5</v>
      </c>
      <c r="X9" s="33"/>
    </row>
    <row r="10" spans="1:24" x14ac:dyDescent="0.25">
      <c r="A10" s="105" t="s">
        <v>128</v>
      </c>
      <c r="B10" s="33" t="s">
        <v>125</v>
      </c>
      <c r="C10">
        <v>49.03</v>
      </c>
      <c r="D10">
        <f t="shared" si="5"/>
        <v>5.8299999999999983</v>
      </c>
      <c r="E10" s="29">
        <v>7.24</v>
      </c>
      <c r="F10">
        <v>54.86</v>
      </c>
      <c r="G10" s="26">
        <f t="shared" si="6"/>
        <v>1.4100000000000019</v>
      </c>
      <c r="H10" s="108">
        <f t="shared" si="7"/>
        <v>0.19475138121546987</v>
      </c>
      <c r="I10" s="107">
        <f t="shared" si="8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0"/>
        <v>13.016038674033146</v>
      </c>
      <c r="N10" s="13">
        <v>33.450000000000003</v>
      </c>
      <c r="O10" s="26">
        <f t="shared" si="1"/>
        <v>23.024000000000001</v>
      </c>
      <c r="P10" s="27">
        <f t="shared" si="2"/>
        <v>0.31454571250181523</v>
      </c>
      <c r="Q10" s="29">
        <f t="shared" si="3"/>
        <v>1.1767393881225721</v>
      </c>
      <c r="R10" s="13"/>
      <c r="S10">
        <v>25</v>
      </c>
      <c r="T10" s="30">
        <f t="shared" si="4"/>
        <v>4.4184847030643013</v>
      </c>
      <c r="U10">
        <v>6</v>
      </c>
      <c r="X10" s="33"/>
    </row>
    <row r="11" spans="1:24" x14ac:dyDescent="0.25">
      <c r="A11" s="13"/>
      <c r="B11" s="33"/>
      <c r="D11">
        <f t="shared" si="5"/>
        <v>0</v>
      </c>
      <c r="E11" s="29"/>
      <c r="G11" s="26">
        <f t="shared" si="6"/>
        <v>0</v>
      </c>
      <c r="H11" s="108" t="e">
        <f t="shared" si="7"/>
        <v>#DIV/0!</v>
      </c>
      <c r="I11" s="107" t="e">
        <f t="shared" si="8"/>
        <v>#DIV/0!</v>
      </c>
      <c r="J11" s="13">
        <v>10.426</v>
      </c>
      <c r="K11" s="26"/>
      <c r="L11" s="13"/>
      <c r="M11" s="28" t="e">
        <f t="shared" si="0"/>
        <v>#DIV/0!</v>
      </c>
      <c r="N11" s="22"/>
      <c r="O11" s="26">
        <f t="shared" si="1"/>
        <v>-10.426</v>
      </c>
      <c r="P11" s="27" t="e">
        <f t="shared" si="2"/>
        <v>#DIV/0!</v>
      </c>
      <c r="Q11" s="29" t="e">
        <f t="shared" si="3"/>
        <v>#DIV/0!</v>
      </c>
      <c r="R11" s="13"/>
      <c r="S11" s="105">
        <v>30</v>
      </c>
      <c r="T11" s="30" t="e">
        <f t="shared" si="4"/>
        <v>#DIV/0!</v>
      </c>
      <c r="W11" s="7"/>
      <c r="X11" s="33"/>
    </row>
    <row r="12" spans="1:24" x14ac:dyDescent="0.25">
      <c r="A12" s="13"/>
      <c r="B12" s="33"/>
      <c r="D12">
        <f t="shared" si="5"/>
        <v>0</v>
      </c>
      <c r="E12" s="29"/>
      <c r="G12" s="26">
        <f t="shared" si="6"/>
        <v>0</v>
      </c>
      <c r="H12" s="108" t="e">
        <f t="shared" si="7"/>
        <v>#DIV/0!</v>
      </c>
      <c r="I12" s="107" t="e">
        <f t="shared" si="8"/>
        <v>#DIV/0!</v>
      </c>
      <c r="J12" s="22">
        <v>10.396000000000001</v>
      </c>
      <c r="K12" s="26"/>
      <c r="L12" s="22"/>
      <c r="M12" s="28" t="e">
        <f>I12*L12</f>
        <v>#DIV/0!</v>
      </c>
      <c r="N12" s="22"/>
      <c r="O12" s="26">
        <f t="shared" si="1"/>
        <v>-10.396000000000001</v>
      </c>
      <c r="P12" s="27" t="e">
        <f t="shared" si="2"/>
        <v>#DIV/0!</v>
      </c>
      <c r="Q12" s="29" t="e">
        <f t="shared" si="3"/>
        <v>#DIV/0!</v>
      </c>
      <c r="R12" s="22"/>
      <c r="S12" s="105">
        <v>30</v>
      </c>
      <c r="T12" s="30" t="e">
        <f t="shared" si="4"/>
        <v>#DIV/0!</v>
      </c>
      <c r="W12" s="7"/>
      <c r="X12" s="33"/>
    </row>
    <row r="13" spans="1:24" x14ac:dyDescent="0.25">
      <c r="A13" s="13"/>
      <c r="B13" s="33"/>
      <c r="D13">
        <f t="shared" si="5"/>
        <v>0</v>
      </c>
      <c r="E13" s="29"/>
      <c r="G13" s="26">
        <f t="shared" si="6"/>
        <v>0</v>
      </c>
      <c r="H13" s="108" t="e">
        <f t="shared" si="7"/>
        <v>#DIV/0!</v>
      </c>
      <c r="I13" s="107" t="e">
        <f t="shared" si="8"/>
        <v>#DIV/0!</v>
      </c>
      <c r="J13" s="26">
        <v>10.423999999999999</v>
      </c>
      <c r="K13" s="26"/>
      <c r="L13" s="26"/>
      <c r="M13" s="26" t="e">
        <f>I13*L13</f>
        <v>#DIV/0!</v>
      </c>
      <c r="N13" s="22"/>
      <c r="O13" s="26">
        <f>N13-J13</f>
        <v>-10.423999999999999</v>
      </c>
      <c r="P13" s="27" t="e">
        <f>(L13-M13)/(O13-M13)</f>
        <v>#DIV/0!</v>
      </c>
      <c r="Q13" s="29" t="e">
        <f>(((O13-M13)*0.6)+M13)/L13</f>
        <v>#DIV/0!</v>
      </c>
      <c r="R13" s="31"/>
      <c r="S13" s="105">
        <v>30</v>
      </c>
      <c r="T13" s="30" t="e">
        <f>S13*(Q13-1)</f>
        <v>#DIV/0!</v>
      </c>
      <c r="W13" s="7"/>
      <c r="X13" s="33"/>
    </row>
    <row r="14" spans="1:24" x14ac:dyDescent="0.25">
      <c r="A14" s="13"/>
      <c r="B14" s="33"/>
      <c r="D14">
        <f t="shared" si="5"/>
        <v>0</v>
      </c>
      <c r="E14" s="29"/>
      <c r="G14" s="26">
        <f t="shared" si="6"/>
        <v>0</v>
      </c>
      <c r="H14" s="108" t="e">
        <f t="shared" si="7"/>
        <v>#DIV/0!</v>
      </c>
      <c r="I14" s="107" t="e">
        <f t="shared" si="8"/>
        <v>#DIV/0!</v>
      </c>
      <c r="J14" s="28">
        <v>10.404999999999999</v>
      </c>
      <c r="K14" s="26"/>
      <c r="L14" s="26"/>
      <c r="M14" s="26" t="e">
        <f>I14*L14</f>
        <v>#DIV/0!</v>
      </c>
      <c r="N14" s="22"/>
      <c r="O14" s="26">
        <f>N14-J14</f>
        <v>-10.404999999999999</v>
      </c>
      <c r="P14" s="27" t="e">
        <f>(L14-M14)/(O14-M14)</f>
        <v>#DIV/0!</v>
      </c>
      <c r="Q14" s="29" t="e">
        <f>(((O14-M14)*0.6)+M14)/L14</f>
        <v>#DIV/0!</v>
      </c>
      <c r="R14" s="31"/>
      <c r="S14" s="105">
        <v>30</v>
      </c>
      <c r="T14" s="30" t="e">
        <f>S14*(Q14-1)</f>
        <v>#DIV/0!</v>
      </c>
      <c r="X14" s="33"/>
    </row>
    <row r="15" spans="1:24" x14ac:dyDescent="0.25">
      <c r="A15" s="13"/>
      <c r="B15" s="33"/>
      <c r="D15">
        <f t="shared" si="5"/>
        <v>0</v>
      </c>
      <c r="E15" s="29"/>
      <c r="G15" s="26">
        <f t="shared" si="6"/>
        <v>0</v>
      </c>
      <c r="H15" s="108" t="e">
        <f t="shared" si="7"/>
        <v>#DIV/0!</v>
      </c>
      <c r="I15" s="107" t="e">
        <f t="shared" si="8"/>
        <v>#DIV/0!</v>
      </c>
      <c r="J15" s="32">
        <v>10.359</v>
      </c>
      <c r="K15" s="26"/>
      <c r="L15" s="26"/>
      <c r="M15" s="26" t="e">
        <f>I15*L15</f>
        <v>#DIV/0!</v>
      </c>
      <c r="N15" s="22"/>
      <c r="O15" s="26">
        <f>N15-J15</f>
        <v>-10.359</v>
      </c>
      <c r="P15" s="27" t="e">
        <f t="shared" ref="P15" si="9">(L15-M15)/(O15-M15)</f>
        <v>#DIV/0!</v>
      </c>
      <c r="Q15" s="29" t="e">
        <f>(((O15-M15)*0.6)+M15)/L15</f>
        <v>#DIV/0!</v>
      </c>
      <c r="R15" s="31"/>
      <c r="S15" s="105">
        <v>30</v>
      </c>
      <c r="T15" s="30" t="e">
        <f>S15*(Q15-1)</f>
        <v>#DIV/0!</v>
      </c>
      <c r="X15" s="33"/>
    </row>
    <row r="16" spans="1:24" x14ac:dyDescent="0.25">
      <c r="A16" s="13"/>
      <c r="B16" s="33"/>
      <c r="D16">
        <f t="shared" si="5"/>
        <v>0</v>
      </c>
      <c r="E16" s="29"/>
      <c r="G16" s="26">
        <f t="shared" si="6"/>
        <v>0</v>
      </c>
      <c r="H16" s="108" t="e">
        <f t="shared" si="7"/>
        <v>#DIV/0!</v>
      </c>
      <c r="I16" s="107" t="e">
        <f t="shared" si="8"/>
        <v>#DIV/0!</v>
      </c>
      <c r="J16" s="32">
        <v>10.426</v>
      </c>
      <c r="K16" s="26"/>
      <c r="L16" s="26"/>
      <c r="M16" s="26" t="e">
        <f t="shared" ref="M16" si="10">I16*L16</f>
        <v>#DIV/0!</v>
      </c>
      <c r="N16" s="22"/>
      <c r="O16" s="26">
        <f t="shared" ref="O16" si="11">N16-J16</f>
        <v>-10.426</v>
      </c>
      <c r="P16" s="27" t="e">
        <f>(L16-M16)/(O16-M16)</f>
        <v>#DIV/0!</v>
      </c>
      <c r="Q16" s="29" t="e">
        <f t="shared" ref="Q16" si="12">(((O16-M16)*0.6)+M16)/L16</f>
        <v>#DIV/0!</v>
      </c>
      <c r="R16" s="31"/>
      <c r="S16" s="105">
        <v>30</v>
      </c>
      <c r="T16" s="30" t="e">
        <f t="shared" ref="T16" si="13">S16*(Q16-1)</f>
        <v>#DIV/0!</v>
      </c>
      <c r="X16" s="33"/>
    </row>
    <row r="19" spans="18:22" x14ac:dyDescent="0.25">
      <c r="R19">
        <v>24</v>
      </c>
      <c r="S19">
        <f>R19*I5</f>
        <v>20.167076167076175</v>
      </c>
    </row>
    <row r="20" spans="18:22" x14ac:dyDescent="0.25">
      <c r="R20">
        <v>25</v>
      </c>
      <c r="S20">
        <f t="shared" ref="S20:S24" si="14">R20*I6</f>
        <v>20.414993306559577</v>
      </c>
      <c r="V20" s="10"/>
    </row>
    <row r="21" spans="18:22" x14ac:dyDescent="0.25">
      <c r="R21">
        <v>24.5</v>
      </c>
      <c r="S21">
        <f t="shared" si="14"/>
        <v>20.111566018423755</v>
      </c>
    </row>
    <row r="22" spans="18:22" x14ac:dyDescent="0.25">
      <c r="R22">
        <v>26</v>
      </c>
      <c r="S22">
        <f t="shared" si="14"/>
        <v>20.014124293785322</v>
      </c>
    </row>
    <row r="23" spans="18:22" x14ac:dyDescent="0.25">
      <c r="R23">
        <v>24</v>
      </c>
      <c r="S23">
        <f t="shared" si="14"/>
        <v>19.939393939393934</v>
      </c>
    </row>
    <row r="24" spans="18:22" x14ac:dyDescent="0.25">
      <c r="R24">
        <v>25</v>
      </c>
      <c r="S24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9" sqref="H9"/>
    </sheetView>
  </sheetViews>
  <sheetFormatPr baseColWidth="10" defaultRowHeight="15" x14ac:dyDescent="0.25"/>
  <sheetData>
    <row r="1" spans="1:7" ht="15.75" x14ac:dyDescent="0.25">
      <c r="A1" s="92" t="s">
        <v>103</v>
      </c>
      <c r="B1" s="92"/>
    </row>
    <row r="2" spans="1:7" ht="47.25" x14ac:dyDescent="0.25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.75" x14ac:dyDescent="0.25">
      <c r="A3" s="93"/>
      <c r="B3" s="1"/>
      <c r="C3" s="96" t="s">
        <v>107</v>
      </c>
      <c r="D3" s="1"/>
      <c r="E3" s="1"/>
      <c r="F3" s="96"/>
      <c r="G3" s="1"/>
    </row>
    <row r="4" spans="1:7" ht="15.75" x14ac:dyDescent="0.25">
      <c r="A4" s="93"/>
      <c r="B4" s="1"/>
      <c r="C4" s="96" t="s">
        <v>108</v>
      </c>
      <c r="D4" s="1"/>
      <c r="E4" s="1"/>
      <c r="F4" s="96"/>
      <c r="G4" s="1"/>
    </row>
    <row r="5" spans="1:7" ht="15.75" x14ac:dyDescent="0.25">
      <c r="A5" s="93"/>
      <c r="B5" s="1"/>
      <c r="C5" s="96" t="s">
        <v>109</v>
      </c>
      <c r="D5" s="1"/>
      <c r="E5" s="1"/>
      <c r="F5" s="96"/>
      <c r="G5" s="1"/>
    </row>
    <row r="6" spans="1:7" ht="15.75" x14ac:dyDescent="0.25">
      <c r="A6" s="93"/>
      <c r="B6" s="1"/>
      <c r="C6" s="96" t="s">
        <v>110</v>
      </c>
      <c r="D6" s="1"/>
      <c r="E6" s="1"/>
      <c r="F6" s="96"/>
      <c r="G6" s="1"/>
    </row>
    <row r="7" spans="1:7" ht="15.75" x14ac:dyDescent="0.25">
      <c r="A7" s="93"/>
      <c r="B7" s="1"/>
      <c r="C7" s="96" t="s">
        <v>111</v>
      </c>
      <c r="D7" s="1"/>
      <c r="E7" s="1"/>
      <c r="F7" s="96"/>
      <c r="G7" s="1"/>
    </row>
    <row r="8" spans="1:7" ht="15.75" x14ac:dyDescent="0.25">
      <c r="A8" s="93"/>
      <c r="B8" s="1"/>
      <c r="C8" s="96" t="s">
        <v>112</v>
      </c>
      <c r="D8" s="1"/>
      <c r="E8" s="1"/>
      <c r="F8" s="96"/>
      <c r="G8" s="1"/>
    </row>
    <row r="9" spans="1:7" ht="15.75" x14ac:dyDescent="0.25">
      <c r="A9" s="93"/>
      <c r="B9" s="1"/>
      <c r="C9" s="96" t="s">
        <v>113</v>
      </c>
      <c r="D9" s="1"/>
      <c r="E9" s="1"/>
      <c r="F9" s="96"/>
      <c r="G9" s="1"/>
    </row>
    <row r="10" spans="1:7" ht="15.75" x14ac:dyDescent="0.25">
      <c r="A10" s="93"/>
      <c r="B10" s="1"/>
      <c r="C10" s="96" t="s">
        <v>114</v>
      </c>
      <c r="D10" s="1"/>
      <c r="E10" s="1"/>
      <c r="F10" s="96"/>
      <c r="G10" s="1"/>
    </row>
    <row r="11" spans="1:7" ht="15.75" x14ac:dyDescent="0.25">
      <c r="A11" s="93"/>
      <c r="B11" s="1"/>
      <c r="C11" s="96" t="s">
        <v>115</v>
      </c>
      <c r="D11" s="1"/>
      <c r="E11" s="1"/>
      <c r="F11" s="96"/>
      <c r="G11" s="1"/>
    </row>
    <row r="12" spans="1:7" ht="15.75" x14ac:dyDescent="0.25">
      <c r="A12" s="93"/>
      <c r="B12" s="1"/>
      <c r="C12" s="96" t="s">
        <v>116</v>
      </c>
      <c r="D12" s="1"/>
      <c r="E12" s="1"/>
      <c r="F12" s="96"/>
      <c r="G12" s="1"/>
    </row>
    <row r="13" spans="1:7" ht="15.75" x14ac:dyDescent="0.25">
      <c r="A13" s="93"/>
      <c r="B13" s="1"/>
      <c r="C13" s="96">
        <v>0.2</v>
      </c>
      <c r="D13" s="1"/>
      <c r="E13" s="1"/>
      <c r="F13" s="96"/>
      <c r="G13" s="1"/>
    </row>
    <row r="14" spans="1:7" ht="15.75" x14ac:dyDescent="0.25">
      <c r="A14" s="97"/>
      <c r="B14" s="97"/>
      <c r="C14" s="94"/>
      <c r="D14" s="94"/>
      <c r="E14" s="97"/>
      <c r="F14" s="97"/>
      <c r="G14" s="97"/>
    </row>
    <row r="15" spans="1:7" x14ac:dyDescent="0.25">
      <c r="A15" s="99"/>
      <c r="B15" s="5" t="s">
        <v>132</v>
      </c>
      <c r="C15" s="5"/>
      <c r="D15" s="1"/>
      <c r="E15" s="98"/>
      <c r="F15" s="98"/>
      <c r="G15" s="98"/>
    </row>
    <row r="16" spans="1:7" x14ac:dyDescent="0.25">
      <c r="A16" s="99"/>
      <c r="B16" s="5" t="s">
        <v>133</v>
      </c>
      <c r="C16" s="5"/>
      <c r="D16" s="1"/>
      <c r="E16" s="98"/>
      <c r="F16" s="98"/>
      <c r="G16" s="98"/>
    </row>
    <row r="17" spans="1:7" x14ac:dyDescent="0.25">
      <c r="A17" s="99"/>
      <c r="B17" s="5" t="s">
        <v>134</v>
      </c>
      <c r="C17" s="5"/>
      <c r="D17" s="1"/>
      <c r="E17" s="98"/>
      <c r="F17" s="98"/>
      <c r="G17" s="98"/>
    </row>
    <row r="18" spans="1:7" x14ac:dyDescent="0.25">
      <c r="A18" s="99"/>
      <c r="B18" s="5" t="s">
        <v>135</v>
      </c>
      <c r="C18" s="5"/>
      <c r="D18" s="1"/>
      <c r="E18" s="98"/>
      <c r="F18" s="98"/>
      <c r="G18" s="98"/>
    </row>
    <row r="19" spans="1:7" x14ac:dyDescent="0.25">
      <c r="A19" s="99"/>
      <c r="B19" s="5" t="s">
        <v>136</v>
      </c>
      <c r="C19" s="5"/>
      <c r="D19" s="1"/>
      <c r="E19" s="98"/>
      <c r="F19" s="98"/>
      <c r="G19" s="98"/>
    </row>
    <row r="20" spans="1:7" x14ac:dyDescent="0.25">
      <c r="A20" s="99"/>
      <c r="B20" s="5" t="s">
        <v>145</v>
      </c>
      <c r="C20" s="5"/>
      <c r="D20" s="1"/>
      <c r="E20" s="98"/>
      <c r="F20" s="98"/>
      <c r="G20" s="98"/>
    </row>
    <row r="21" spans="1:7" x14ac:dyDescent="0.25">
      <c r="A21" s="99"/>
      <c r="B21" s="5" t="s">
        <v>137</v>
      </c>
      <c r="C21" s="5"/>
      <c r="D21" s="1"/>
      <c r="E21" s="98"/>
      <c r="F21" s="98"/>
      <c r="G21" s="98"/>
    </row>
    <row r="22" spans="1:7" x14ac:dyDescent="0.25">
      <c r="A22" s="99"/>
      <c r="B22" s="5" t="s">
        <v>140</v>
      </c>
      <c r="C22" s="5"/>
      <c r="D22" s="1"/>
      <c r="E22" s="98"/>
      <c r="F22" s="98"/>
      <c r="G22" s="98"/>
    </row>
    <row r="23" spans="1:7" x14ac:dyDescent="0.25">
      <c r="A23" s="99"/>
      <c r="B23" s="5" t="s">
        <v>138</v>
      </c>
      <c r="C23" s="5"/>
      <c r="D23" s="1"/>
      <c r="E23" s="98"/>
      <c r="F23" s="98"/>
      <c r="G23" s="98"/>
    </row>
    <row r="24" spans="1:7" x14ac:dyDescent="0.25">
      <c r="A24" s="99"/>
      <c r="B24" s="5" t="s">
        <v>141</v>
      </c>
      <c r="C24" s="5"/>
      <c r="D24" s="1"/>
      <c r="E24" s="98"/>
      <c r="F24" s="98"/>
      <c r="G24" s="98"/>
    </row>
    <row r="25" spans="1:7" x14ac:dyDescent="0.25">
      <c r="A25" s="99"/>
      <c r="B25" s="5" t="s">
        <v>139</v>
      </c>
      <c r="C25" s="5"/>
      <c r="D25" s="1"/>
      <c r="E25" s="98"/>
      <c r="F25" s="98"/>
      <c r="G25" s="98"/>
    </row>
    <row r="26" spans="1:7" x14ac:dyDescent="0.25">
      <c r="A26" s="99"/>
      <c r="B26" s="5" t="s">
        <v>142</v>
      </c>
      <c r="C26" s="5"/>
      <c r="D26" s="1"/>
      <c r="E26" s="98"/>
      <c r="F26" s="98"/>
      <c r="G26" s="98"/>
    </row>
    <row r="27" spans="1:7" x14ac:dyDescent="0.25">
      <c r="A27" s="97"/>
      <c r="B27" s="5"/>
      <c r="C27" s="5"/>
      <c r="D27" s="5"/>
      <c r="E27" s="98"/>
      <c r="F27" s="98"/>
      <c r="G27" s="98"/>
    </row>
    <row r="28" spans="1:7" x14ac:dyDescent="0.25">
      <c r="A28" s="97"/>
      <c r="B28" s="5"/>
      <c r="C28" s="5"/>
      <c r="D28" s="5"/>
      <c r="E28" s="98"/>
      <c r="F28" s="98"/>
      <c r="G28" s="98"/>
    </row>
    <row r="29" spans="1:7" x14ac:dyDescent="0.25">
      <c r="A29" s="97"/>
      <c r="B29" s="5"/>
      <c r="C29" s="5"/>
      <c r="D29" s="5"/>
      <c r="E29" s="98"/>
      <c r="F29" s="98"/>
      <c r="G29" s="98"/>
    </row>
    <row r="30" spans="1:7" x14ac:dyDescent="0.25">
      <c r="A30" s="97"/>
      <c r="B30" s="5"/>
      <c r="C30" s="5"/>
      <c r="D30" s="5"/>
      <c r="E30" s="98"/>
      <c r="F30" s="98"/>
      <c r="G30" s="98"/>
    </row>
    <row r="31" spans="1:7" x14ac:dyDescent="0.25">
      <c r="A31" s="97"/>
      <c r="B31" s="5"/>
      <c r="C31" s="5"/>
      <c r="D31" s="5"/>
      <c r="E31" s="98"/>
      <c r="F31" s="98"/>
      <c r="G31" s="98"/>
    </row>
    <row r="32" spans="1:7" x14ac:dyDescent="0.25">
      <c r="A32" s="97"/>
      <c r="B32" s="5"/>
      <c r="C32" s="5"/>
      <c r="D32" s="5"/>
      <c r="E32" s="98"/>
      <c r="F32" s="98"/>
      <c r="G32" s="98"/>
    </row>
    <row r="33" spans="1:7" x14ac:dyDescent="0.25">
      <c r="A33" s="97"/>
      <c r="B33" s="5"/>
      <c r="C33" s="5"/>
      <c r="D33" s="5"/>
      <c r="E33" s="98"/>
      <c r="F33" s="98"/>
      <c r="G33" s="98"/>
    </row>
    <row r="34" spans="1:7" x14ac:dyDescent="0.25">
      <c r="A34" s="97"/>
      <c r="B34" s="5"/>
      <c r="C34" s="5"/>
      <c r="D34" s="5"/>
      <c r="E34" s="97"/>
      <c r="F34" s="97"/>
      <c r="G34" s="97"/>
    </row>
    <row r="35" spans="1:7" x14ac:dyDescent="0.25">
      <c r="A35" s="97"/>
      <c r="B35" s="5"/>
      <c r="C35" s="5"/>
      <c r="D35" s="5"/>
      <c r="E35" s="97"/>
      <c r="F35" s="97"/>
      <c r="G35" s="97"/>
    </row>
    <row r="36" spans="1:7" x14ac:dyDescent="0.25">
      <c r="A36" s="97"/>
      <c r="B36" s="5"/>
      <c r="C36" s="5"/>
      <c r="D36" s="5"/>
      <c r="E36" s="97"/>
      <c r="F36" s="97"/>
      <c r="G36" s="97"/>
    </row>
    <row r="37" spans="1:7" x14ac:dyDescent="0.25">
      <c r="A37" s="97"/>
      <c r="B37" s="5"/>
      <c r="C37" s="5"/>
      <c r="D37" s="5"/>
      <c r="E37" s="97"/>
      <c r="F37" s="97"/>
      <c r="G37" s="97"/>
    </row>
    <row r="38" spans="1:7" x14ac:dyDescent="0.25">
      <c r="A38" s="97"/>
      <c r="B38" s="5"/>
      <c r="C38" s="5"/>
      <c r="D38" s="5"/>
      <c r="E38" s="97"/>
      <c r="F38" s="97"/>
      <c r="G38" s="97"/>
    </row>
    <row r="39" spans="1:7" x14ac:dyDescent="0.25">
      <c r="A39" s="97"/>
      <c r="B39" s="5"/>
      <c r="C39" s="5"/>
      <c r="D39" s="5"/>
      <c r="E39" s="97"/>
      <c r="F39" s="97"/>
      <c r="G39" s="97"/>
    </row>
    <row r="40" spans="1:7" x14ac:dyDescent="0.25">
      <c r="A40" s="97"/>
      <c r="B40" s="5"/>
      <c r="C40" s="5"/>
      <c r="D40" s="5"/>
      <c r="E40" s="97"/>
      <c r="F40" s="97"/>
      <c r="G40" s="97"/>
    </row>
    <row r="41" spans="1:7" x14ac:dyDescent="0.25">
      <c r="A41" s="97"/>
      <c r="B41" s="5"/>
      <c r="C41" s="5"/>
      <c r="D41" s="5"/>
      <c r="E41" s="97"/>
      <c r="F41" s="97"/>
      <c r="G41" s="97"/>
    </row>
    <row r="42" spans="1:7" ht="15.75" x14ac:dyDescent="0.25">
      <c r="A42" s="97"/>
      <c r="B42" s="97"/>
      <c r="C42" s="94"/>
      <c r="D42" s="94"/>
      <c r="E42" s="97"/>
      <c r="F42" s="97"/>
      <c r="G42" s="97"/>
    </row>
    <row r="43" spans="1:7" ht="15.75" x14ac:dyDescent="0.25">
      <c r="A43" s="97"/>
      <c r="B43" s="97"/>
      <c r="C43" s="94"/>
      <c r="D43" s="94"/>
      <c r="E43" s="97"/>
      <c r="F43" s="97"/>
      <c r="G43" s="97"/>
    </row>
    <row r="44" spans="1:7" ht="15.75" x14ac:dyDescent="0.25">
      <c r="A44" s="97"/>
      <c r="B44" s="97"/>
      <c r="C44" s="94"/>
      <c r="D44" s="94"/>
      <c r="E44" s="97"/>
      <c r="F44" s="97"/>
      <c r="G44" s="97"/>
    </row>
    <row r="45" spans="1:7" ht="15.75" x14ac:dyDescent="0.25">
      <c r="A45" s="97"/>
      <c r="B45" s="97"/>
      <c r="C45" s="94"/>
      <c r="D45" s="94"/>
      <c r="E45" s="97"/>
      <c r="F45" s="97"/>
      <c r="G45" s="97"/>
    </row>
    <row r="46" spans="1:7" ht="15.75" x14ac:dyDescent="0.2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5" x14ac:dyDescent="0.25"/>
  <sheetData>
    <row r="1" spans="1:10" x14ac:dyDescent="0.25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 x14ac:dyDescent="0.25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 x14ac:dyDescent="0.25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 x14ac:dyDescent="0.25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 x14ac:dyDescent="0.25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 x14ac:dyDescent="0.25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 x14ac:dyDescent="0.25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 x14ac:dyDescent="0.25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 x14ac:dyDescent="0.25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 x14ac:dyDescent="0.25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 x14ac:dyDescent="0.25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 x14ac:dyDescent="0.25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 x14ac:dyDescent="0.25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 x14ac:dyDescent="0.25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 x14ac:dyDescent="0.25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 x14ac:dyDescent="0.25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 x14ac:dyDescent="0.25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 x14ac:dyDescent="0.25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 x14ac:dyDescent="0.25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 x14ac:dyDescent="0.25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 x14ac:dyDescent="0.25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 x14ac:dyDescent="0.25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 x14ac:dyDescent="0.25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 x14ac:dyDescent="0.25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 x14ac:dyDescent="0.25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 x14ac:dyDescent="0.25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 x14ac:dyDescent="0.25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 x14ac:dyDescent="0.25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 x14ac:dyDescent="0.25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 x14ac:dyDescent="0.25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 x14ac:dyDescent="0.25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3" sqref="L3:L14"/>
    </sheetView>
  </sheetViews>
  <sheetFormatPr baseColWidth="10" defaultRowHeight="15" x14ac:dyDescent="0.25"/>
  <cols>
    <col min="12" max="12" width="20.85546875" bestFit="1" customWidth="1"/>
    <col min="13" max="13" width="15.140625" bestFit="1" customWidth="1"/>
  </cols>
  <sheetData>
    <row r="1" spans="1:13" x14ac:dyDescent="0.25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.75" thickBot="1" x14ac:dyDescent="0.3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 x14ac:dyDescent="0.25">
      <c r="A3" s="33" t="s">
        <v>132</v>
      </c>
      <c r="B3" s="33"/>
      <c r="C3">
        <v>316</v>
      </c>
      <c r="D3">
        <v>318</v>
      </c>
      <c r="E3">
        <v>996</v>
      </c>
      <c r="F3" s="47">
        <f t="shared" ref="F3:F11" si="0">K3</f>
        <v>2260.7361963190183</v>
      </c>
      <c r="G3" s="48">
        <f t="shared" ref="G3:G11" si="1">(((C3+I3)*F3)/(E3-(C3+I3)))</f>
        <v>1050.5774088776614</v>
      </c>
      <c r="H3" s="49">
        <v>326</v>
      </c>
      <c r="I3" s="49"/>
      <c r="J3" s="49">
        <v>1100</v>
      </c>
      <c r="K3" s="50">
        <f t="shared" ref="K3:K11" si="2">((J3*E3)/(H3+I3))-J3</f>
        <v>2260.7361963190183</v>
      </c>
      <c r="L3" s="51">
        <v>43707.416666666664</v>
      </c>
      <c r="M3" s="51">
        <v>43703.416666666664</v>
      </c>
    </row>
    <row r="4" spans="1:13" x14ac:dyDescent="0.25">
      <c r="A4" s="33" t="s">
        <v>133</v>
      </c>
      <c r="B4" s="33"/>
      <c r="C4">
        <v>316</v>
      </c>
      <c r="D4">
        <v>318</v>
      </c>
      <c r="E4">
        <v>996</v>
      </c>
      <c r="F4" s="47">
        <f t="shared" si="0"/>
        <v>2260.7361963190183</v>
      </c>
      <c r="G4" s="48">
        <f t="shared" si="1"/>
        <v>1050.5774088776614</v>
      </c>
      <c r="H4" s="49">
        <v>326</v>
      </c>
      <c r="I4" s="49"/>
      <c r="J4" s="49">
        <v>1100</v>
      </c>
      <c r="K4" s="50">
        <f t="shared" si="2"/>
        <v>2260.7361963190183</v>
      </c>
      <c r="L4" s="51">
        <v>43707.416666666664</v>
      </c>
      <c r="M4" s="51">
        <v>43703.416666666664</v>
      </c>
    </row>
    <row r="5" spans="1:13" x14ac:dyDescent="0.25">
      <c r="A5" s="33" t="s">
        <v>134</v>
      </c>
      <c r="B5" s="33"/>
      <c r="C5">
        <v>316</v>
      </c>
      <c r="D5">
        <v>318</v>
      </c>
      <c r="E5">
        <v>996</v>
      </c>
      <c r="F5" s="47">
        <f t="shared" si="0"/>
        <v>2260.7361963190183</v>
      </c>
      <c r="G5" s="48">
        <f t="shared" si="1"/>
        <v>1050.5774088776614</v>
      </c>
      <c r="H5" s="49">
        <v>326</v>
      </c>
      <c r="I5" s="49"/>
      <c r="J5" s="49">
        <v>1100</v>
      </c>
      <c r="K5" s="50">
        <f t="shared" si="2"/>
        <v>2260.7361963190183</v>
      </c>
      <c r="L5" s="51">
        <v>43707.416666666664</v>
      </c>
      <c r="M5" s="51">
        <v>43703.416666666664</v>
      </c>
    </row>
    <row r="6" spans="1:13" x14ac:dyDescent="0.25">
      <c r="A6" s="33" t="s">
        <v>135</v>
      </c>
      <c r="B6" s="33"/>
      <c r="C6">
        <v>317</v>
      </c>
      <c r="D6">
        <v>320</v>
      </c>
      <c r="E6">
        <v>996</v>
      </c>
      <c r="F6" s="47">
        <f t="shared" si="0"/>
        <v>2260.7361963190183</v>
      </c>
      <c r="G6" s="48">
        <f t="shared" si="1"/>
        <v>1055.454159400779</v>
      </c>
      <c r="H6" s="49">
        <v>326</v>
      </c>
      <c r="I6" s="49"/>
      <c r="J6" s="49">
        <v>1100</v>
      </c>
      <c r="K6" s="50">
        <f t="shared" si="2"/>
        <v>2260.7361963190183</v>
      </c>
      <c r="L6" s="51">
        <v>43707.416666666664</v>
      </c>
      <c r="M6" s="51">
        <v>43703.416666666664</v>
      </c>
    </row>
    <row r="7" spans="1:13" x14ac:dyDescent="0.25">
      <c r="A7" s="33" t="s">
        <v>136</v>
      </c>
      <c r="B7" s="33"/>
      <c r="C7">
        <v>319</v>
      </c>
      <c r="D7">
        <v>321</v>
      </c>
      <c r="E7">
        <v>996</v>
      </c>
      <c r="F7" s="47">
        <f t="shared" si="0"/>
        <v>2260.7361963190183</v>
      </c>
      <c r="G7" s="48">
        <f t="shared" si="1"/>
        <v>1065.2508812788285</v>
      </c>
      <c r="H7" s="49">
        <v>326</v>
      </c>
      <c r="I7" s="49"/>
      <c r="J7" s="49">
        <v>1100</v>
      </c>
      <c r="K7" s="50">
        <f t="shared" si="2"/>
        <v>2260.7361963190183</v>
      </c>
      <c r="L7" s="51">
        <v>43707.416666666664</v>
      </c>
      <c r="M7" s="51">
        <v>43703.416666666664</v>
      </c>
    </row>
    <row r="8" spans="1:13" x14ac:dyDescent="0.25">
      <c r="A8" s="33" t="s">
        <v>145</v>
      </c>
      <c r="B8" s="33"/>
      <c r="C8">
        <v>316</v>
      </c>
      <c r="D8">
        <v>318</v>
      </c>
      <c r="E8">
        <v>996</v>
      </c>
      <c r="F8" s="47">
        <f t="shared" si="0"/>
        <v>2260.7361963190183</v>
      </c>
      <c r="G8" s="48">
        <f t="shared" si="1"/>
        <v>1050.5774088776614</v>
      </c>
      <c r="H8" s="49">
        <v>326</v>
      </c>
      <c r="I8" s="49"/>
      <c r="J8" s="49">
        <v>1100</v>
      </c>
      <c r="K8" s="50">
        <f t="shared" si="2"/>
        <v>2260.7361963190183</v>
      </c>
      <c r="L8" s="51">
        <v>43707.416666666664</v>
      </c>
      <c r="M8" s="51">
        <v>43703.416666666664</v>
      </c>
    </row>
    <row r="9" spans="1:13" x14ac:dyDescent="0.25">
      <c r="A9" s="33" t="s">
        <v>137</v>
      </c>
      <c r="B9" s="46"/>
      <c r="C9">
        <v>316</v>
      </c>
      <c r="D9">
        <v>318</v>
      </c>
      <c r="E9">
        <v>996</v>
      </c>
      <c r="F9" s="47">
        <f t="shared" si="0"/>
        <v>2260.7361963190183</v>
      </c>
      <c r="G9" s="48">
        <f t="shared" si="1"/>
        <v>1050.5774088776614</v>
      </c>
      <c r="H9" s="49">
        <v>326</v>
      </c>
      <c r="I9" s="49"/>
      <c r="J9" s="49">
        <v>1100</v>
      </c>
      <c r="K9" s="50">
        <f t="shared" si="2"/>
        <v>2260.7361963190183</v>
      </c>
      <c r="L9" s="51">
        <v>43707.416666666664</v>
      </c>
      <c r="M9" s="51">
        <v>43703.416666666664</v>
      </c>
    </row>
    <row r="10" spans="1:13" x14ac:dyDescent="0.25">
      <c r="A10" s="33" t="s">
        <v>140</v>
      </c>
      <c r="B10" s="46"/>
      <c r="C10">
        <v>317</v>
      </c>
      <c r="D10">
        <v>319</v>
      </c>
      <c r="E10">
        <v>996</v>
      </c>
      <c r="F10" s="47">
        <f t="shared" si="0"/>
        <v>2260.7361963190183</v>
      </c>
      <c r="G10" s="48">
        <f t="shared" si="1"/>
        <v>1055.454159400779</v>
      </c>
      <c r="H10" s="49">
        <v>326</v>
      </c>
      <c r="I10" s="49"/>
      <c r="J10" s="49">
        <v>1100</v>
      </c>
      <c r="K10" s="50">
        <f t="shared" si="2"/>
        <v>2260.7361963190183</v>
      </c>
      <c r="L10" s="51">
        <v>43707.416666666664</v>
      </c>
      <c r="M10" s="51">
        <v>43703.416666666664</v>
      </c>
    </row>
    <row r="11" spans="1:13" x14ac:dyDescent="0.25">
      <c r="A11" s="33" t="s">
        <v>138</v>
      </c>
      <c r="B11" s="46"/>
      <c r="C11">
        <v>310</v>
      </c>
      <c r="D11">
        <v>311</v>
      </c>
      <c r="E11">
        <v>996</v>
      </c>
      <c r="F11" s="47">
        <f t="shared" si="0"/>
        <v>2260.7361963190183</v>
      </c>
      <c r="G11" s="48">
        <f t="shared" si="1"/>
        <v>1021.6154823015972</v>
      </c>
      <c r="H11" s="49">
        <v>326</v>
      </c>
      <c r="I11" s="49"/>
      <c r="J11" s="49">
        <v>1100</v>
      </c>
      <c r="K11" s="50">
        <f t="shared" si="2"/>
        <v>2260.7361963190183</v>
      </c>
      <c r="L11" s="51">
        <v>43707.416666666664</v>
      </c>
      <c r="M11" s="51">
        <v>43703.416666666664</v>
      </c>
    </row>
    <row r="12" spans="1:13" x14ac:dyDescent="0.25">
      <c r="A12" s="33" t="s">
        <v>141</v>
      </c>
      <c r="C12">
        <v>315</v>
      </c>
      <c r="D12">
        <v>317</v>
      </c>
      <c r="E12">
        <v>996</v>
      </c>
      <c r="F12" s="47">
        <f t="shared" ref="F12:F14" si="3">K12</f>
        <v>2260.7361963190183</v>
      </c>
      <c r="G12" s="48">
        <f t="shared" ref="G12:G14" si="4">(((C12+I12)*F12)/(E12-(C12+I12)))</f>
        <v>1045.7149806761979</v>
      </c>
      <c r="H12" s="49">
        <v>326</v>
      </c>
      <c r="I12" s="49"/>
      <c r="J12" s="49">
        <v>1100</v>
      </c>
      <c r="K12" s="50">
        <f t="shared" ref="K12:K14" si="5">((J12*E12)/(H12+I12))-J12</f>
        <v>2260.7361963190183</v>
      </c>
      <c r="L12" s="51">
        <v>43707.416666666664</v>
      </c>
      <c r="M12" s="51">
        <v>43703.416666666664</v>
      </c>
    </row>
    <row r="13" spans="1:13" x14ac:dyDescent="0.25">
      <c r="A13" s="33" t="s">
        <v>139</v>
      </c>
      <c r="C13">
        <v>314</v>
      </c>
      <c r="D13">
        <v>316</v>
      </c>
      <c r="E13">
        <v>996</v>
      </c>
      <c r="F13" s="47">
        <f t="shared" si="3"/>
        <v>2260.7361963190183</v>
      </c>
      <c r="G13" s="48">
        <f t="shared" si="4"/>
        <v>1040.8668117949733</v>
      </c>
      <c r="H13" s="49">
        <v>326</v>
      </c>
      <c r="I13" s="49"/>
      <c r="J13" s="49">
        <v>1100</v>
      </c>
      <c r="K13" s="50">
        <f t="shared" si="5"/>
        <v>2260.7361963190183</v>
      </c>
      <c r="L13" s="51">
        <v>43707.416666666664</v>
      </c>
      <c r="M13" s="51">
        <v>43703.416666666664</v>
      </c>
    </row>
    <row r="14" spans="1:13" x14ac:dyDescent="0.25">
      <c r="A14" s="33" t="s">
        <v>142</v>
      </c>
      <c r="C14">
        <v>316</v>
      </c>
      <c r="D14">
        <v>319</v>
      </c>
      <c r="E14">
        <v>996</v>
      </c>
      <c r="F14" s="47">
        <f t="shared" si="3"/>
        <v>2260.7361963190183</v>
      </c>
      <c r="G14" s="48">
        <f t="shared" si="4"/>
        <v>1050.5774088776614</v>
      </c>
      <c r="H14" s="49">
        <v>326</v>
      </c>
      <c r="I14" s="49"/>
      <c r="J14" s="49">
        <v>1100</v>
      </c>
      <c r="K14" s="50">
        <f t="shared" si="5"/>
        <v>2260.7361963190183</v>
      </c>
      <c r="L14" s="51">
        <v>43707.416666666664</v>
      </c>
      <c r="M14" s="51">
        <v>43703.416666666664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61" workbookViewId="0">
      <selection activeCell="G99" sqref="G99"/>
    </sheetView>
  </sheetViews>
  <sheetFormatPr baseColWidth="10" defaultRowHeight="15" x14ac:dyDescent="0.25"/>
  <cols>
    <col min="5" max="5" width="19" bestFit="1" customWidth="1"/>
  </cols>
  <sheetData>
    <row r="1" spans="1:17" ht="25.5" x14ac:dyDescent="0.25">
      <c r="A1" s="118" t="s">
        <v>160</v>
      </c>
      <c r="B1" s="119" t="s">
        <v>161</v>
      </c>
      <c r="C1" s="119" t="s">
        <v>162</v>
      </c>
      <c r="D1" s="119" t="s">
        <v>163</v>
      </c>
      <c r="E1" s="120" t="s">
        <v>164</v>
      </c>
      <c r="F1" s="120" t="s">
        <v>165</v>
      </c>
      <c r="G1" s="120" t="s">
        <v>166</v>
      </c>
      <c r="H1" s="120" t="s">
        <v>167</v>
      </c>
      <c r="I1" s="121" t="s">
        <v>233</v>
      </c>
      <c r="J1" s="121" t="s">
        <v>168</v>
      </c>
      <c r="K1" s="122" t="s">
        <v>169</v>
      </c>
      <c r="L1" s="123" t="s">
        <v>170</v>
      </c>
      <c r="M1" s="123" t="s">
        <v>171</v>
      </c>
      <c r="N1" s="124" t="s">
        <v>172</v>
      </c>
      <c r="O1" s="119" t="s">
        <v>173</v>
      </c>
      <c r="P1" s="119" t="s">
        <v>174</v>
      </c>
      <c r="Q1" s="168" t="s">
        <v>263</v>
      </c>
    </row>
    <row r="2" spans="1:17" x14ac:dyDescent="0.25">
      <c r="A2" s="125" t="s">
        <v>175</v>
      </c>
      <c r="B2" s="116"/>
      <c r="C2" s="116"/>
      <c r="D2" s="116"/>
      <c r="F2" s="116"/>
      <c r="G2" s="116"/>
      <c r="K2" s="116" t="s">
        <v>176</v>
      </c>
    </row>
    <row r="3" spans="1:17" x14ac:dyDescent="0.25">
      <c r="A3" s="126" t="s">
        <v>177</v>
      </c>
      <c r="B3" s="127">
        <v>4351</v>
      </c>
      <c r="C3" s="127">
        <v>5159</v>
      </c>
      <c r="D3" s="127">
        <v>6221</v>
      </c>
      <c r="E3" s="128" t="s">
        <v>178</v>
      </c>
      <c r="F3" s="127">
        <v>200</v>
      </c>
      <c r="G3" s="127" t="s">
        <v>179</v>
      </c>
      <c r="H3" s="129" t="s">
        <v>6</v>
      </c>
      <c r="I3" s="130">
        <v>43713.586385416667</v>
      </c>
      <c r="J3" s="131" t="s">
        <v>180</v>
      </c>
      <c r="K3" s="132">
        <v>-25.773735463284037</v>
      </c>
      <c r="L3" s="132">
        <v>1</v>
      </c>
      <c r="M3" s="133">
        <v>6061.1374397942118</v>
      </c>
      <c r="N3" s="134"/>
      <c r="P3" s="135"/>
    </row>
    <row r="4" spans="1:17" x14ac:dyDescent="0.25">
      <c r="A4" s="136" t="s">
        <v>181</v>
      </c>
      <c r="B4" s="137">
        <v>4298</v>
      </c>
      <c r="C4" s="137">
        <v>5095</v>
      </c>
      <c r="D4" s="137">
        <v>6184</v>
      </c>
      <c r="E4" s="138" t="s">
        <v>178</v>
      </c>
      <c r="F4" s="137">
        <v>200</v>
      </c>
      <c r="G4" s="137" t="s">
        <v>179</v>
      </c>
      <c r="H4" s="139" t="s">
        <v>6</v>
      </c>
      <c r="I4" s="140">
        <v>43713.593055555561</v>
      </c>
      <c r="J4" s="141" t="s">
        <v>180</v>
      </c>
      <c r="K4" s="142">
        <v>-26.027154347759964</v>
      </c>
      <c r="L4" s="142">
        <v>1</v>
      </c>
      <c r="M4" s="143">
        <v>5932.8513614343001</v>
      </c>
      <c r="N4" s="144">
        <f>ABS(K3-K4)</f>
        <v>0.25341888447592709</v>
      </c>
      <c r="O4" s="10">
        <f>AVERAGE(K3:K4)</f>
        <v>-25.900444905522001</v>
      </c>
      <c r="P4" s="145">
        <f>STDEV(K3:K4)</f>
        <v>0.17919421169365835</v>
      </c>
    </row>
    <row r="5" spans="1:17" x14ac:dyDescent="0.25">
      <c r="A5" s="126" t="s">
        <v>182</v>
      </c>
      <c r="B5" s="127">
        <v>3624</v>
      </c>
      <c r="C5" s="127">
        <v>4277</v>
      </c>
      <c r="D5" s="127">
        <v>5293</v>
      </c>
      <c r="E5" s="128" t="s">
        <v>183</v>
      </c>
      <c r="F5" s="127">
        <v>200</v>
      </c>
      <c r="G5" s="127" t="s">
        <v>184</v>
      </c>
      <c r="H5" s="129" t="s">
        <v>6</v>
      </c>
      <c r="I5" s="130">
        <v>43713.60017824074</v>
      </c>
      <c r="J5" s="131" t="s">
        <v>180</v>
      </c>
      <c r="K5" s="132">
        <v>-24.43490055348596</v>
      </c>
      <c r="L5" s="132">
        <v>1</v>
      </c>
      <c r="M5" s="133">
        <v>5618.5000933897963</v>
      </c>
      <c r="N5" s="134"/>
      <c r="P5" s="135"/>
    </row>
    <row r="6" spans="1:17" x14ac:dyDescent="0.25">
      <c r="A6" s="136" t="s">
        <v>185</v>
      </c>
      <c r="B6" s="137">
        <v>4280</v>
      </c>
      <c r="C6" s="137">
        <v>5156</v>
      </c>
      <c r="D6" s="137">
        <v>6378</v>
      </c>
      <c r="E6" s="138" t="s">
        <v>183</v>
      </c>
      <c r="F6" s="137">
        <v>200</v>
      </c>
      <c r="G6" s="137" t="s">
        <v>184</v>
      </c>
      <c r="H6" s="139" t="s">
        <v>6</v>
      </c>
      <c r="I6" s="140">
        <v>43713.607087962962</v>
      </c>
      <c r="J6" s="141" t="s">
        <v>180</v>
      </c>
      <c r="K6" s="142">
        <v>-26.321788612932895</v>
      </c>
      <c r="L6" s="142">
        <v>1</v>
      </c>
      <c r="M6" s="143">
        <v>5731.399325692093</v>
      </c>
      <c r="N6" s="144">
        <f>ABS(K5-K6)</f>
        <v>1.8868880594469353</v>
      </c>
      <c r="O6" s="10">
        <f>AVERAGE(K5:K6)</f>
        <v>-25.378344583209426</v>
      </c>
      <c r="P6" s="135">
        <f>STDEV(K5:K6)</f>
        <v>1.3342313421748533</v>
      </c>
    </row>
    <row r="7" spans="1:17" x14ac:dyDescent="0.25">
      <c r="A7" s="126" t="s">
        <v>186</v>
      </c>
      <c r="B7" s="127">
        <v>2873</v>
      </c>
      <c r="C7" s="127">
        <v>3381</v>
      </c>
      <c r="D7" s="127">
        <v>4170</v>
      </c>
      <c r="E7" s="128" t="s">
        <v>187</v>
      </c>
      <c r="F7" s="127">
        <v>200</v>
      </c>
      <c r="G7" s="127" t="s">
        <v>188</v>
      </c>
      <c r="H7" s="129" t="s">
        <v>6</v>
      </c>
      <c r="I7" s="130">
        <v>43713.62300694445</v>
      </c>
      <c r="J7" s="131" t="s">
        <v>180</v>
      </c>
      <c r="K7" s="132">
        <v>-27.324521186642588</v>
      </c>
      <c r="L7" s="132">
        <v>1</v>
      </c>
      <c r="M7" s="133">
        <v>3901.4184259068024</v>
      </c>
      <c r="N7" s="134"/>
      <c r="P7" s="135"/>
    </row>
    <row r="8" spans="1:17" x14ac:dyDescent="0.25">
      <c r="A8" s="136" t="s">
        <v>189</v>
      </c>
      <c r="B8" s="137">
        <v>2562</v>
      </c>
      <c r="C8" s="137">
        <v>2999</v>
      </c>
      <c r="D8" s="137">
        <v>4148</v>
      </c>
      <c r="E8" s="138" t="s">
        <v>187</v>
      </c>
      <c r="F8" s="137">
        <v>200</v>
      </c>
      <c r="G8" s="137" t="s">
        <v>188</v>
      </c>
      <c r="H8" s="139" t="s">
        <v>6</v>
      </c>
      <c r="I8" s="140">
        <v>43713.629971064816</v>
      </c>
      <c r="J8" s="141" t="s">
        <v>180</v>
      </c>
      <c r="K8" s="142">
        <v>-37.065270456738851</v>
      </c>
      <c r="L8" s="142">
        <v>1</v>
      </c>
      <c r="M8" s="143">
        <v>3497.7120490343832</v>
      </c>
      <c r="N8" s="144">
        <f>ABS(K7-K8)</f>
        <v>9.7407492700962628</v>
      </c>
      <c r="O8" s="10">
        <f>AVERAGE(K7:K8)</f>
        <v>-32.194895821690722</v>
      </c>
      <c r="P8" s="135">
        <f>STDEV(K7:K8)</f>
        <v>6.8877498627229476</v>
      </c>
    </row>
    <row r="9" spans="1:17" x14ac:dyDescent="0.25">
      <c r="A9" s="126" t="s">
        <v>190</v>
      </c>
      <c r="B9" s="127">
        <v>2769</v>
      </c>
      <c r="C9" s="127">
        <v>3273</v>
      </c>
      <c r="D9" s="127">
        <v>3959</v>
      </c>
      <c r="E9" s="128" t="s">
        <v>191</v>
      </c>
      <c r="F9" s="127">
        <v>200</v>
      </c>
      <c r="G9" s="127" t="s">
        <v>192</v>
      </c>
      <c r="H9" s="129" t="s">
        <v>6</v>
      </c>
      <c r="I9" s="130">
        <v>43713.63668171296</v>
      </c>
      <c r="J9" s="131" t="s">
        <v>180</v>
      </c>
      <c r="K9" s="146">
        <v>-9.2062563982246424</v>
      </c>
      <c r="L9" s="132">
        <v>1</v>
      </c>
      <c r="M9" s="133">
        <v>3911.6449180734558</v>
      </c>
      <c r="N9" s="134"/>
      <c r="P9" s="135"/>
    </row>
    <row r="10" spans="1:17" x14ac:dyDescent="0.25">
      <c r="A10" s="136" t="s">
        <v>193</v>
      </c>
      <c r="B10" s="137">
        <v>2332</v>
      </c>
      <c r="C10" s="137">
        <v>2766</v>
      </c>
      <c r="D10" s="137">
        <v>3335</v>
      </c>
      <c r="E10" s="138" t="s">
        <v>191</v>
      </c>
      <c r="F10" s="137">
        <v>200</v>
      </c>
      <c r="G10" s="137" t="s">
        <v>192</v>
      </c>
      <c r="H10" s="139" t="s">
        <v>6</v>
      </c>
      <c r="I10" s="140">
        <v>43713.64385069444</v>
      </c>
      <c r="J10" s="141" t="s">
        <v>180</v>
      </c>
      <c r="K10" s="142">
        <v>-25.968034823273356</v>
      </c>
      <c r="L10" s="142">
        <v>1</v>
      </c>
      <c r="M10" s="143">
        <v>3663.6231646330398</v>
      </c>
      <c r="N10" s="147">
        <f>ABS(K9-K10)</f>
        <v>16.761778425048714</v>
      </c>
      <c r="O10" s="10">
        <f>AVERAGE(K9:K10)</f>
        <v>-17.587145610748998</v>
      </c>
      <c r="P10" s="135">
        <f>STDEV(K9:K10)</f>
        <v>11.852367189098322</v>
      </c>
    </row>
    <row r="11" spans="1:17" x14ac:dyDescent="0.25">
      <c r="A11" s="126" t="s">
        <v>194</v>
      </c>
      <c r="B11" s="127">
        <v>1339</v>
      </c>
      <c r="C11" s="127">
        <v>1581</v>
      </c>
      <c r="D11" s="127">
        <v>1914</v>
      </c>
      <c r="E11" s="128" t="s">
        <v>195</v>
      </c>
      <c r="F11" s="127">
        <v>200</v>
      </c>
      <c r="G11" s="127" t="s">
        <v>196</v>
      </c>
      <c r="H11" s="129" t="s">
        <v>6</v>
      </c>
      <c r="I11" s="130">
        <v>43713.664415509258</v>
      </c>
      <c r="J11" s="131" t="s">
        <v>180</v>
      </c>
      <c r="K11" s="132">
        <v>-25.784337222365366</v>
      </c>
      <c r="L11" s="132">
        <v>1</v>
      </c>
      <c r="M11" s="133">
        <v>1874.0451570913906</v>
      </c>
      <c r="N11" s="134"/>
      <c r="P11" s="135"/>
    </row>
    <row r="12" spans="1:17" x14ac:dyDescent="0.25">
      <c r="A12" s="136" t="s">
        <v>197</v>
      </c>
      <c r="B12" s="137">
        <v>1335</v>
      </c>
      <c r="C12" s="137">
        <v>1575</v>
      </c>
      <c r="D12" s="137">
        <v>1910</v>
      </c>
      <c r="E12" s="138" t="s">
        <v>195</v>
      </c>
      <c r="F12" s="137">
        <v>200</v>
      </c>
      <c r="G12" s="137" t="s">
        <v>196</v>
      </c>
      <c r="H12" s="139" t="s">
        <v>6</v>
      </c>
      <c r="I12" s="140">
        <v>43713.671101851854</v>
      </c>
      <c r="J12" s="141" t="s">
        <v>180</v>
      </c>
      <c r="K12" s="142">
        <v>-25.770821998484561</v>
      </c>
      <c r="L12" s="142">
        <v>1</v>
      </c>
      <c r="M12" s="143">
        <v>1858.6167464431712</v>
      </c>
      <c r="N12" s="144">
        <f>ABS(K11-K12)</f>
        <v>1.3515223880805394E-2</v>
      </c>
      <c r="O12" s="10">
        <f>AVERAGE(K11:K12)</f>
        <v>-25.777579610424965</v>
      </c>
      <c r="P12" s="145">
        <f>STDEV(K11:K12)</f>
        <v>9.5567064553718616E-3</v>
      </c>
    </row>
    <row r="13" spans="1:17" x14ac:dyDescent="0.25">
      <c r="A13" s="126" t="s">
        <v>198</v>
      </c>
      <c r="B13" s="127">
        <v>1493</v>
      </c>
      <c r="C13" s="127">
        <v>1760</v>
      </c>
      <c r="D13" s="127">
        <v>2137</v>
      </c>
      <c r="E13" s="128" t="s">
        <v>199</v>
      </c>
      <c r="F13" s="127">
        <v>200</v>
      </c>
      <c r="G13" s="127" t="s">
        <v>200</v>
      </c>
      <c r="H13" s="129" t="s">
        <v>6</v>
      </c>
      <c r="I13" s="130">
        <v>43713.67779050926</v>
      </c>
      <c r="J13" s="131" t="s">
        <v>180</v>
      </c>
      <c r="K13" s="132">
        <v>-26.928989883194468</v>
      </c>
      <c r="L13" s="132">
        <v>1</v>
      </c>
      <c r="M13" s="133">
        <v>2093.3550833293957</v>
      </c>
      <c r="N13" s="134"/>
      <c r="P13" s="135"/>
    </row>
    <row r="14" spans="1:17" x14ac:dyDescent="0.25">
      <c r="A14" s="136" t="s">
        <v>201</v>
      </c>
      <c r="B14" s="137">
        <v>1235</v>
      </c>
      <c r="C14" s="137">
        <v>1457</v>
      </c>
      <c r="D14" s="137">
        <v>1768</v>
      </c>
      <c r="E14" s="138" t="s">
        <v>199</v>
      </c>
      <c r="F14" s="137">
        <v>200</v>
      </c>
      <c r="G14" s="137" t="s">
        <v>200</v>
      </c>
      <c r="H14" s="139" t="s">
        <v>6</v>
      </c>
      <c r="I14" s="140">
        <v>43713.684876157407</v>
      </c>
      <c r="J14" s="141" t="s">
        <v>180</v>
      </c>
      <c r="K14" s="142">
        <v>-26.793357170313918</v>
      </c>
      <c r="L14" s="142">
        <v>1</v>
      </c>
      <c r="M14" s="143">
        <v>1957.9936743615742</v>
      </c>
      <c r="N14" s="144">
        <f>ABS(K13-K14)</f>
        <v>0.13563271288055034</v>
      </c>
      <c r="O14" s="10">
        <f>AVERAGE(K13:K14)</f>
        <v>-26.861173526754193</v>
      </c>
      <c r="P14" s="145">
        <f>STDEV(K13:K14)</f>
        <v>9.5906811028565145E-2</v>
      </c>
    </row>
    <row r="15" spans="1:17" x14ac:dyDescent="0.25">
      <c r="A15" s="126" t="s">
        <v>202</v>
      </c>
      <c r="B15" s="127">
        <v>5737</v>
      </c>
      <c r="C15" s="127">
        <v>6824</v>
      </c>
      <c r="D15" s="127">
        <v>8219</v>
      </c>
      <c r="E15" s="128" t="s">
        <v>203</v>
      </c>
      <c r="F15" s="127">
        <v>200</v>
      </c>
      <c r="G15" s="127" t="s">
        <v>204</v>
      </c>
      <c r="H15" s="129" t="s">
        <v>6</v>
      </c>
      <c r="I15" s="130">
        <v>43713.698332175925</v>
      </c>
      <c r="J15" s="131" t="s">
        <v>180</v>
      </c>
      <c r="K15" s="132">
        <v>-27.881994418110185</v>
      </c>
      <c r="L15" s="132">
        <v>1</v>
      </c>
      <c r="M15" s="133">
        <v>7733.7353819946802</v>
      </c>
      <c r="N15" s="134"/>
      <c r="P15" s="135"/>
    </row>
    <row r="16" spans="1:17" x14ac:dyDescent="0.25">
      <c r="A16" s="136" t="s">
        <v>205</v>
      </c>
      <c r="B16" s="137">
        <v>5499</v>
      </c>
      <c r="C16" s="137">
        <v>6508</v>
      </c>
      <c r="D16" s="137">
        <v>7871</v>
      </c>
      <c r="E16" s="138" t="s">
        <v>203</v>
      </c>
      <c r="F16" s="137">
        <v>200</v>
      </c>
      <c r="G16" s="137" t="s">
        <v>204</v>
      </c>
      <c r="H16" s="139" t="s">
        <v>6</v>
      </c>
      <c r="I16" s="140">
        <v>43713.704946759259</v>
      </c>
      <c r="J16" s="141" t="s">
        <v>180</v>
      </c>
      <c r="K16" s="142">
        <v>-27.810521859179484</v>
      </c>
      <c r="L16" s="142">
        <v>1</v>
      </c>
      <c r="M16" s="143">
        <v>7621.9361705972524</v>
      </c>
      <c r="N16" s="144">
        <f>ABS(K15-K16)</f>
        <v>7.1472558930700814E-2</v>
      </c>
      <c r="O16" s="10">
        <f>AVERAGE(K15:K16)</f>
        <v>-27.846258138644835</v>
      </c>
      <c r="P16" s="145">
        <f>STDEV(K15:K16)</f>
        <v>5.0538731088653678E-2</v>
      </c>
    </row>
    <row r="17" spans="1:17" x14ac:dyDescent="0.25">
      <c r="A17" s="126" t="s">
        <v>206</v>
      </c>
      <c r="B17" s="127">
        <v>5576</v>
      </c>
      <c r="C17" s="127">
        <v>6613</v>
      </c>
      <c r="D17" s="127">
        <v>7984</v>
      </c>
      <c r="E17" s="128" t="s">
        <v>207</v>
      </c>
      <c r="F17" s="127">
        <v>200</v>
      </c>
      <c r="G17" s="127" t="s">
        <v>208</v>
      </c>
      <c r="H17" s="129" t="s">
        <v>6</v>
      </c>
      <c r="I17" s="130">
        <v>43713.711622685187</v>
      </c>
      <c r="J17" s="131" t="s">
        <v>180</v>
      </c>
      <c r="K17" s="132">
        <v>-27.971963371162136</v>
      </c>
      <c r="L17" s="132">
        <v>1</v>
      </c>
      <c r="M17" s="133">
        <v>7639.8939899569568</v>
      </c>
      <c r="N17" s="134"/>
      <c r="P17" s="135"/>
    </row>
    <row r="18" spans="1:17" x14ac:dyDescent="0.25">
      <c r="A18" s="136" t="s">
        <v>209</v>
      </c>
      <c r="B18" s="137">
        <v>5476</v>
      </c>
      <c r="C18" s="137">
        <v>6490</v>
      </c>
      <c r="D18" s="137">
        <v>7861</v>
      </c>
      <c r="E18" s="138" t="s">
        <v>207</v>
      </c>
      <c r="F18" s="137">
        <v>200</v>
      </c>
      <c r="G18" s="137" t="s">
        <v>208</v>
      </c>
      <c r="H18" s="139" t="s">
        <v>6</v>
      </c>
      <c r="I18" s="140">
        <v>43713.718311342593</v>
      </c>
      <c r="J18" s="141" t="s">
        <v>180</v>
      </c>
      <c r="K18" s="142">
        <v>-27.952448893332207</v>
      </c>
      <c r="L18" s="142">
        <v>1</v>
      </c>
      <c r="M18" s="143">
        <v>7527.3274989198117</v>
      </c>
      <c r="N18" s="144">
        <f>ABS(K17-K18)</f>
        <v>1.9514477829929433E-2</v>
      </c>
      <c r="O18" s="10">
        <f>AVERAGE(K17:K18)</f>
        <v>-27.962206132247172</v>
      </c>
      <c r="P18" s="145">
        <f>STDEV(K17:K18)</f>
        <v>1.3798819604857644E-2</v>
      </c>
    </row>
    <row r="19" spans="1:17" x14ac:dyDescent="0.25">
      <c r="A19" s="126" t="s">
        <v>210</v>
      </c>
      <c r="B19" s="127">
        <v>5656</v>
      </c>
      <c r="C19" s="127">
        <v>6729</v>
      </c>
      <c r="D19" s="127">
        <v>8106</v>
      </c>
      <c r="E19" s="128" t="s">
        <v>211</v>
      </c>
      <c r="F19" s="127">
        <v>200</v>
      </c>
      <c r="G19" s="127" t="s">
        <v>212</v>
      </c>
      <c r="H19" s="129" t="s">
        <v>6</v>
      </c>
      <c r="I19" s="130">
        <v>43713.739497685187</v>
      </c>
      <c r="J19" s="131" t="s">
        <v>180</v>
      </c>
      <c r="K19" s="132">
        <v>-28.190403425900691</v>
      </c>
      <c r="L19" s="132">
        <v>1</v>
      </c>
      <c r="M19" s="133">
        <v>7609.3135949593316</v>
      </c>
      <c r="N19" s="134"/>
      <c r="P19" s="135"/>
    </row>
    <row r="20" spans="1:17" x14ac:dyDescent="0.25">
      <c r="A20" s="136" t="s">
        <v>213</v>
      </c>
      <c r="B20" s="137">
        <v>5456</v>
      </c>
      <c r="C20" s="137">
        <v>6489</v>
      </c>
      <c r="D20" s="137">
        <v>7870</v>
      </c>
      <c r="E20" s="138" t="s">
        <v>211</v>
      </c>
      <c r="F20" s="137">
        <v>200</v>
      </c>
      <c r="G20" s="137" t="s">
        <v>212</v>
      </c>
      <c r="H20" s="139" t="s">
        <v>6</v>
      </c>
      <c r="I20" s="140">
        <v>43713.746098379634</v>
      </c>
      <c r="J20" s="141" t="s">
        <v>180</v>
      </c>
      <c r="K20" s="142">
        <v>-28.771760021983571</v>
      </c>
      <c r="L20" s="142">
        <v>1</v>
      </c>
      <c r="M20" s="143">
        <v>7421.9175270105607</v>
      </c>
      <c r="N20" s="144">
        <f>ABS(K19-K20)</f>
        <v>0.58135659608288037</v>
      </c>
      <c r="O20" s="10">
        <f>AVERAGE(K19:K20)</f>
        <v>-28.481081723942133</v>
      </c>
      <c r="P20" s="135">
        <f>STDEV(K19:K20)</f>
        <v>0.41108119137773336</v>
      </c>
    </row>
    <row r="21" spans="1:17" x14ac:dyDescent="0.25">
      <c r="A21" s="126" t="s">
        <v>214</v>
      </c>
      <c r="B21" s="127">
        <v>5541</v>
      </c>
      <c r="C21" s="127">
        <v>6538</v>
      </c>
      <c r="D21" s="127">
        <v>8001</v>
      </c>
      <c r="E21" s="128" t="s">
        <v>215</v>
      </c>
      <c r="F21" s="127">
        <v>200</v>
      </c>
      <c r="G21" s="127" t="s">
        <v>216</v>
      </c>
      <c r="H21" s="129" t="s">
        <v>6</v>
      </c>
      <c r="I21" s="130">
        <v>43713.752763888886</v>
      </c>
      <c r="J21" s="131" t="s">
        <v>180</v>
      </c>
      <c r="K21" s="132">
        <v>-28.332367511489128</v>
      </c>
      <c r="L21" s="132">
        <v>1</v>
      </c>
      <c r="M21" s="133">
        <v>7593.0144348724489</v>
      </c>
      <c r="N21" s="134"/>
      <c r="P21" s="135"/>
    </row>
    <row r="22" spans="1:17" x14ac:dyDescent="0.25">
      <c r="A22" s="136" t="s">
        <v>217</v>
      </c>
      <c r="B22" s="137">
        <v>5113</v>
      </c>
      <c r="C22" s="137">
        <v>6025</v>
      </c>
      <c r="D22" s="137">
        <v>7880</v>
      </c>
      <c r="E22" s="138" t="s">
        <v>215</v>
      </c>
      <c r="F22" s="137">
        <v>200</v>
      </c>
      <c r="G22" s="137" t="s">
        <v>216</v>
      </c>
      <c r="H22" s="139" t="s">
        <v>6</v>
      </c>
      <c r="I22" s="140">
        <v>43713.759427083336</v>
      </c>
      <c r="J22" s="141" t="s">
        <v>180</v>
      </c>
      <c r="K22" s="142">
        <v>-30.768200384395779</v>
      </c>
      <c r="L22" s="142">
        <v>1</v>
      </c>
      <c r="M22" s="143">
        <v>6831.6117611820655</v>
      </c>
      <c r="N22" s="144">
        <f>ABS(K21-K22)</f>
        <v>2.4358328729066514</v>
      </c>
      <c r="O22" s="10">
        <f>AVERAGE(K21:K22)</f>
        <v>-29.550283947942454</v>
      </c>
      <c r="P22" s="135">
        <f>STDEV(K21:K22)</f>
        <v>1.722393942269403</v>
      </c>
    </row>
    <row r="23" spans="1:17" x14ac:dyDescent="0.25">
      <c r="A23" s="126" t="s">
        <v>218</v>
      </c>
      <c r="B23" s="127">
        <v>5939</v>
      </c>
      <c r="C23" s="127">
        <v>7129</v>
      </c>
      <c r="D23" s="127">
        <v>8562</v>
      </c>
      <c r="E23" s="128" t="s">
        <v>219</v>
      </c>
      <c r="F23" s="127">
        <v>200</v>
      </c>
      <c r="G23" s="127" t="s">
        <v>220</v>
      </c>
      <c r="H23" s="129" t="s">
        <v>6</v>
      </c>
      <c r="I23" s="130">
        <v>43713.773526620374</v>
      </c>
      <c r="J23" s="131" t="s">
        <v>180</v>
      </c>
      <c r="K23" s="132">
        <v>-27.988638514417197</v>
      </c>
      <c r="L23" s="132">
        <v>1</v>
      </c>
      <c r="M23" s="133">
        <v>7965.4134562185236</v>
      </c>
      <c r="N23" s="134"/>
      <c r="P23" s="135"/>
    </row>
    <row r="24" spans="1:17" x14ac:dyDescent="0.25">
      <c r="A24" s="136" t="s">
        <v>221</v>
      </c>
      <c r="B24" s="137">
        <v>5794</v>
      </c>
      <c r="C24" s="137">
        <v>6927</v>
      </c>
      <c r="D24" s="137">
        <v>8522</v>
      </c>
      <c r="E24" s="138" t="s">
        <v>219</v>
      </c>
      <c r="F24" s="137">
        <v>200</v>
      </c>
      <c r="G24" s="137" t="s">
        <v>220</v>
      </c>
      <c r="H24" s="139" t="s">
        <v>6</v>
      </c>
      <c r="I24" s="140">
        <v>43713.780039351848</v>
      </c>
      <c r="J24" s="141" t="s">
        <v>180</v>
      </c>
      <c r="K24" s="142">
        <v>-30.679459295697363</v>
      </c>
      <c r="L24" s="142">
        <v>1</v>
      </c>
      <c r="M24" s="143">
        <v>7708.4646909157154</v>
      </c>
      <c r="N24" s="144">
        <f>ABS(K23-K24)</f>
        <v>2.6908207812801663</v>
      </c>
      <c r="O24" s="10">
        <f>AVERAGE(K23:K24)</f>
        <v>-29.33404890505728</v>
      </c>
      <c r="P24" s="135">
        <f>STDEV(K23:K24)</f>
        <v>1.9026976214008895</v>
      </c>
    </row>
    <row r="25" spans="1:17" x14ac:dyDescent="0.25">
      <c r="A25" s="126" t="s">
        <v>222</v>
      </c>
      <c r="B25" s="127">
        <v>5565</v>
      </c>
      <c r="C25" s="127">
        <v>6604</v>
      </c>
      <c r="D25" s="127">
        <v>8166</v>
      </c>
      <c r="E25" s="128" t="s">
        <v>223</v>
      </c>
      <c r="F25" s="127">
        <v>200</v>
      </c>
      <c r="G25" s="127" t="s">
        <v>224</v>
      </c>
      <c r="H25" s="129" t="s">
        <v>6</v>
      </c>
      <c r="I25" s="130">
        <v>43713.786618055557</v>
      </c>
      <c r="J25" s="131" t="s">
        <v>180</v>
      </c>
      <c r="K25" s="132">
        <v>-28.026696463486264</v>
      </c>
      <c r="L25" s="132">
        <v>1</v>
      </c>
      <c r="M25" s="133">
        <v>7582.3490305797786</v>
      </c>
      <c r="N25" s="134"/>
      <c r="P25" s="135"/>
    </row>
    <row r="26" spans="1:17" x14ac:dyDescent="0.25">
      <c r="A26" s="136" t="s">
        <v>225</v>
      </c>
      <c r="B26" s="137">
        <v>5466</v>
      </c>
      <c r="C26" s="137">
        <v>6504</v>
      </c>
      <c r="D26" s="137">
        <v>8043</v>
      </c>
      <c r="E26" s="138" t="s">
        <v>223</v>
      </c>
      <c r="F26" s="137">
        <v>200</v>
      </c>
      <c r="G26" s="137" t="s">
        <v>224</v>
      </c>
      <c r="H26" s="139" t="s">
        <v>6</v>
      </c>
      <c r="I26" s="140">
        <v>43713.793288194443</v>
      </c>
      <c r="J26" s="141" t="s">
        <v>180</v>
      </c>
      <c r="K26" s="142">
        <v>-27.963200824262941</v>
      </c>
      <c r="L26" s="142">
        <v>1</v>
      </c>
      <c r="M26" s="143">
        <v>7510.4932560450061</v>
      </c>
      <c r="N26" s="144">
        <f>ABS(K25-K26)</f>
        <v>6.3495639223322797E-2</v>
      </c>
      <c r="O26" s="10">
        <f>AVERAGE(K25:K26)</f>
        <v>-27.994948643874601</v>
      </c>
      <c r="P26" s="145">
        <f>STDEV(K25:K26)</f>
        <v>4.4898197070586073E-2</v>
      </c>
    </row>
    <row r="27" spans="1:17" x14ac:dyDescent="0.25">
      <c r="A27" s="126" t="s">
        <v>226</v>
      </c>
      <c r="B27" s="127">
        <v>2052</v>
      </c>
      <c r="C27" s="127">
        <v>2402</v>
      </c>
      <c r="D27" s="127">
        <v>2852</v>
      </c>
      <c r="E27" s="128" t="s">
        <v>227</v>
      </c>
      <c r="F27" s="127">
        <v>200</v>
      </c>
      <c r="G27" s="127" t="s">
        <v>228</v>
      </c>
      <c r="H27" s="129" t="s">
        <v>6</v>
      </c>
      <c r="I27" s="130">
        <v>43713.814708333332</v>
      </c>
      <c r="J27" s="131" t="s">
        <v>180</v>
      </c>
      <c r="K27" s="132">
        <v>-38.665244969650779</v>
      </c>
      <c r="L27" s="132">
        <v>1</v>
      </c>
      <c r="M27" s="133">
        <v>2901.1833162963871</v>
      </c>
      <c r="N27" s="134"/>
      <c r="P27" s="135"/>
    </row>
    <row r="28" spans="1:17" x14ac:dyDescent="0.25">
      <c r="A28" s="148" t="s">
        <v>229</v>
      </c>
      <c r="B28" s="149">
        <v>2157</v>
      </c>
      <c r="C28" s="149">
        <v>2522</v>
      </c>
      <c r="D28" s="149">
        <v>2998</v>
      </c>
      <c r="E28" s="150" t="s">
        <v>227</v>
      </c>
      <c r="F28" s="149">
        <v>200</v>
      </c>
      <c r="G28" s="149" t="s">
        <v>228</v>
      </c>
      <c r="H28" s="151" t="s">
        <v>6</v>
      </c>
      <c r="I28" s="152">
        <v>43713.821276620372</v>
      </c>
      <c r="J28" s="145" t="s">
        <v>180</v>
      </c>
      <c r="K28" s="135">
        <v>-38.542803598393725</v>
      </c>
      <c r="L28" s="135">
        <v>1</v>
      </c>
      <c r="M28" s="153">
        <v>2884.4840281428842</v>
      </c>
      <c r="N28" s="154">
        <f>ABS(K27-K28)</f>
        <v>0.12244137125705379</v>
      </c>
      <c r="O28" s="10">
        <f>AVERAGE(K27:K28)</f>
        <v>-38.604024284022252</v>
      </c>
      <c r="P28" s="145">
        <f>STDEV(K27:K28)</f>
        <v>8.6579123913642364E-2</v>
      </c>
    </row>
    <row r="29" spans="1:17" x14ac:dyDescent="0.25">
      <c r="A29" s="148" t="s">
        <v>230</v>
      </c>
      <c r="B29" s="149">
        <v>2164</v>
      </c>
      <c r="C29" s="149">
        <v>2525</v>
      </c>
      <c r="D29" s="149">
        <v>3005</v>
      </c>
      <c r="E29" s="150" t="s">
        <v>231</v>
      </c>
      <c r="F29" s="149">
        <v>200</v>
      </c>
      <c r="G29" s="149" t="s">
        <v>228</v>
      </c>
      <c r="H29" s="151" t="s">
        <v>6</v>
      </c>
      <c r="I29" s="152">
        <v>43713.827833333329</v>
      </c>
      <c r="J29" s="145" t="s">
        <v>180</v>
      </c>
      <c r="K29" s="135">
        <v>-38.703290277643198</v>
      </c>
      <c r="L29" s="135">
        <v>1</v>
      </c>
      <c r="M29" s="153">
        <v>2967.4014029899436</v>
      </c>
      <c r="N29" s="155"/>
      <c r="P29" s="135"/>
    </row>
    <row r="30" spans="1:17" x14ac:dyDescent="0.25">
      <c r="A30" s="136" t="s">
        <v>232</v>
      </c>
      <c r="B30" s="137">
        <v>2128</v>
      </c>
      <c r="C30" s="137">
        <v>2482</v>
      </c>
      <c r="D30" s="137">
        <v>2952</v>
      </c>
      <c r="E30" s="138" t="s">
        <v>231</v>
      </c>
      <c r="F30" s="137">
        <v>200</v>
      </c>
      <c r="G30" s="137" t="s">
        <v>228</v>
      </c>
      <c r="H30" s="139" t="s">
        <v>6</v>
      </c>
      <c r="I30" s="140">
        <v>43713.834509259264</v>
      </c>
      <c r="J30" s="141" t="s">
        <v>180</v>
      </c>
      <c r="K30" s="142">
        <v>-38.545817805199206</v>
      </c>
      <c r="L30" s="142">
        <v>1</v>
      </c>
      <c r="M30" s="143">
        <v>2930.113524139123</v>
      </c>
      <c r="N30" s="144">
        <f>ABS(K29-K30)</f>
        <v>0.15747247244399176</v>
      </c>
      <c r="O30" s="10">
        <f>AVERAGE(K29:K30)</f>
        <v>-38.624554041421206</v>
      </c>
      <c r="P30" s="145">
        <f>STDEV(K29:K30)</f>
        <v>0.11134985311535832</v>
      </c>
    </row>
    <row r="31" spans="1:17" x14ac:dyDescent="0.25">
      <c r="A31" s="125" t="s">
        <v>175</v>
      </c>
      <c r="B31" s="116"/>
      <c r="C31" s="116"/>
      <c r="D31" s="116"/>
      <c r="K31" s="116"/>
    </row>
    <row r="32" spans="1:17" x14ac:dyDescent="0.25">
      <c r="A32" s="156" t="s">
        <v>234</v>
      </c>
      <c r="B32" s="157">
        <v>4198</v>
      </c>
      <c r="C32" s="157">
        <v>4977</v>
      </c>
      <c r="D32" s="157">
        <v>5959</v>
      </c>
      <c r="E32" s="156" t="s">
        <v>178</v>
      </c>
      <c r="F32" s="157">
        <v>200</v>
      </c>
      <c r="G32" s="156" t="s">
        <v>179</v>
      </c>
      <c r="H32" s="151" t="s">
        <v>6</v>
      </c>
      <c r="I32" s="152">
        <v>43717.636425925921</v>
      </c>
      <c r="J32" s="145" t="s">
        <v>180</v>
      </c>
      <c r="K32" s="135">
        <v>-26.168539146038068</v>
      </c>
      <c r="L32" s="135">
        <v>1</v>
      </c>
      <c r="M32" s="153">
        <v>5707.3968203539789</v>
      </c>
      <c r="N32" s="158"/>
      <c r="P32" s="135"/>
      <c r="Q32" s="159">
        <v>391.2</v>
      </c>
    </row>
    <row r="33" spans="1:17" x14ac:dyDescent="0.25">
      <c r="A33" s="156" t="s">
        <v>235</v>
      </c>
      <c r="B33" s="157">
        <v>3576</v>
      </c>
      <c r="C33" s="157">
        <v>4242</v>
      </c>
      <c r="D33" s="157">
        <v>5081</v>
      </c>
      <c r="E33" s="156" t="s">
        <v>178</v>
      </c>
      <c r="F33" s="157">
        <v>200</v>
      </c>
      <c r="G33" s="156" t="s">
        <v>179</v>
      </c>
      <c r="H33" s="151" t="s">
        <v>6</v>
      </c>
      <c r="I33" s="152">
        <v>43717.644406250001</v>
      </c>
      <c r="J33" s="145" t="s">
        <v>180</v>
      </c>
      <c r="K33" s="135">
        <v>-25.400356009092416</v>
      </c>
      <c r="L33" s="135">
        <v>1</v>
      </c>
      <c r="M33" s="153">
        <v>5389.8648345178226</v>
      </c>
      <c r="N33" s="160">
        <f>ABS(K32-K33)</f>
        <v>0.76818313694565177</v>
      </c>
      <c r="O33" s="10">
        <f>AVERAGE(K32:K33)</f>
        <v>-25.784447577565242</v>
      </c>
      <c r="P33" s="161">
        <f>STDEV(K32:K33)</f>
        <v>0.54318750532742466</v>
      </c>
      <c r="Q33" s="159">
        <v>396.7</v>
      </c>
    </row>
    <row r="34" spans="1:17" x14ac:dyDescent="0.25">
      <c r="A34" s="156" t="s">
        <v>236</v>
      </c>
      <c r="B34" s="157">
        <v>4242</v>
      </c>
      <c r="C34" s="157">
        <v>5107</v>
      </c>
      <c r="D34" s="157">
        <v>6040</v>
      </c>
      <c r="E34" s="156" t="s">
        <v>183</v>
      </c>
      <c r="F34" s="157">
        <v>200</v>
      </c>
      <c r="G34" s="156" t="s">
        <v>184</v>
      </c>
      <c r="H34" s="151" t="s">
        <v>6</v>
      </c>
      <c r="I34" s="152">
        <v>43717.653050925925</v>
      </c>
      <c r="J34" s="145" t="s">
        <v>180</v>
      </c>
      <c r="K34" s="135">
        <v>-25.647790471294634</v>
      </c>
      <c r="L34" s="135">
        <v>1</v>
      </c>
      <c r="M34" s="153">
        <v>5674.2384538798824</v>
      </c>
      <c r="N34" s="158"/>
      <c r="P34" s="135"/>
      <c r="Q34" s="162">
        <v>459.6</v>
      </c>
    </row>
    <row r="35" spans="1:17" x14ac:dyDescent="0.25">
      <c r="A35" s="156" t="s">
        <v>237</v>
      </c>
      <c r="B35" s="157">
        <v>4293</v>
      </c>
      <c r="C35" s="157">
        <v>5122</v>
      </c>
      <c r="D35" s="157">
        <v>6109</v>
      </c>
      <c r="E35" s="156" t="s">
        <v>183</v>
      </c>
      <c r="F35" s="157">
        <v>200</v>
      </c>
      <c r="G35" s="156" t="s">
        <v>184</v>
      </c>
      <c r="H35" s="151" t="s">
        <v>6</v>
      </c>
      <c r="I35" s="152">
        <v>43717.660541666664</v>
      </c>
      <c r="J35" s="145" t="s">
        <v>180</v>
      </c>
      <c r="K35" s="135">
        <v>-25.920832509242143</v>
      </c>
      <c r="L35" s="135">
        <v>1</v>
      </c>
      <c r="M35" s="153">
        <v>5693.7298025982773</v>
      </c>
      <c r="N35" s="163">
        <f>ABS(K34-K35)</f>
        <v>0.27304203794750848</v>
      </c>
      <c r="O35" s="10">
        <f>AVERAGE(K34:K35)</f>
        <v>-25.784311490268387</v>
      </c>
      <c r="P35" s="145">
        <f>STDEV(K34:K35)</f>
        <v>0.19306987658167787</v>
      </c>
      <c r="Q35" s="159">
        <v>421.8</v>
      </c>
    </row>
    <row r="36" spans="1:17" x14ac:dyDescent="0.25">
      <c r="A36" s="156" t="s">
        <v>238</v>
      </c>
      <c r="B36" s="157">
        <v>2777</v>
      </c>
      <c r="C36" s="157">
        <v>3283</v>
      </c>
      <c r="D36" s="157">
        <v>3956</v>
      </c>
      <c r="E36" s="156" t="s">
        <v>187</v>
      </c>
      <c r="F36" s="157">
        <v>200</v>
      </c>
      <c r="G36" s="156" t="s">
        <v>188</v>
      </c>
      <c r="H36" s="151" t="s">
        <v>6</v>
      </c>
      <c r="I36" s="152">
        <v>43717.67597916667</v>
      </c>
      <c r="J36" s="145" t="s">
        <v>180</v>
      </c>
      <c r="K36" s="135">
        <v>-26.515674616949806</v>
      </c>
      <c r="L36" s="135">
        <v>1</v>
      </c>
      <c r="M36" s="153">
        <v>3833.4665481579868</v>
      </c>
      <c r="N36" s="158"/>
      <c r="P36" s="135"/>
      <c r="Q36" s="159">
        <v>386.6</v>
      </c>
    </row>
    <row r="37" spans="1:17" x14ac:dyDescent="0.25">
      <c r="A37" s="156" t="s">
        <v>239</v>
      </c>
      <c r="B37" s="157">
        <v>2687</v>
      </c>
      <c r="C37" s="157">
        <v>3175</v>
      </c>
      <c r="D37" s="157">
        <v>3823</v>
      </c>
      <c r="E37" s="156" t="s">
        <v>187</v>
      </c>
      <c r="F37" s="157">
        <v>200</v>
      </c>
      <c r="G37" s="156" t="s">
        <v>188</v>
      </c>
      <c r="H37" s="151" t="s">
        <v>6</v>
      </c>
      <c r="I37" s="152">
        <v>43717.683817129633</v>
      </c>
      <c r="J37" s="145" t="s">
        <v>180</v>
      </c>
      <c r="K37" s="135">
        <v>-26.483543246284725</v>
      </c>
      <c r="L37" s="135">
        <v>1</v>
      </c>
      <c r="M37" s="153">
        <v>3748.3777123207951</v>
      </c>
      <c r="N37" s="163">
        <f>ABS(K36-K37)</f>
        <v>3.2131370665080539E-2</v>
      </c>
      <c r="O37" s="10">
        <f>AVERAGE(K36:K37)</f>
        <v>-26.499608931617267</v>
      </c>
      <c r="P37" s="145">
        <f>STDEV(K36:K37)</f>
        <v>2.2720310086096956E-2</v>
      </c>
      <c r="Q37" s="159">
        <v>379.8</v>
      </c>
    </row>
    <row r="38" spans="1:17" x14ac:dyDescent="0.25">
      <c r="A38" s="156" t="s">
        <v>240</v>
      </c>
      <c r="B38" s="157">
        <v>2462</v>
      </c>
      <c r="C38" s="157">
        <v>2924</v>
      </c>
      <c r="D38" s="157">
        <v>3503</v>
      </c>
      <c r="E38" s="156" t="s">
        <v>191</v>
      </c>
      <c r="F38" s="157">
        <v>200</v>
      </c>
      <c r="G38" s="156" t="s">
        <v>192</v>
      </c>
      <c r="H38" s="151" t="s">
        <v>6</v>
      </c>
      <c r="I38" s="152">
        <v>43717.692482638893</v>
      </c>
      <c r="J38" s="145" t="s">
        <v>180</v>
      </c>
      <c r="K38" s="135">
        <v>-26.130985709715254</v>
      </c>
      <c r="L38" s="135">
        <v>1</v>
      </c>
      <c r="M38" s="153">
        <v>3555.9545867686766</v>
      </c>
      <c r="N38" s="158"/>
      <c r="P38" s="135"/>
      <c r="Q38" s="159">
        <v>443.5</v>
      </c>
    </row>
    <row r="39" spans="1:17" x14ac:dyDescent="0.25">
      <c r="A39" s="156" t="s">
        <v>241</v>
      </c>
      <c r="B39" s="157">
        <v>2680</v>
      </c>
      <c r="C39" s="157">
        <v>3179</v>
      </c>
      <c r="D39" s="157">
        <v>3812</v>
      </c>
      <c r="E39" s="156" t="s">
        <v>191</v>
      </c>
      <c r="F39" s="157">
        <v>200</v>
      </c>
      <c r="G39" s="156" t="s">
        <v>192</v>
      </c>
      <c r="H39" s="151" t="s">
        <v>6</v>
      </c>
      <c r="I39" s="152">
        <v>43717.700115740743</v>
      </c>
      <c r="J39" s="145" t="s">
        <v>180</v>
      </c>
      <c r="K39" s="135">
        <v>-25.831970792215319</v>
      </c>
      <c r="L39" s="135">
        <v>1</v>
      </c>
      <c r="M39" s="153">
        <v>3573.2855033897813</v>
      </c>
      <c r="N39" s="160">
        <f>ABS(K38-K39)</f>
        <v>0.29901491749993525</v>
      </c>
      <c r="O39" s="10">
        <f>AVERAGE(K38:K39)</f>
        <v>-25.981478250965289</v>
      </c>
      <c r="P39" s="145">
        <f>STDEV(K38:K39)</f>
        <v>0.21143547584014027</v>
      </c>
      <c r="Q39" s="159">
        <v>418</v>
      </c>
    </row>
    <row r="40" spans="1:17" x14ac:dyDescent="0.25">
      <c r="A40" s="156" t="s">
        <v>242</v>
      </c>
      <c r="B40" s="157">
        <v>1304</v>
      </c>
      <c r="C40" s="157">
        <v>1537</v>
      </c>
      <c r="D40" s="157">
        <v>1854</v>
      </c>
      <c r="E40" s="156" t="s">
        <v>195</v>
      </c>
      <c r="F40" s="157">
        <v>200</v>
      </c>
      <c r="G40" s="156" t="s">
        <v>196</v>
      </c>
      <c r="H40" s="151" t="s">
        <v>6</v>
      </c>
      <c r="I40" s="152">
        <v>43717.723430555561</v>
      </c>
      <c r="J40" s="145" t="s">
        <v>180</v>
      </c>
      <c r="K40" s="135">
        <v>-25.481689671057747</v>
      </c>
      <c r="L40" s="135">
        <v>1</v>
      </c>
      <c r="M40" s="153">
        <v>1799.0637608339352</v>
      </c>
      <c r="N40" s="158"/>
      <c r="P40" s="135"/>
      <c r="Q40" s="159">
        <v>376.4</v>
      </c>
    </row>
    <row r="41" spans="1:17" x14ac:dyDescent="0.25">
      <c r="A41" s="156" t="s">
        <v>243</v>
      </c>
      <c r="B41" s="157">
        <v>1064</v>
      </c>
      <c r="C41" s="157">
        <v>1256</v>
      </c>
      <c r="D41" s="157">
        <v>1513</v>
      </c>
      <c r="E41" s="156" t="s">
        <v>195</v>
      </c>
      <c r="F41" s="157">
        <v>200</v>
      </c>
      <c r="G41" s="156" t="s">
        <v>196</v>
      </c>
      <c r="H41" s="151" t="s">
        <v>6</v>
      </c>
      <c r="I41" s="152">
        <v>43717.731678240736</v>
      </c>
      <c r="J41" s="145" t="s">
        <v>180</v>
      </c>
      <c r="K41" s="135">
        <v>-25.659335645855435</v>
      </c>
      <c r="L41" s="135">
        <v>1</v>
      </c>
      <c r="M41" s="153">
        <v>1690.3082398683789</v>
      </c>
      <c r="N41" s="163">
        <f>ABS(K40-K41)</f>
        <v>0.17764597479768796</v>
      </c>
      <c r="O41" s="10">
        <f>AVERAGE(K40:K41)</f>
        <v>-25.570512658456593</v>
      </c>
      <c r="P41" s="145">
        <f>STDEV(K40:K41)</f>
        <v>0.12561467342993968</v>
      </c>
      <c r="Q41" s="159">
        <v>405</v>
      </c>
    </row>
    <row r="42" spans="1:17" x14ac:dyDescent="0.25">
      <c r="A42" s="156" t="s">
        <v>244</v>
      </c>
      <c r="B42" s="157">
        <v>1454</v>
      </c>
      <c r="C42" s="157">
        <v>1718</v>
      </c>
      <c r="D42" s="157">
        <v>2071</v>
      </c>
      <c r="E42" s="156" t="s">
        <v>199</v>
      </c>
      <c r="F42" s="157">
        <v>200</v>
      </c>
      <c r="G42" s="156" t="s">
        <v>200</v>
      </c>
      <c r="H42" s="151" t="s">
        <v>6</v>
      </c>
      <c r="I42" s="152">
        <v>43717.739798611117</v>
      </c>
      <c r="J42" s="145" t="s">
        <v>180</v>
      </c>
      <c r="K42" s="135">
        <v>-26.567025644197056</v>
      </c>
      <c r="L42" s="135">
        <v>1</v>
      </c>
      <c r="M42" s="153">
        <v>1945.0952792976632</v>
      </c>
      <c r="N42" s="158"/>
      <c r="P42" s="135"/>
      <c r="Q42" s="159">
        <v>421.6</v>
      </c>
    </row>
    <row r="43" spans="1:17" x14ac:dyDescent="0.25">
      <c r="A43" s="156" t="s">
        <v>245</v>
      </c>
      <c r="B43" s="157">
        <v>1433</v>
      </c>
      <c r="C43" s="157">
        <v>1690</v>
      </c>
      <c r="D43" s="157">
        <v>2040</v>
      </c>
      <c r="E43" s="156" t="s">
        <v>199</v>
      </c>
      <c r="F43" s="157">
        <v>200</v>
      </c>
      <c r="G43" s="156" t="s">
        <v>200</v>
      </c>
      <c r="H43" s="151" t="s">
        <v>6</v>
      </c>
      <c r="I43" s="152">
        <v>43717.74745023148</v>
      </c>
      <c r="J43" s="145" t="s">
        <v>180</v>
      </c>
      <c r="K43" s="135">
        <v>-26.946979479098157</v>
      </c>
      <c r="L43" s="135">
        <v>1</v>
      </c>
      <c r="M43" s="153">
        <v>1943.2059987271116</v>
      </c>
      <c r="N43" s="160">
        <f>ABS(K42-K43)</f>
        <v>0.37995383490110157</v>
      </c>
      <c r="O43" s="10">
        <f>AVERAGE(K42:K43)</f>
        <v>-26.757002561647607</v>
      </c>
      <c r="P43" s="161">
        <f>STDEV(K42:K43)</f>
        <v>0.26866793319640286</v>
      </c>
      <c r="Q43" s="159">
        <v>397.7</v>
      </c>
    </row>
    <row r="44" spans="1:17" x14ac:dyDescent="0.25">
      <c r="A44" s="156" t="s">
        <v>246</v>
      </c>
      <c r="B44" s="157">
        <v>5339</v>
      </c>
      <c r="C44" s="157">
        <v>6319</v>
      </c>
      <c r="D44" s="157">
        <v>7605</v>
      </c>
      <c r="E44" s="156" t="s">
        <v>203</v>
      </c>
      <c r="F44" s="157">
        <v>200</v>
      </c>
      <c r="G44" s="156" t="s">
        <v>204</v>
      </c>
      <c r="H44" s="151" t="s">
        <v>6</v>
      </c>
      <c r="I44" s="152">
        <v>43717.763048611108</v>
      </c>
      <c r="J44" s="145" t="s">
        <v>180</v>
      </c>
      <c r="K44" s="135">
        <v>-27.884725916404314</v>
      </c>
      <c r="L44" s="135">
        <v>1</v>
      </c>
      <c r="M44" s="153">
        <v>7335.9123929598081</v>
      </c>
      <c r="N44" s="158"/>
      <c r="P44" s="135"/>
      <c r="Q44" s="159">
        <v>375.4</v>
      </c>
    </row>
    <row r="45" spans="1:17" x14ac:dyDescent="0.25">
      <c r="A45" s="156" t="s">
        <v>247</v>
      </c>
      <c r="B45" s="157">
        <v>4744</v>
      </c>
      <c r="C45" s="157">
        <v>5609</v>
      </c>
      <c r="D45" s="157">
        <v>6750</v>
      </c>
      <c r="E45" s="156" t="s">
        <v>203</v>
      </c>
      <c r="F45" s="157">
        <v>200</v>
      </c>
      <c r="G45" s="156" t="s">
        <v>204</v>
      </c>
      <c r="H45" s="151" t="s">
        <v>6</v>
      </c>
      <c r="I45" s="152">
        <v>43717.770957175926</v>
      </c>
      <c r="J45" s="145" t="s">
        <v>180</v>
      </c>
      <c r="K45" s="135">
        <v>-27.65356362031779</v>
      </c>
      <c r="L45" s="135">
        <v>1</v>
      </c>
      <c r="M45" s="153">
        <v>6966.9344868359649</v>
      </c>
      <c r="N45" s="163">
        <f>ABS(K44-K45)</f>
        <v>0.23116229608652361</v>
      </c>
      <c r="O45" s="10">
        <f>AVERAGE(K44:K45)</f>
        <v>-27.769144768361052</v>
      </c>
      <c r="P45" s="145">
        <f>STDEV(K44:K45)</f>
        <v>0.16345642711743336</v>
      </c>
      <c r="Q45" s="159">
        <v>374.7</v>
      </c>
    </row>
    <row r="46" spans="1:17" x14ac:dyDescent="0.25">
      <c r="A46" s="156" t="s">
        <v>248</v>
      </c>
      <c r="B46" s="157">
        <v>5342</v>
      </c>
      <c r="C46" s="157">
        <v>6390</v>
      </c>
      <c r="D46" s="157">
        <v>7612</v>
      </c>
      <c r="E46" s="156" t="s">
        <v>207</v>
      </c>
      <c r="F46" s="157">
        <v>200</v>
      </c>
      <c r="G46" s="156" t="s">
        <v>208</v>
      </c>
      <c r="H46" s="151" t="s">
        <v>6</v>
      </c>
      <c r="I46" s="152">
        <v>43717.779440972219</v>
      </c>
      <c r="J46" s="145" t="s">
        <v>180</v>
      </c>
      <c r="K46" s="135">
        <v>-27.787086507066462</v>
      </c>
      <c r="L46" s="135">
        <v>1</v>
      </c>
      <c r="M46" s="153">
        <v>7060.6620884078611</v>
      </c>
      <c r="N46" s="158"/>
      <c r="P46" s="135"/>
      <c r="Q46" s="159">
        <v>424.7</v>
      </c>
    </row>
    <row r="47" spans="1:17" x14ac:dyDescent="0.25">
      <c r="A47" s="156" t="s">
        <v>249</v>
      </c>
      <c r="B47" s="157">
        <v>5314</v>
      </c>
      <c r="C47" s="157">
        <v>6321</v>
      </c>
      <c r="D47" s="157">
        <v>7568</v>
      </c>
      <c r="E47" s="156" t="s">
        <v>207</v>
      </c>
      <c r="F47" s="157">
        <v>200</v>
      </c>
      <c r="G47" s="156" t="s">
        <v>208</v>
      </c>
      <c r="H47" s="151" t="s">
        <v>6</v>
      </c>
      <c r="I47" s="152">
        <v>43717.787064814816</v>
      </c>
      <c r="J47" s="145" t="s">
        <v>180</v>
      </c>
      <c r="K47" s="135">
        <v>-27.761067833063464</v>
      </c>
      <c r="L47" s="135">
        <v>1</v>
      </c>
      <c r="M47" s="153">
        <v>7031.7672846794467</v>
      </c>
      <c r="N47" s="163">
        <f>ABS(K46-K47)</f>
        <v>2.6018674002997955E-2</v>
      </c>
      <c r="O47" s="10">
        <f>AVERAGE(K46:K47)</f>
        <v>-27.774077170064963</v>
      </c>
      <c r="P47" s="145">
        <f>STDEV(K46:K47)</f>
        <v>1.8397980825001988E-2</v>
      </c>
      <c r="Q47" s="159">
        <v>399.4</v>
      </c>
    </row>
    <row r="48" spans="1:17" x14ac:dyDescent="0.25">
      <c r="A48" s="156" t="s">
        <v>250</v>
      </c>
      <c r="B48" s="157">
        <v>5231</v>
      </c>
      <c r="C48" s="157">
        <v>6181</v>
      </c>
      <c r="D48" s="157">
        <v>7441</v>
      </c>
      <c r="E48" s="156" t="s">
        <v>211</v>
      </c>
      <c r="F48" s="157">
        <v>200</v>
      </c>
      <c r="G48" s="156" t="s">
        <v>212</v>
      </c>
      <c r="H48" s="151" t="s">
        <v>6</v>
      </c>
      <c r="I48" s="152">
        <v>43717.810527777779</v>
      </c>
      <c r="J48" s="145" t="s">
        <v>180</v>
      </c>
      <c r="K48" s="135">
        <v>-27.960691203927627</v>
      </c>
      <c r="L48" s="135">
        <v>1</v>
      </c>
      <c r="M48" s="153">
        <v>7135.225576183695</v>
      </c>
      <c r="N48" s="158"/>
      <c r="P48" s="135"/>
      <c r="Q48" s="162">
        <v>370.6</v>
      </c>
    </row>
    <row r="49" spans="1:17" x14ac:dyDescent="0.25">
      <c r="A49" s="156" t="s">
        <v>251</v>
      </c>
      <c r="B49" s="157">
        <v>4473</v>
      </c>
      <c r="C49" s="157">
        <v>5318</v>
      </c>
      <c r="D49" s="157">
        <v>6367</v>
      </c>
      <c r="E49" s="156" t="s">
        <v>211</v>
      </c>
      <c r="F49" s="157">
        <v>200</v>
      </c>
      <c r="G49" s="156" t="s">
        <v>212</v>
      </c>
      <c r="H49" s="151" t="s">
        <v>6</v>
      </c>
      <c r="I49" s="152">
        <v>43717.81894675926</v>
      </c>
      <c r="J49" s="145" t="s">
        <v>180</v>
      </c>
      <c r="K49" s="135">
        <v>-27.986251678987195</v>
      </c>
      <c r="L49" s="135">
        <v>1</v>
      </c>
      <c r="M49" s="153">
        <v>6680.962253063899</v>
      </c>
      <c r="N49" s="163">
        <f>ABS(K48-K49)</f>
        <v>2.5560475059567267E-2</v>
      </c>
      <c r="O49" s="10">
        <f>AVERAGE(K48:K49)</f>
        <v>-27.973471441457413</v>
      </c>
      <c r="P49" s="145">
        <f>STDEV(K48:K49)</f>
        <v>1.8073985244969636E-2</v>
      </c>
      <c r="Q49" s="159">
        <v>414</v>
      </c>
    </row>
    <row r="50" spans="1:17" x14ac:dyDescent="0.25">
      <c r="A50" s="156" t="s">
        <v>252</v>
      </c>
      <c r="B50" s="157">
        <v>5336</v>
      </c>
      <c r="C50" s="157">
        <v>6353</v>
      </c>
      <c r="D50" s="157">
        <v>7595</v>
      </c>
      <c r="E50" s="156" t="s">
        <v>215</v>
      </c>
      <c r="F50" s="157">
        <v>200</v>
      </c>
      <c r="G50" s="156" t="s">
        <v>216</v>
      </c>
      <c r="H50" s="151" t="s">
        <v>6</v>
      </c>
      <c r="I50" s="152">
        <v>43717.826800925919</v>
      </c>
      <c r="J50" s="145" t="s">
        <v>180</v>
      </c>
      <c r="K50" s="135">
        <v>-27.733118758291219</v>
      </c>
      <c r="L50" s="135">
        <v>1</v>
      </c>
      <c r="M50" s="153">
        <v>7033.4824432210389</v>
      </c>
      <c r="N50" s="158"/>
      <c r="P50" s="135"/>
      <c r="Q50" s="159">
        <v>408.6</v>
      </c>
    </row>
    <row r="51" spans="1:17" x14ac:dyDescent="0.25">
      <c r="A51" s="156" t="s">
        <v>253</v>
      </c>
      <c r="B51" s="157">
        <v>5258</v>
      </c>
      <c r="C51" s="157">
        <v>6239</v>
      </c>
      <c r="D51" s="157">
        <v>7483</v>
      </c>
      <c r="E51" s="156" t="s">
        <v>215</v>
      </c>
      <c r="F51" s="157">
        <v>200</v>
      </c>
      <c r="G51" s="156" t="s">
        <v>216</v>
      </c>
      <c r="H51" s="151" t="s">
        <v>6</v>
      </c>
      <c r="I51" s="152">
        <v>43717.834495370371</v>
      </c>
      <c r="J51" s="145" t="s">
        <v>180</v>
      </c>
      <c r="K51" s="135">
        <v>-27.90305666055179</v>
      </c>
      <c r="L51" s="135">
        <v>1</v>
      </c>
      <c r="M51" s="153">
        <v>6993.1517430961485</v>
      </c>
      <c r="N51" s="163">
        <f>ABS(K50-K51)</f>
        <v>0.16993790226057115</v>
      </c>
      <c r="O51" s="10">
        <f>AVERAGE(K50:K51)</f>
        <v>-27.818087709421505</v>
      </c>
      <c r="P51" s="145">
        <f>STDEV(K50:K51)</f>
        <v>0.12016424306906659</v>
      </c>
      <c r="Q51" s="159">
        <v>389.4</v>
      </c>
    </row>
    <row r="52" spans="1:17" x14ac:dyDescent="0.25">
      <c r="A52" s="156" t="s">
        <v>254</v>
      </c>
      <c r="B52" s="157">
        <v>5704</v>
      </c>
      <c r="C52" s="157">
        <v>6746</v>
      </c>
      <c r="D52" s="157">
        <v>8118</v>
      </c>
      <c r="E52" s="156" t="s">
        <v>219</v>
      </c>
      <c r="F52" s="157">
        <v>200</v>
      </c>
      <c r="G52" s="156" t="s">
        <v>220</v>
      </c>
      <c r="H52" s="151" t="s">
        <v>6</v>
      </c>
      <c r="I52" s="152">
        <v>43717.850150462968</v>
      </c>
      <c r="J52" s="145" t="s">
        <v>180</v>
      </c>
      <c r="K52" s="135">
        <v>-27.931801960131221</v>
      </c>
      <c r="L52" s="135">
        <v>1</v>
      </c>
      <c r="M52" s="153">
        <v>7757.2401933404271</v>
      </c>
      <c r="N52" s="158"/>
      <c r="P52" s="135"/>
      <c r="Q52" s="159">
        <v>372</v>
      </c>
    </row>
    <row r="53" spans="1:17" x14ac:dyDescent="0.25">
      <c r="A53" s="156" t="s">
        <v>255</v>
      </c>
      <c r="B53" s="157">
        <v>4742</v>
      </c>
      <c r="C53" s="157">
        <v>5619</v>
      </c>
      <c r="D53" s="157">
        <v>6749</v>
      </c>
      <c r="E53" s="156" t="s">
        <v>219</v>
      </c>
      <c r="F53" s="157">
        <v>200</v>
      </c>
      <c r="G53" s="156" t="s">
        <v>220</v>
      </c>
      <c r="H53" s="151" t="s">
        <v>6</v>
      </c>
      <c r="I53" s="152">
        <v>43717.858273148144</v>
      </c>
      <c r="J53" s="145" t="s">
        <v>180</v>
      </c>
      <c r="K53" s="135">
        <v>-27.956518677364286</v>
      </c>
      <c r="L53" s="135">
        <v>1</v>
      </c>
      <c r="M53" s="153">
        <v>7266.5172171906415</v>
      </c>
      <c r="N53" s="163">
        <f>ABS(K52-K53)</f>
        <v>2.4716717233065566E-2</v>
      </c>
      <c r="O53" s="10">
        <f>AVERAGE(K52:K53)</f>
        <v>-27.944160318747755</v>
      </c>
      <c r="P53" s="145">
        <f>STDEV(K52:K53)</f>
        <v>1.7477358364171063E-2</v>
      </c>
      <c r="Q53" s="159">
        <v>389.8</v>
      </c>
    </row>
    <row r="54" spans="1:17" x14ac:dyDescent="0.25">
      <c r="A54" s="156" t="s">
        <v>256</v>
      </c>
      <c r="B54" s="157">
        <v>5492</v>
      </c>
      <c r="C54" s="157">
        <v>6555</v>
      </c>
      <c r="D54" s="157">
        <v>7817</v>
      </c>
      <c r="E54" s="156" t="s">
        <v>223</v>
      </c>
      <c r="F54" s="157">
        <v>200</v>
      </c>
      <c r="G54" s="156" t="s">
        <v>224</v>
      </c>
      <c r="H54" s="151" t="s">
        <v>6</v>
      </c>
      <c r="I54" s="152">
        <v>43717.866491898145</v>
      </c>
      <c r="J54" s="145" t="s">
        <v>180</v>
      </c>
      <c r="K54" s="135">
        <v>-27.239208226054494</v>
      </c>
      <c r="L54" s="135">
        <v>1</v>
      </c>
      <c r="M54" s="153">
        <v>7216.4851785049714</v>
      </c>
      <c r="N54" s="158"/>
      <c r="P54" s="135"/>
      <c r="Q54" s="159">
        <v>415.9</v>
      </c>
    </row>
    <row r="55" spans="1:17" x14ac:dyDescent="0.25">
      <c r="A55" s="156" t="s">
        <v>257</v>
      </c>
      <c r="B55" s="157">
        <v>5393</v>
      </c>
      <c r="C55" s="157">
        <v>6411</v>
      </c>
      <c r="D55" s="157">
        <v>7698</v>
      </c>
      <c r="E55" s="156" t="s">
        <v>223</v>
      </c>
      <c r="F55" s="157">
        <v>200</v>
      </c>
      <c r="G55" s="156" t="s">
        <v>224</v>
      </c>
      <c r="H55" s="151" t="s">
        <v>6</v>
      </c>
      <c r="I55" s="152">
        <v>43717.874171296302</v>
      </c>
      <c r="J55" s="145" t="s">
        <v>180</v>
      </c>
      <c r="K55" s="135">
        <v>-26.643178298121381</v>
      </c>
      <c r="L55" s="135">
        <v>1</v>
      </c>
      <c r="M55" s="153">
        <v>7199.4309650975674</v>
      </c>
      <c r="N55" s="160">
        <f>ABS(K54-K55)</f>
        <v>0.59602992793311316</v>
      </c>
      <c r="O55" s="10">
        <f>AVERAGE(K54:K55)</f>
        <v>-26.941193262087936</v>
      </c>
      <c r="P55" s="161">
        <f>STDEV(K54:K55)</f>
        <v>0.42145680383163353</v>
      </c>
      <c r="Q55" s="159">
        <v>395.4</v>
      </c>
    </row>
    <row r="56" spans="1:17" x14ac:dyDescent="0.25">
      <c r="A56" s="156" t="s">
        <v>258</v>
      </c>
      <c r="B56" s="157">
        <v>1936</v>
      </c>
      <c r="C56" s="157">
        <v>2254</v>
      </c>
      <c r="D56" s="157">
        <v>2679</v>
      </c>
      <c r="E56" s="156" t="s">
        <v>227</v>
      </c>
      <c r="F56" s="157">
        <v>200</v>
      </c>
      <c r="G56" s="156" t="s">
        <v>228</v>
      </c>
      <c r="H56" s="151" t="s">
        <v>6</v>
      </c>
      <c r="I56" s="152">
        <v>43717.897710648147</v>
      </c>
      <c r="J56" s="145" t="s">
        <v>180</v>
      </c>
      <c r="K56" s="135">
        <v>-38.354397141265181</v>
      </c>
      <c r="L56" s="135">
        <v>1</v>
      </c>
      <c r="M56" s="153">
        <v>2742.3811205168822</v>
      </c>
      <c r="N56" s="158"/>
      <c r="P56" s="135"/>
      <c r="Q56" s="159">
        <v>372.2</v>
      </c>
    </row>
    <row r="57" spans="1:17" x14ac:dyDescent="0.25">
      <c r="A57" s="156" t="s">
        <v>259</v>
      </c>
      <c r="B57" s="157">
        <v>2040</v>
      </c>
      <c r="C57" s="157">
        <v>2382</v>
      </c>
      <c r="D57" s="157">
        <v>2819</v>
      </c>
      <c r="E57" s="156" t="s">
        <v>227</v>
      </c>
      <c r="F57" s="157">
        <v>200</v>
      </c>
      <c r="G57" s="156" t="s">
        <v>228</v>
      </c>
      <c r="H57" s="151" t="s">
        <v>6</v>
      </c>
      <c r="I57" s="152">
        <v>43717.906233796297</v>
      </c>
      <c r="J57" s="145" t="s">
        <v>180</v>
      </c>
      <c r="K57" s="135">
        <v>-38.462900072331564</v>
      </c>
      <c r="L57" s="135">
        <v>1</v>
      </c>
      <c r="M57" s="153">
        <v>2697.4196690951626</v>
      </c>
      <c r="N57" s="163">
        <f>ABS(K56-K57)</f>
        <v>0.10850293106638276</v>
      </c>
      <c r="O57" s="10">
        <f>AVERAGE(K56:K57)</f>
        <v>-38.408648606798373</v>
      </c>
      <c r="P57" s="145">
        <f>STDEV(K56:K57)</f>
        <v>7.6723158335655767E-2</v>
      </c>
      <c r="Q57" s="159">
        <v>423.6</v>
      </c>
    </row>
    <row r="58" spans="1:17" x14ac:dyDescent="0.25">
      <c r="A58" s="156" t="s">
        <v>260</v>
      </c>
      <c r="B58" s="157">
        <v>2080</v>
      </c>
      <c r="C58" s="157">
        <v>2428</v>
      </c>
      <c r="D58" s="157">
        <v>2878</v>
      </c>
      <c r="E58" s="156" t="s">
        <v>231</v>
      </c>
      <c r="F58" s="157">
        <v>200</v>
      </c>
      <c r="G58" s="156" t="s">
        <v>228</v>
      </c>
      <c r="H58" s="151" t="s">
        <v>6</v>
      </c>
      <c r="I58" s="152">
        <v>43717.913903935179</v>
      </c>
      <c r="J58" s="145" t="s">
        <v>180</v>
      </c>
      <c r="K58" s="135">
        <v>-38.460856231050791</v>
      </c>
      <c r="L58" s="135">
        <v>1</v>
      </c>
      <c r="M58" s="153">
        <v>2758.6226509996181</v>
      </c>
      <c r="N58" s="158"/>
      <c r="P58" s="135"/>
      <c r="Q58" s="159">
        <v>401.3</v>
      </c>
    </row>
    <row r="59" spans="1:17" x14ac:dyDescent="0.25">
      <c r="A59" s="156" t="s">
        <v>261</v>
      </c>
      <c r="B59" s="157">
        <v>2034</v>
      </c>
      <c r="C59" s="157">
        <v>2372</v>
      </c>
      <c r="D59" s="157">
        <v>2817</v>
      </c>
      <c r="E59" s="156" t="s">
        <v>231</v>
      </c>
      <c r="F59" s="157">
        <v>200</v>
      </c>
      <c r="G59" s="156" t="s">
        <v>228</v>
      </c>
      <c r="H59" s="151" t="s">
        <v>6</v>
      </c>
      <c r="I59" s="152">
        <v>43717.921662037043</v>
      </c>
      <c r="J59" s="145" t="s">
        <v>180</v>
      </c>
      <c r="K59" s="135">
        <v>-38.413767438619523</v>
      </c>
      <c r="L59" s="135">
        <v>1</v>
      </c>
      <c r="M59" s="153">
        <v>2739.419282343581</v>
      </c>
      <c r="N59" s="163">
        <f>ABS(K58-K59)</f>
        <v>4.7088792431267734E-2</v>
      </c>
      <c r="O59" s="10">
        <f>AVERAGE(K58:K59)</f>
        <v>-38.437311834835157</v>
      </c>
      <c r="P59" s="145">
        <f>STDEV(K58:K59)</f>
        <v>3.3296804446035187E-2</v>
      </c>
      <c r="Q59" s="159">
        <v>386.6</v>
      </c>
    </row>
    <row r="60" spans="1:17" x14ac:dyDescent="0.25">
      <c r="A60" s="164"/>
      <c r="B60" s="165"/>
      <c r="C60" s="165"/>
      <c r="D60" s="165"/>
      <c r="E60" s="164"/>
      <c r="F60" s="164"/>
      <c r="G60" s="164"/>
      <c r="H60" s="151"/>
      <c r="I60" s="152"/>
      <c r="J60" s="145"/>
      <c r="K60" s="135"/>
      <c r="L60" s="153"/>
      <c r="M60" s="158"/>
      <c r="N60" s="158"/>
      <c r="P60" s="166" t="s">
        <v>262</v>
      </c>
      <c r="Q60" s="167">
        <f>AVERAGE(Q32:Q59)</f>
        <v>400.41071428571428</v>
      </c>
    </row>
    <row r="61" spans="1:17" x14ac:dyDescent="0.25">
      <c r="A61" s="125" t="s">
        <v>175</v>
      </c>
      <c r="B61" s="117"/>
      <c r="C61" s="117"/>
      <c r="D61" s="117"/>
      <c r="G61" s="117"/>
      <c r="K61" s="117"/>
      <c r="Q61" s="167">
        <v>89</v>
      </c>
    </row>
    <row r="62" spans="1:17" x14ac:dyDescent="0.25">
      <c r="A62" s="156" t="s">
        <v>264</v>
      </c>
      <c r="B62" s="157">
        <v>4833</v>
      </c>
      <c r="C62" s="157">
        <v>5732</v>
      </c>
      <c r="D62" s="157">
        <v>6886</v>
      </c>
      <c r="E62" s="156" t="s">
        <v>265</v>
      </c>
      <c r="F62" s="157">
        <v>100</v>
      </c>
      <c r="G62" s="157" t="s">
        <v>266</v>
      </c>
      <c r="H62" s="151" t="s">
        <v>6</v>
      </c>
      <c r="I62" s="152">
        <v>43718.573982638889</v>
      </c>
      <c r="J62" s="145" t="s">
        <v>180</v>
      </c>
      <c r="K62" s="135">
        <v>-28.739173468309822</v>
      </c>
      <c r="L62" s="135">
        <v>2.0621052470599031</v>
      </c>
      <c r="M62" s="153">
        <v>10358.076555000918</v>
      </c>
      <c r="N62" s="158"/>
      <c r="P62" s="145"/>
    </row>
    <row r="63" spans="1:17" x14ac:dyDescent="0.25">
      <c r="A63" s="156" t="s">
        <v>267</v>
      </c>
      <c r="B63" s="157">
        <v>4823</v>
      </c>
      <c r="C63" s="157">
        <v>5761</v>
      </c>
      <c r="D63" s="157">
        <v>6871</v>
      </c>
      <c r="E63" s="156" t="s">
        <v>265</v>
      </c>
      <c r="F63" s="157">
        <v>100</v>
      </c>
      <c r="G63" s="157" t="s">
        <v>266</v>
      </c>
      <c r="H63" s="151" t="s">
        <v>6</v>
      </c>
      <c r="I63" s="152">
        <v>43718.582204861108</v>
      </c>
      <c r="J63" s="145" t="s">
        <v>180</v>
      </c>
      <c r="K63" s="135">
        <v>-28.63868372055104</v>
      </c>
      <c r="L63" s="135">
        <v>2.0621052470599031</v>
      </c>
      <c r="M63" s="153">
        <v>10196.834991339549</v>
      </c>
      <c r="N63" s="163">
        <f>ABS(K62-K63)</f>
        <v>0.1004897477587825</v>
      </c>
      <c r="P63" s="145"/>
    </row>
    <row r="64" spans="1:17" x14ac:dyDescent="0.25">
      <c r="A64" s="156" t="s">
        <v>268</v>
      </c>
      <c r="B64" s="157">
        <v>4644</v>
      </c>
      <c r="C64" s="157">
        <v>5531</v>
      </c>
      <c r="D64" s="157">
        <v>6621</v>
      </c>
      <c r="E64" s="156" t="s">
        <v>269</v>
      </c>
      <c r="F64" s="157">
        <v>100</v>
      </c>
      <c r="G64" s="157" t="s">
        <v>270</v>
      </c>
      <c r="H64" s="151" t="s">
        <v>6</v>
      </c>
      <c r="I64" s="152">
        <v>43718.589957175929</v>
      </c>
      <c r="J64" s="145" t="s">
        <v>180</v>
      </c>
      <c r="K64" s="135">
        <v>-28.807114798129124</v>
      </c>
      <c r="L64" s="135">
        <v>2.0621052470599031</v>
      </c>
      <c r="M64" s="153">
        <v>9794.4886005166936</v>
      </c>
      <c r="N64" s="158"/>
      <c r="P64" s="145"/>
    </row>
    <row r="65" spans="1:16" x14ac:dyDescent="0.25">
      <c r="A65" s="156" t="s">
        <v>271</v>
      </c>
      <c r="B65" s="157">
        <v>4621</v>
      </c>
      <c r="C65" s="157">
        <v>5485</v>
      </c>
      <c r="D65" s="157">
        <v>6587</v>
      </c>
      <c r="E65" s="156" t="s">
        <v>269</v>
      </c>
      <c r="F65" s="157">
        <v>100</v>
      </c>
      <c r="G65" s="157" t="s">
        <v>270</v>
      </c>
      <c r="H65" s="151" t="s">
        <v>6</v>
      </c>
      <c r="I65" s="152">
        <v>43718.597737268516</v>
      </c>
      <c r="J65" s="145" t="s">
        <v>180</v>
      </c>
      <c r="K65" s="135">
        <v>-28.697543447447604</v>
      </c>
      <c r="L65" s="135">
        <v>2.0621052470599031</v>
      </c>
      <c r="M65" s="153">
        <v>9783.8614567778532</v>
      </c>
      <c r="N65" s="163">
        <f>ABS(K64-K65)</f>
        <v>0.10957135068152013</v>
      </c>
      <c r="O65" s="10">
        <f>AVERAGE(K62:K65)</f>
        <v>-28.720628858609395</v>
      </c>
      <c r="P65" s="145">
        <f>STDEV(K62:K65)</f>
        <v>7.087938615108362E-2</v>
      </c>
    </row>
    <row r="66" spans="1:16" x14ac:dyDescent="0.25">
      <c r="A66" s="156" t="s">
        <v>272</v>
      </c>
      <c r="B66" s="157">
        <v>4544</v>
      </c>
      <c r="C66" s="157">
        <v>5428</v>
      </c>
      <c r="D66" s="157">
        <v>6462</v>
      </c>
      <c r="E66" s="156" t="s">
        <v>273</v>
      </c>
      <c r="F66" s="157">
        <v>100</v>
      </c>
      <c r="G66" s="157" t="s">
        <v>274</v>
      </c>
      <c r="H66" s="151" t="s">
        <v>6</v>
      </c>
      <c r="I66" s="152">
        <v>43718.613851851856</v>
      </c>
      <c r="J66" s="145" t="s">
        <v>180</v>
      </c>
      <c r="K66" s="135">
        <v>-28.951515592614626</v>
      </c>
      <c r="L66" s="135">
        <v>2.0621052470599031</v>
      </c>
      <c r="M66" s="153">
        <v>9976.0488305670624</v>
      </c>
      <c r="N66" s="158"/>
      <c r="P66" s="145"/>
    </row>
    <row r="67" spans="1:16" x14ac:dyDescent="0.25">
      <c r="A67" s="156" t="s">
        <v>275</v>
      </c>
      <c r="B67" s="157">
        <v>4768</v>
      </c>
      <c r="C67" s="157">
        <v>5694</v>
      </c>
      <c r="D67" s="157">
        <v>6787</v>
      </c>
      <c r="E67" s="156" t="s">
        <v>273</v>
      </c>
      <c r="F67" s="157">
        <v>100</v>
      </c>
      <c r="G67" s="157" t="s">
        <v>274</v>
      </c>
      <c r="H67" s="151" t="s">
        <v>6</v>
      </c>
      <c r="I67" s="152">
        <v>43718.621638888886</v>
      </c>
      <c r="J67" s="145" t="s">
        <v>180</v>
      </c>
      <c r="K67" s="135">
        <v>-28.69094142445422</v>
      </c>
      <c r="L67" s="135">
        <v>2.0621052470599031</v>
      </c>
      <c r="M67" s="153">
        <v>10087.572691748077</v>
      </c>
      <c r="N67" s="170">
        <f>ABS(K66-K67)</f>
        <v>0.26057416816040657</v>
      </c>
      <c r="P67" s="145"/>
    </row>
    <row r="68" spans="1:16" x14ac:dyDescent="0.25">
      <c r="A68" s="156" t="s">
        <v>276</v>
      </c>
      <c r="B68" s="157">
        <v>4649</v>
      </c>
      <c r="C68" s="157">
        <v>5523</v>
      </c>
      <c r="D68" s="157">
        <v>6622</v>
      </c>
      <c r="E68" s="156" t="s">
        <v>277</v>
      </c>
      <c r="F68" s="157">
        <v>100</v>
      </c>
      <c r="G68" s="157" t="s">
        <v>278</v>
      </c>
      <c r="H68" s="151" t="s">
        <v>6</v>
      </c>
      <c r="I68" s="152">
        <v>43718.629423611106</v>
      </c>
      <c r="J68" s="145" t="s">
        <v>180</v>
      </c>
      <c r="K68" s="135">
        <v>-28.358364877575067</v>
      </c>
      <c r="L68" s="135">
        <v>2.0621052470599031</v>
      </c>
      <c r="M68" s="153">
        <v>9843.6321947990473</v>
      </c>
      <c r="N68" s="158"/>
      <c r="P68" s="145"/>
    </row>
    <row r="69" spans="1:16" x14ac:dyDescent="0.25">
      <c r="A69" s="156" t="s">
        <v>279</v>
      </c>
      <c r="B69" s="157">
        <v>4628</v>
      </c>
      <c r="C69" s="157">
        <v>5487</v>
      </c>
      <c r="D69" s="157">
        <v>6588</v>
      </c>
      <c r="E69" s="156" t="s">
        <v>277</v>
      </c>
      <c r="F69" s="157">
        <v>100</v>
      </c>
      <c r="G69" s="157" t="s">
        <v>278</v>
      </c>
      <c r="H69" s="151" t="s">
        <v>6</v>
      </c>
      <c r="I69" s="152">
        <v>43718.637229166663</v>
      </c>
      <c r="J69" s="145" t="s">
        <v>180</v>
      </c>
      <c r="K69" s="135">
        <v>-28.258798483698971</v>
      </c>
      <c r="L69" s="135">
        <v>2.0621052470599031</v>
      </c>
      <c r="M69" s="153">
        <v>9837.8437892633265</v>
      </c>
      <c r="N69" s="163">
        <f>ABS(K68-K69)</f>
        <v>9.956639387609556E-2</v>
      </c>
      <c r="O69" s="10">
        <f>AVERAGE(K66:K69)</f>
        <v>-28.564905094585722</v>
      </c>
      <c r="P69" s="145">
        <f>STDEV(K66:K69)</f>
        <v>0.31712928599350954</v>
      </c>
    </row>
    <row r="70" spans="1:16" x14ac:dyDescent="0.25">
      <c r="A70" s="156" t="s">
        <v>280</v>
      </c>
      <c r="B70" s="157">
        <v>4694</v>
      </c>
      <c r="C70" s="157">
        <v>5586</v>
      </c>
      <c r="D70" s="157">
        <v>6704</v>
      </c>
      <c r="E70" s="156" t="s">
        <v>281</v>
      </c>
      <c r="F70" s="157">
        <v>100</v>
      </c>
      <c r="G70" s="157" t="s">
        <v>282</v>
      </c>
      <c r="H70" s="151" t="s">
        <v>6</v>
      </c>
      <c r="I70" s="152">
        <v>43718.661195601846</v>
      </c>
      <c r="J70" s="145" t="s">
        <v>180</v>
      </c>
      <c r="K70" s="135">
        <v>-28.527215846101914</v>
      </c>
      <c r="L70" s="135">
        <v>2.0621052470599031</v>
      </c>
      <c r="M70" s="153">
        <v>9930.443663324535</v>
      </c>
      <c r="N70" s="158"/>
      <c r="P70" s="145"/>
    </row>
    <row r="71" spans="1:16" x14ac:dyDescent="0.25">
      <c r="A71" s="156" t="s">
        <v>283</v>
      </c>
      <c r="B71" s="157">
        <v>4708</v>
      </c>
      <c r="C71" s="157">
        <v>5586</v>
      </c>
      <c r="D71" s="157">
        <v>6691</v>
      </c>
      <c r="E71" s="156" t="s">
        <v>281</v>
      </c>
      <c r="F71" s="157">
        <v>100</v>
      </c>
      <c r="G71" s="157" t="s">
        <v>282</v>
      </c>
      <c r="H71" s="151" t="s">
        <v>6</v>
      </c>
      <c r="I71" s="152">
        <v>43718.668976851848</v>
      </c>
      <c r="J71" s="145" t="s">
        <v>180</v>
      </c>
      <c r="K71" s="135">
        <v>-28.727653116107728</v>
      </c>
      <c r="L71" s="135">
        <v>2.0621052470599031</v>
      </c>
      <c r="M71" s="153">
        <v>9998.6866857941604</v>
      </c>
      <c r="N71" s="163">
        <f>ABS(K70-K71)</f>
        <v>0.20043727000581413</v>
      </c>
      <c r="P71" s="145"/>
    </row>
    <row r="72" spans="1:16" x14ac:dyDescent="0.25">
      <c r="A72" s="156" t="s">
        <v>284</v>
      </c>
      <c r="B72" s="157">
        <v>4452</v>
      </c>
      <c r="C72" s="157">
        <v>5273</v>
      </c>
      <c r="D72" s="157">
        <v>6333</v>
      </c>
      <c r="E72" s="156" t="s">
        <v>285</v>
      </c>
      <c r="F72" s="157">
        <v>100</v>
      </c>
      <c r="G72" s="157" t="s">
        <v>286</v>
      </c>
      <c r="H72" s="151" t="s">
        <v>6</v>
      </c>
      <c r="I72" s="152">
        <v>43718.6767974537</v>
      </c>
      <c r="J72" s="145" t="s">
        <v>180</v>
      </c>
      <c r="K72" s="135">
        <v>-28.258079455980955</v>
      </c>
      <c r="L72" s="135">
        <v>2.0621052470599031</v>
      </c>
      <c r="M72" s="153">
        <v>9480.3569076191288</v>
      </c>
      <c r="N72" s="158"/>
      <c r="P72" s="145"/>
    </row>
    <row r="73" spans="1:16" x14ac:dyDescent="0.25">
      <c r="A73" s="156" t="s">
        <v>287</v>
      </c>
      <c r="B73" s="157">
        <v>4136</v>
      </c>
      <c r="C73" s="157">
        <v>4893</v>
      </c>
      <c r="D73" s="157">
        <v>5877</v>
      </c>
      <c r="E73" s="156" t="s">
        <v>285</v>
      </c>
      <c r="F73" s="157">
        <v>100</v>
      </c>
      <c r="G73" s="157" t="s">
        <v>286</v>
      </c>
      <c r="H73" s="151" t="s">
        <v>6</v>
      </c>
      <c r="I73" s="152">
        <v>43718.684697916673</v>
      </c>
      <c r="J73" s="145" t="s">
        <v>180</v>
      </c>
      <c r="K73" s="135">
        <v>-28.828548698054924</v>
      </c>
      <c r="L73" s="135">
        <v>2.0621052470599031</v>
      </c>
      <c r="M73" s="153">
        <v>9234.2444054169682</v>
      </c>
      <c r="N73" s="160">
        <f>ABS(K72-K73)</f>
        <v>0.57046924207396899</v>
      </c>
      <c r="O73" s="10">
        <f>AVERAGE(K70:K73)</f>
        <v>-28.585374279061384</v>
      </c>
      <c r="P73" s="145">
        <f>STDEV(K70:K73)</f>
        <v>0.2515825709806202</v>
      </c>
    </row>
    <row r="74" spans="1:16" x14ac:dyDescent="0.25">
      <c r="A74" s="156" t="s">
        <v>288</v>
      </c>
      <c r="B74" s="157">
        <v>2141</v>
      </c>
      <c r="C74" s="157">
        <v>2492</v>
      </c>
      <c r="D74" s="157">
        <v>2962</v>
      </c>
      <c r="E74" s="156" t="s">
        <v>289</v>
      </c>
      <c r="F74" s="157">
        <v>200</v>
      </c>
      <c r="G74" s="157" t="s">
        <v>228</v>
      </c>
      <c r="H74" s="151" t="s">
        <v>6</v>
      </c>
      <c r="I74" s="152">
        <v>43718.700834490737</v>
      </c>
      <c r="J74" s="145" t="s">
        <v>180</v>
      </c>
      <c r="K74" s="135">
        <v>-38.525480719454507</v>
      </c>
      <c r="L74" s="135">
        <v>1</v>
      </c>
      <c r="M74" s="153">
        <v>2956.7857013960356</v>
      </c>
      <c r="N74" s="158"/>
      <c r="P74" s="145"/>
    </row>
    <row r="75" spans="1:16" x14ac:dyDescent="0.25">
      <c r="A75" s="156" t="s">
        <v>290</v>
      </c>
      <c r="B75" s="157">
        <v>2119</v>
      </c>
      <c r="C75" s="157">
        <v>2464</v>
      </c>
      <c r="D75" s="157">
        <v>2931</v>
      </c>
      <c r="E75" s="156" t="s">
        <v>289</v>
      </c>
      <c r="F75" s="157">
        <v>200</v>
      </c>
      <c r="G75" s="157" t="s">
        <v>228</v>
      </c>
      <c r="H75" s="151" t="s">
        <v>6</v>
      </c>
      <c r="I75" s="152">
        <v>43718.708653935188</v>
      </c>
      <c r="J75" s="145" t="s">
        <v>180</v>
      </c>
      <c r="K75" s="135">
        <v>-38.406916366046843</v>
      </c>
      <c r="L75" s="135">
        <v>1</v>
      </c>
      <c r="M75" s="153">
        <v>2934.6966675298863</v>
      </c>
      <c r="N75" s="163">
        <f>ABS(K74-K75)</f>
        <v>0.11856435340766325</v>
      </c>
      <c r="P75" s="145"/>
    </row>
    <row r="76" spans="1:16" x14ac:dyDescent="0.25">
      <c r="A76" s="156" t="s">
        <v>291</v>
      </c>
      <c r="B76" s="157">
        <v>2152</v>
      </c>
      <c r="C76" s="157">
        <v>2506</v>
      </c>
      <c r="D76" s="157">
        <v>2981</v>
      </c>
      <c r="E76" s="156" t="s">
        <v>292</v>
      </c>
      <c r="F76" s="157">
        <v>200</v>
      </c>
      <c r="G76" s="157" t="s">
        <v>228</v>
      </c>
      <c r="H76" s="151" t="s">
        <v>6</v>
      </c>
      <c r="I76" s="152">
        <v>43718.716488425925</v>
      </c>
      <c r="J76" s="145" t="s">
        <v>180</v>
      </c>
      <c r="K76" s="135">
        <v>-38.949372708773112</v>
      </c>
      <c r="L76" s="135">
        <v>1</v>
      </c>
      <c r="M76" s="153">
        <v>2972.9099308926684</v>
      </c>
      <c r="N76" s="158"/>
      <c r="P76" s="145"/>
    </row>
    <row r="77" spans="1:16" x14ac:dyDescent="0.25">
      <c r="A77" s="156" t="s">
        <v>293</v>
      </c>
      <c r="B77" s="157">
        <v>1908</v>
      </c>
      <c r="C77" s="157">
        <v>2220</v>
      </c>
      <c r="D77" s="157">
        <v>2639</v>
      </c>
      <c r="E77" s="156" t="s">
        <v>292</v>
      </c>
      <c r="F77" s="157">
        <v>200</v>
      </c>
      <c r="G77" s="157" t="s">
        <v>228</v>
      </c>
      <c r="H77" s="151" t="s">
        <v>6</v>
      </c>
      <c r="I77" s="152">
        <v>43718.72471180556</v>
      </c>
      <c r="J77" s="145" t="s">
        <v>180</v>
      </c>
      <c r="K77" s="135">
        <v>-38.684878726045739</v>
      </c>
      <c r="L77" s="135">
        <v>1</v>
      </c>
      <c r="M77" s="153">
        <v>2843.6854720007595</v>
      </c>
      <c r="N77" s="170">
        <f>ABS(K76-K77)</f>
        <v>0.26449398272737312</v>
      </c>
      <c r="O77" s="10">
        <f>AVERAGE(K74:K77)</f>
        <v>-38.64166213008005</v>
      </c>
      <c r="P77" s="145">
        <f>STDEV(K74:K77)</f>
        <v>0.23463245606192643</v>
      </c>
    </row>
    <row r="78" spans="1:16" x14ac:dyDescent="0.25">
      <c r="A78" s="156" t="s">
        <v>294</v>
      </c>
      <c r="B78" s="157">
        <v>4353</v>
      </c>
      <c r="C78" s="157">
        <v>5182</v>
      </c>
      <c r="D78" s="157">
        <v>6211</v>
      </c>
      <c r="E78" s="156" t="s">
        <v>295</v>
      </c>
      <c r="F78" s="157">
        <v>100</v>
      </c>
      <c r="G78" s="157" t="s">
        <v>296</v>
      </c>
      <c r="H78" s="151" t="s">
        <v>6</v>
      </c>
      <c r="I78" s="152">
        <v>43718.748157407412</v>
      </c>
      <c r="J78" s="145" t="s">
        <v>180</v>
      </c>
      <c r="K78" s="135">
        <v>-26.153153370024427</v>
      </c>
      <c r="L78" s="135">
        <v>2.0621052470599031</v>
      </c>
      <c r="M78" s="153">
        <v>9246.5942171240458</v>
      </c>
      <c r="N78" s="158"/>
      <c r="P78" s="145"/>
    </row>
    <row r="79" spans="1:16" x14ac:dyDescent="0.25">
      <c r="A79" s="156" t="s">
        <v>297</v>
      </c>
      <c r="B79" s="157">
        <v>4229</v>
      </c>
      <c r="C79" s="157">
        <v>5024</v>
      </c>
      <c r="D79" s="157">
        <v>6022</v>
      </c>
      <c r="E79" s="156" t="s">
        <v>295</v>
      </c>
      <c r="F79" s="157">
        <v>100</v>
      </c>
      <c r="G79" s="157" t="s">
        <v>296</v>
      </c>
      <c r="H79" s="151" t="s">
        <v>6</v>
      </c>
      <c r="I79" s="152">
        <v>43718.756068287039</v>
      </c>
      <c r="J79" s="145" t="s">
        <v>180</v>
      </c>
      <c r="K79" s="135">
        <v>-26.402615822890464</v>
      </c>
      <c r="L79" s="135">
        <v>2.0621052470599031</v>
      </c>
      <c r="M79" s="153">
        <v>9096.0505709014851</v>
      </c>
      <c r="N79" s="170">
        <f>ABS(K78-K79)</f>
        <v>0.24946245286603741</v>
      </c>
      <c r="P79" s="145"/>
    </row>
    <row r="80" spans="1:16" x14ac:dyDescent="0.25">
      <c r="A80" s="156" t="s">
        <v>298</v>
      </c>
      <c r="B80" s="157">
        <v>4734</v>
      </c>
      <c r="C80" s="157">
        <v>5671</v>
      </c>
      <c r="D80" s="157">
        <v>6734</v>
      </c>
      <c r="E80" s="156" t="s">
        <v>299</v>
      </c>
      <c r="F80" s="157">
        <v>100</v>
      </c>
      <c r="G80" s="157" t="s">
        <v>300</v>
      </c>
      <c r="H80" s="151" t="s">
        <v>6</v>
      </c>
      <c r="I80" s="152">
        <v>43718.764210648151</v>
      </c>
      <c r="J80" s="145" t="s">
        <v>180</v>
      </c>
      <c r="K80" s="135">
        <v>-26.749123502789566</v>
      </c>
      <c r="L80" s="135">
        <v>2.0621052470599031</v>
      </c>
      <c r="M80" s="153">
        <v>10007.99387957647</v>
      </c>
      <c r="N80" s="158"/>
      <c r="P80" s="145"/>
    </row>
    <row r="81" spans="1:16" x14ac:dyDescent="0.25">
      <c r="A81" s="156" t="s">
        <v>301</v>
      </c>
      <c r="B81" s="157">
        <v>4748</v>
      </c>
      <c r="C81" s="157">
        <v>5666</v>
      </c>
      <c r="D81" s="157">
        <v>6757</v>
      </c>
      <c r="E81" s="156" t="s">
        <v>299</v>
      </c>
      <c r="F81" s="157">
        <v>100</v>
      </c>
      <c r="G81" s="157" t="s">
        <v>300</v>
      </c>
      <c r="H81" s="151" t="s">
        <v>6</v>
      </c>
      <c r="I81" s="152">
        <v>43718.771973379633</v>
      </c>
      <c r="J81" s="145" t="s">
        <v>180</v>
      </c>
      <c r="K81" s="135">
        <v>-26.691550367713774</v>
      </c>
      <c r="L81" s="135">
        <v>2.0621052470599031</v>
      </c>
      <c r="M81" s="153">
        <v>10036.248721641885</v>
      </c>
      <c r="N81" s="163">
        <f>ABS(K80-K81)</f>
        <v>5.7573135075791981E-2</v>
      </c>
      <c r="O81" s="10">
        <f>AVERAGE(K78:K81)</f>
        <v>-26.49911076585456</v>
      </c>
      <c r="P81" s="145">
        <f>STDEV(K78:K81)</f>
        <v>0.27600553300050373</v>
      </c>
    </row>
    <row r="82" spans="1:16" x14ac:dyDescent="0.25">
      <c r="A82" s="125" t="s">
        <v>175</v>
      </c>
      <c r="B82" s="169"/>
      <c r="C82" s="169"/>
      <c r="D82" s="169"/>
      <c r="K82" s="169"/>
      <c r="P82" s="135"/>
    </row>
    <row r="83" spans="1:16" x14ac:dyDescent="0.25">
      <c r="A83" s="156" t="s">
        <v>302</v>
      </c>
      <c r="B83" s="157">
        <v>3326</v>
      </c>
      <c r="C83" s="157">
        <v>3951</v>
      </c>
      <c r="D83" s="157">
        <v>4738</v>
      </c>
      <c r="E83" s="156" t="s">
        <v>303</v>
      </c>
      <c r="F83" s="157">
        <v>100</v>
      </c>
      <c r="G83" s="179">
        <v>9377.48818873647</v>
      </c>
      <c r="H83" s="151" t="s">
        <v>6</v>
      </c>
      <c r="I83" s="152">
        <v>43775.642910879629</v>
      </c>
      <c r="J83" s="145" t="s">
        <v>180</v>
      </c>
      <c r="K83" s="135">
        <v>-26.719370571090487</v>
      </c>
      <c r="L83" s="135">
        <v>2.0792353352264179</v>
      </c>
      <c r="M83" s="153">
        <v>9297.5171374112142</v>
      </c>
      <c r="N83" s="158"/>
    </row>
    <row r="84" spans="1:16" x14ac:dyDescent="0.25">
      <c r="A84" s="156" t="s">
        <v>304</v>
      </c>
      <c r="B84" s="157">
        <v>3438</v>
      </c>
      <c r="C84" s="157">
        <v>4083</v>
      </c>
      <c r="D84" s="157">
        <v>4895</v>
      </c>
      <c r="E84" s="156" t="s">
        <v>303</v>
      </c>
      <c r="F84" s="157">
        <v>100</v>
      </c>
      <c r="G84" s="179">
        <v>9377.48818873647</v>
      </c>
      <c r="H84" s="151" t="s">
        <v>6</v>
      </c>
      <c r="I84" s="152">
        <v>43775.649217592596</v>
      </c>
      <c r="J84" s="145" t="s">
        <v>180</v>
      </c>
      <c r="K84" s="135">
        <v>-26.742253597690354</v>
      </c>
      <c r="L84" s="135">
        <v>2.0792353352264179</v>
      </c>
      <c r="M84" s="153">
        <v>9391.0780290496605</v>
      </c>
      <c r="N84" s="163">
        <f>ABS(K83-K84)</f>
        <v>2.2883026599867407E-2</v>
      </c>
    </row>
    <row r="85" spans="1:16" x14ac:dyDescent="0.25">
      <c r="A85" s="156" t="s">
        <v>305</v>
      </c>
      <c r="B85" s="157">
        <v>3264</v>
      </c>
      <c r="C85" s="157">
        <v>3870</v>
      </c>
      <c r="D85" s="157">
        <v>4646</v>
      </c>
      <c r="E85" s="156" t="s">
        <v>306</v>
      </c>
      <c r="F85" s="157">
        <v>100</v>
      </c>
      <c r="G85" s="179">
        <v>9080.0539215984027</v>
      </c>
      <c r="H85" s="151" t="s">
        <v>6</v>
      </c>
      <c r="I85" s="152">
        <v>43775.655468749996</v>
      </c>
      <c r="J85" s="145" t="s">
        <v>180</v>
      </c>
      <c r="K85" s="135">
        <v>-26.230112529939674</v>
      </c>
      <c r="L85" s="135">
        <v>2.0792353352264179</v>
      </c>
      <c r="M85" s="153">
        <v>8956.2494049494489</v>
      </c>
      <c r="N85" s="158"/>
    </row>
    <row r="86" spans="1:16" x14ac:dyDescent="0.25">
      <c r="A86" s="156" t="s">
        <v>307</v>
      </c>
      <c r="B86" s="157">
        <v>3258</v>
      </c>
      <c r="C86" s="157">
        <v>3861</v>
      </c>
      <c r="D86" s="157">
        <v>4637</v>
      </c>
      <c r="E86" s="156" t="s">
        <v>306</v>
      </c>
      <c r="F86" s="157">
        <v>100</v>
      </c>
      <c r="G86" s="179">
        <v>9080.0539215984027</v>
      </c>
      <c r="H86" s="151" t="s">
        <v>6</v>
      </c>
      <c r="I86" s="152">
        <v>43775.661758101851</v>
      </c>
      <c r="J86" s="145" t="s">
        <v>180</v>
      </c>
      <c r="K86" s="135">
        <v>-25.98799148716952</v>
      </c>
      <c r="L86" s="135">
        <v>2.0792353352264179</v>
      </c>
      <c r="M86" s="153">
        <v>8977.2337799946818</v>
      </c>
      <c r="N86" s="163">
        <f>ABS(K85-K86)</f>
        <v>0.24212104277015456</v>
      </c>
    </row>
    <row r="87" spans="1:16" x14ac:dyDescent="0.25">
      <c r="A87" s="156" t="s">
        <v>308</v>
      </c>
      <c r="B87" s="157">
        <v>1590</v>
      </c>
      <c r="C87" s="157">
        <v>1885</v>
      </c>
      <c r="D87" s="157">
        <v>2264</v>
      </c>
      <c r="E87" s="156" t="s">
        <v>309</v>
      </c>
      <c r="F87" s="157">
        <v>100</v>
      </c>
      <c r="G87" s="179">
        <v>4531.114825582169</v>
      </c>
      <c r="H87" s="151" t="s">
        <v>6</v>
      </c>
      <c r="I87" s="152">
        <v>43775.674708333332</v>
      </c>
      <c r="J87" s="145" t="s">
        <v>180</v>
      </c>
      <c r="K87" s="135">
        <v>-23.313114604343241</v>
      </c>
      <c r="L87" s="135">
        <v>2.0792353352264179</v>
      </c>
      <c r="M87" s="153">
        <v>4371.4310339292733</v>
      </c>
      <c r="N87" s="158"/>
    </row>
    <row r="88" spans="1:16" x14ac:dyDescent="0.25">
      <c r="A88" s="156" t="s">
        <v>310</v>
      </c>
      <c r="B88" s="157">
        <v>1610</v>
      </c>
      <c r="C88" s="157">
        <v>1908</v>
      </c>
      <c r="D88" s="157">
        <v>2292</v>
      </c>
      <c r="E88" s="156" t="s">
        <v>309</v>
      </c>
      <c r="F88" s="157">
        <v>100</v>
      </c>
      <c r="G88" s="179">
        <v>4531.114825582169</v>
      </c>
      <c r="H88" s="151" t="s">
        <v>6</v>
      </c>
      <c r="I88" s="152">
        <v>43775.680968750006</v>
      </c>
      <c r="J88" s="145" t="s">
        <v>180</v>
      </c>
      <c r="K88" s="135">
        <v>-23.375960365968545</v>
      </c>
      <c r="L88" s="135">
        <v>2.0792353352264179</v>
      </c>
      <c r="M88" s="153">
        <v>4387.2466138733471</v>
      </c>
      <c r="N88" s="163">
        <f>ABS(K87-K88)</f>
        <v>6.2845761625304419E-2</v>
      </c>
    </row>
    <row r="89" spans="1:16" x14ac:dyDescent="0.25">
      <c r="A89" s="156" t="s">
        <v>311</v>
      </c>
      <c r="B89" s="157">
        <v>3706</v>
      </c>
      <c r="C89" s="157">
        <v>4397</v>
      </c>
      <c r="D89" s="157">
        <v>5281</v>
      </c>
      <c r="E89" s="156" t="s">
        <v>312</v>
      </c>
      <c r="F89" s="157">
        <v>100</v>
      </c>
      <c r="G89" s="179">
        <v>10808.465662773157</v>
      </c>
      <c r="H89" s="151" t="s">
        <v>6</v>
      </c>
      <c r="I89" s="152">
        <v>43775.687216435188</v>
      </c>
      <c r="J89" s="145" t="s">
        <v>180</v>
      </c>
      <c r="K89" s="135">
        <v>-27.434654910345451</v>
      </c>
      <c r="L89" s="135">
        <v>2.0792353352264179</v>
      </c>
      <c r="M89" s="153">
        <v>10173.922163354857</v>
      </c>
      <c r="N89" s="158"/>
    </row>
    <row r="90" spans="1:16" x14ac:dyDescent="0.25">
      <c r="A90" s="156" t="s">
        <v>313</v>
      </c>
      <c r="B90" s="157">
        <v>3677</v>
      </c>
      <c r="C90" s="157">
        <v>4359</v>
      </c>
      <c r="D90" s="157">
        <v>5234</v>
      </c>
      <c r="E90" s="156" t="s">
        <v>312</v>
      </c>
      <c r="F90" s="157">
        <v>100</v>
      </c>
      <c r="G90" s="179">
        <v>10808.465662773157</v>
      </c>
      <c r="H90" s="151" t="s">
        <v>6</v>
      </c>
      <c r="I90" s="152">
        <v>43775.693511574071</v>
      </c>
      <c r="J90" s="145" t="s">
        <v>180</v>
      </c>
      <c r="K90" s="135">
        <v>-27.278535306571023</v>
      </c>
      <c r="L90" s="135">
        <v>2.0792353352264179</v>
      </c>
      <c r="M90" s="153">
        <v>10149.872075004512</v>
      </c>
      <c r="N90" s="163">
        <f>ABS(K89-K90)</f>
        <v>0.15611960377442813</v>
      </c>
    </row>
    <row r="91" spans="1:16" x14ac:dyDescent="0.25">
      <c r="A91" s="156" t="s">
        <v>314</v>
      </c>
      <c r="B91" s="157">
        <v>1704</v>
      </c>
      <c r="C91" s="157">
        <v>1983</v>
      </c>
      <c r="D91" s="157">
        <v>2357</v>
      </c>
      <c r="E91" s="156" t="s">
        <v>315</v>
      </c>
      <c r="F91" s="157">
        <v>200</v>
      </c>
      <c r="G91" s="180">
        <v>2992</v>
      </c>
      <c r="H91" s="151" t="s">
        <v>6</v>
      </c>
      <c r="I91" s="152">
        <v>43775.712844907408</v>
      </c>
      <c r="J91" s="145" t="s">
        <v>180</v>
      </c>
      <c r="K91" s="135">
        <v>-38.697445220372458</v>
      </c>
      <c r="L91" s="135">
        <v>1</v>
      </c>
      <c r="M91" s="153">
        <v>2933.2420994367094</v>
      </c>
      <c r="N91" s="158"/>
    </row>
    <row r="92" spans="1:16" x14ac:dyDescent="0.25">
      <c r="A92" s="156" t="s">
        <v>316</v>
      </c>
      <c r="B92" s="157">
        <v>1697</v>
      </c>
      <c r="C92" s="157">
        <v>1974</v>
      </c>
      <c r="D92" s="157">
        <v>2348</v>
      </c>
      <c r="E92" s="156" t="s">
        <v>315</v>
      </c>
      <c r="F92" s="157">
        <v>200</v>
      </c>
      <c r="G92" s="180">
        <v>2992</v>
      </c>
      <c r="H92" s="151" t="s">
        <v>6</v>
      </c>
      <c r="I92" s="152">
        <v>43775.719133101848</v>
      </c>
      <c r="J92" s="145" t="s">
        <v>180</v>
      </c>
      <c r="K92" s="135">
        <v>-38.849309343602975</v>
      </c>
      <c r="L92" s="135">
        <v>1</v>
      </c>
      <c r="M92" s="153">
        <v>2915.1905655802084</v>
      </c>
      <c r="N92" s="163">
        <f>ABS(K91-K92)</f>
        <v>0.15186412323051712</v>
      </c>
    </row>
    <row r="93" spans="1:16" x14ac:dyDescent="0.25">
      <c r="A93" s="156" t="s">
        <v>317</v>
      </c>
      <c r="B93" s="157">
        <v>1726</v>
      </c>
      <c r="C93" s="157">
        <v>2006</v>
      </c>
      <c r="D93" s="157">
        <v>2387</v>
      </c>
      <c r="E93" s="156" t="s">
        <v>318</v>
      </c>
      <c r="F93" s="157">
        <v>200</v>
      </c>
      <c r="G93" s="180">
        <v>2992</v>
      </c>
      <c r="H93" s="151" t="s">
        <v>6</v>
      </c>
      <c r="I93" s="152">
        <v>43775.725450231483</v>
      </c>
      <c r="J93" s="145" t="s">
        <v>180</v>
      </c>
      <c r="K93" s="135">
        <v>-38.907199198327696</v>
      </c>
      <c r="L93" s="135">
        <v>1</v>
      </c>
      <c r="M93" s="153">
        <v>2995.9208195277306</v>
      </c>
      <c r="N93" s="158"/>
    </row>
    <row r="94" spans="1:16" x14ac:dyDescent="0.25">
      <c r="A94" s="156" t="s">
        <v>319</v>
      </c>
      <c r="B94" s="157">
        <v>1739</v>
      </c>
      <c r="C94" s="157">
        <v>2022</v>
      </c>
      <c r="D94" s="157">
        <v>2404</v>
      </c>
      <c r="E94" s="156" t="s">
        <v>318</v>
      </c>
      <c r="F94" s="157">
        <v>200</v>
      </c>
      <c r="G94" s="180">
        <v>2992</v>
      </c>
      <c r="H94" s="151" t="s">
        <v>6</v>
      </c>
      <c r="I94" s="152">
        <v>43775.731736111113</v>
      </c>
      <c r="J94" s="145" t="s">
        <v>180</v>
      </c>
      <c r="K94" s="135">
        <v>-38.935065915567179</v>
      </c>
      <c r="L94" s="135">
        <v>1</v>
      </c>
      <c r="M94" s="153">
        <v>3036.0880715559533</v>
      </c>
      <c r="N94" s="163">
        <f>ABS(K93-K94)</f>
        <v>2.7866717239483307E-2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B1" workbookViewId="0">
      <selection activeCell="J33" sqref="J33"/>
    </sheetView>
  </sheetViews>
  <sheetFormatPr baseColWidth="10" defaultRowHeight="15" x14ac:dyDescent="0.25"/>
  <cols>
    <col min="2" max="2" width="15.140625" bestFit="1" customWidth="1"/>
    <col min="9" max="9" width="15.140625" bestFit="1" customWidth="1"/>
    <col min="22" max="22" width="14.710937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43704</v>
      </c>
      <c r="C3" s="58">
        <v>2992</v>
      </c>
      <c r="D3" s="47">
        <v>1739.4</v>
      </c>
      <c r="E3" s="59">
        <v>436.65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43704</v>
      </c>
      <c r="C4" s="58">
        <v>2992</v>
      </c>
      <c r="D4" s="59">
        <v>1531.6</v>
      </c>
      <c r="E4" s="59">
        <v>417.77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43704</v>
      </c>
      <c r="C5" s="58">
        <v>2992</v>
      </c>
      <c r="D5" s="47">
        <v>1433.2</v>
      </c>
      <c r="E5" s="59">
        <v>366.03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43704</v>
      </c>
      <c r="C6" s="58">
        <v>2992</v>
      </c>
      <c r="D6" s="59">
        <v>1203.2</v>
      </c>
      <c r="E6" s="59">
        <v>329.89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43704</v>
      </c>
      <c r="C7" s="58">
        <v>2992</v>
      </c>
      <c r="D7" s="47">
        <v>1068.4000000000001</v>
      </c>
      <c r="E7" s="59">
        <v>286.67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43704</v>
      </c>
      <c r="C8" s="58">
        <v>2992</v>
      </c>
      <c r="D8" s="59">
        <v>853.88</v>
      </c>
      <c r="E8" s="59">
        <v>243.55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43704</v>
      </c>
      <c r="C9" s="58">
        <v>2992</v>
      </c>
      <c r="D9" s="47">
        <v>657.29</v>
      </c>
      <c r="E9" s="59">
        <v>178.69</v>
      </c>
      <c r="F9" s="60">
        <f t="shared" si="0"/>
        <v>5.984</v>
      </c>
      <c r="G9" s="63" t="s">
        <v>75</v>
      </c>
      <c r="H9" s="63"/>
      <c r="I9" s="64">
        <f>SLOPE(F3:F14,D3:D14)</f>
        <v>8.5657899251393981E-3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43704</v>
      </c>
      <c r="C10" s="58">
        <v>2992</v>
      </c>
      <c r="D10" s="47">
        <v>541.79</v>
      </c>
      <c r="E10" s="59">
        <v>148.43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-9.0386896407130379E-2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43704</v>
      </c>
      <c r="C11" s="58">
        <v>2992</v>
      </c>
      <c r="D11" s="47">
        <v>387.53</v>
      </c>
      <c r="E11" s="59">
        <v>110.56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43704</v>
      </c>
      <c r="C12" s="58">
        <v>2992</v>
      </c>
      <c r="D12" s="65">
        <v>143.91</v>
      </c>
      <c r="E12" s="65">
        <v>42.243000000000002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3.3127099254257532E-2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43704</v>
      </c>
      <c r="C13" s="58">
        <v>2992</v>
      </c>
      <c r="D13" s="65">
        <v>70.739999999999995</v>
      </c>
      <c r="E13" s="65">
        <v>22.97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-0.35522916812159711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43704</v>
      </c>
      <c r="C14" s="58">
        <v>2992</v>
      </c>
      <c r="D14" s="65">
        <v>31.478000000000002</v>
      </c>
      <c r="E14" s="65">
        <v>10.929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 x14ac:dyDescent="0.25">
      <c r="A17" s="33" t="s">
        <v>132</v>
      </c>
      <c r="B17" s="77">
        <v>43704.493055555555</v>
      </c>
      <c r="C17" s="49">
        <v>5</v>
      </c>
      <c r="D17" s="78">
        <v>1312.5</v>
      </c>
      <c r="E17" s="79">
        <v>342.58</v>
      </c>
      <c r="F17" s="80">
        <f>((I$9*D17)+I$10)/C17/1000</f>
        <v>2.2304424760676662E-3</v>
      </c>
      <c r="G17" s="80">
        <f>((I$12*E17)+I$13)/C17/1000</f>
        <v>2.1986904988803894E-3</v>
      </c>
      <c r="H17" s="80"/>
      <c r="I17" s="81">
        <f>jar_information!M3</f>
        <v>43703.416666666664</v>
      </c>
      <c r="J17" s="82">
        <f t="shared" ref="J17:J28" si="2">B17-I17</f>
        <v>1.0763888888905058</v>
      </c>
      <c r="K17" s="82">
        <f>J17*24</f>
        <v>25.833333333372138</v>
      </c>
      <c r="L17" s="83">
        <f>jar_information!G3</f>
        <v>1050.5774088776614</v>
      </c>
      <c r="M17" s="82">
        <f>F17*L17</f>
        <v>2.343252477157844</v>
      </c>
      <c r="N17" s="82">
        <f>M17*1.83</f>
        <v>4.2881520331988545</v>
      </c>
      <c r="O17" s="84">
        <f t="shared" ref="O17:O28" si="3">N17*(12/(12+(16*2)))</f>
        <v>1.169496009054233</v>
      </c>
      <c r="P17" s="85">
        <f>O17*(400/(400+L17))</f>
        <v>0.32249116852277293</v>
      </c>
      <c r="Q17" s="86"/>
      <c r="R17" s="86">
        <f>Q17/314.7</f>
        <v>0</v>
      </c>
      <c r="S17" s="86">
        <f>R17/P17*100</f>
        <v>0</v>
      </c>
      <c r="T17" s="87">
        <f>F17*1000000</f>
        <v>2230.4424760676661</v>
      </c>
      <c r="U17" s="10">
        <f>M17/L17*100</f>
        <v>0.22304424760676661</v>
      </c>
      <c r="V17" s="103">
        <f>O17/K17</f>
        <v>4.5270813253644245E-2</v>
      </c>
    </row>
    <row r="18" spans="1:22" x14ac:dyDescent="0.25">
      <c r="A18" s="33" t="s">
        <v>133</v>
      </c>
      <c r="B18" s="77">
        <v>43704.493055555555</v>
      </c>
      <c r="C18" s="49">
        <v>5</v>
      </c>
      <c r="D18" s="88">
        <v>1318.4</v>
      </c>
      <c r="E18" s="89">
        <v>333.81</v>
      </c>
      <c r="F18" s="80">
        <f t="shared" ref="F18:F28" si="4">((I$9*D18)+I$10)/C18/1000</f>
        <v>2.2405501081793305E-3</v>
      </c>
      <c r="G18" s="80">
        <f t="shared" ref="G18:G28" si="5">((I$12*E18)+I$13)/C18/1000</f>
        <v>2.1405855667884217E-3</v>
      </c>
      <c r="H18" s="80"/>
      <c r="I18" s="81">
        <f>jar_information!M4</f>
        <v>43703.416666666664</v>
      </c>
      <c r="J18" s="82">
        <f t="shared" si="2"/>
        <v>1.0763888888905058</v>
      </c>
      <c r="K18" s="82">
        <f t="shared" ref="K18:K28" si="6">J18*24</f>
        <v>25.833333333372138</v>
      </c>
      <c r="L18" s="83">
        <f>jar_information!G4</f>
        <v>1050.5774088776614</v>
      </c>
      <c r="M18" s="82">
        <f t="shared" ref="M18:M28" si="7">F18*L18</f>
        <v>2.3538713271116047</v>
      </c>
      <c r="N18" s="82">
        <f t="shared" ref="N18:N28" si="8">M18*1.83</f>
        <v>4.3075845286142371</v>
      </c>
      <c r="O18" s="84">
        <f t="shared" si="3"/>
        <v>1.1747957805311555</v>
      </c>
      <c r="P18" s="85">
        <f t="shared" ref="P18:P28" si="9">O18*(400/(400+L18))</f>
        <v>0.32395259248939129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2240.5501081793304</v>
      </c>
      <c r="U18" s="10">
        <f t="shared" ref="U18:U28" si="12">M18/L18*100</f>
        <v>0.22405501081793305</v>
      </c>
      <c r="V18" s="103">
        <f t="shared" ref="V18:V28" si="13">O18/K18</f>
        <v>4.5475965697911902E-2</v>
      </c>
    </row>
    <row r="19" spans="1:22" x14ac:dyDescent="0.25">
      <c r="A19" s="33" t="s">
        <v>134</v>
      </c>
      <c r="B19" s="77">
        <v>43704.493055555555</v>
      </c>
      <c r="C19" s="49">
        <v>5</v>
      </c>
      <c r="D19" s="90">
        <v>824.41</v>
      </c>
      <c r="E19" s="91">
        <v>218.22</v>
      </c>
      <c r="F19" s="80">
        <f t="shared" si="4"/>
        <v>1.3942671951554079E-3</v>
      </c>
      <c r="G19" s="80">
        <f t="shared" si="5"/>
        <v>1.3747532862284965E-3</v>
      </c>
      <c r="H19" s="80"/>
      <c r="I19" s="81">
        <f>jar_information!M5</f>
        <v>43703.416666666664</v>
      </c>
      <c r="J19" s="82">
        <f t="shared" si="2"/>
        <v>1.0763888888905058</v>
      </c>
      <c r="K19" s="82">
        <f t="shared" si="6"/>
        <v>25.833333333372138</v>
      </c>
      <c r="L19" s="83">
        <f>jar_information!G5</f>
        <v>1050.5774088776614</v>
      </c>
      <c r="M19" s="82">
        <f t="shared" si="7"/>
        <v>1.4647856171694931</v>
      </c>
      <c r="N19" s="82">
        <f t="shared" si="8"/>
        <v>2.6805576794201724</v>
      </c>
      <c r="O19" s="84">
        <f t="shared" si="3"/>
        <v>0.73106118529641062</v>
      </c>
      <c r="P19" s="85">
        <f t="shared" si="9"/>
        <v>0.20159177464704794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1394.267195155408</v>
      </c>
      <c r="U19" s="10">
        <f t="shared" si="12"/>
        <v>0.13942671951554078</v>
      </c>
      <c r="V19" s="103">
        <f t="shared" si="13"/>
        <v>2.8299142656592741E-2</v>
      </c>
    </row>
    <row r="20" spans="1:22" x14ac:dyDescent="0.25">
      <c r="A20" s="33" t="s">
        <v>135</v>
      </c>
      <c r="B20" s="77">
        <v>43704.493055555555</v>
      </c>
      <c r="C20" s="49">
        <v>5</v>
      </c>
      <c r="D20" s="90">
        <v>836.57</v>
      </c>
      <c r="E20" s="91">
        <v>222.25</v>
      </c>
      <c r="F20" s="80">
        <f t="shared" si="4"/>
        <v>1.4150991962533473E-3</v>
      </c>
      <c r="G20" s="80">
        <f t="shared" si="5"/>
        <v>1.401453728227428E-3</v>
      </c>
      <c r="H20" s="80"/>
      <c r="I20" s="81">
        <f>jar_information!M6</f>
        <v>43703.416666666664</v>
      </c>
      <c r="J20" s="82">
        <f t="shared" si="2"/>
        <v>1.0763888888905058</v>
      </c>
      <c r="K20" s="82">
        <f t="shared" si="6"/>
        <v>25.833333333372138</v>
      </c>
      <c r="L20" s="83">
        <f>jar_information!G6</f>
        <v>1055.454159400779</v>
      </c>
      <c r="M20" s="82">
        <f t="shared" si="7"/>
        <v>1.4935723326502945</v>
      </c>
      <c r="N20" s="82">
        <f t="shared" si="8"/>
        <v>2.7332373687500393</v>
      </c>
      <c r="O20" s="84">
        <f t="shared" si="3"/>
        <v>0.74542837329546519</v>
      </c>
      <c r="P20" s="85">
        <f t="shared" si="9"/>
        <v>0.20486481651950164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1415.0991962533474</v>
      </c>
      <c r="U20" s="10">
        <f t="shared" si="12"/>
        <v>0.14150991962533474</v>
      </c>
      <c r="V20" s="103">
        <f t="shared" si="13"/>
        <v>2.8855291869458535E-2</v>
      </c>
    </row>
    <row r="21" spans="1:22" x14ac:dyDescent="0.25">
      <c r="A21" s="33" t="s">
        <v>136</v>
      </c>
      <c r="B21" s="77">
        <v>43704.493055555555</v>
      </c>
      <c r="C21" s="49">
        <v>5</v>
      </c>
      <c r="D21" s="90">
        <v>454.82</v>
      </c>
      <c r="E21" s="91">
        <v>124.03</v>
      </c>
      <c r="F21" s="80">
        <f t="shared" si="4"/>
        <v>7.6110113546895412E-4</v>
      </c>
      <c r="G21" s="80">
        <f t="shared" si="5"/>
        <v>7.5070499047679286E-4</v>
      </c>
      <c r="H21" s="80"/>
      <c r="I21" s="81">
        <f>jar_information!M7</f>
        <v>43703.416666666664</v>
      </c>
      <c r="J21" s="82">
        <f t="shared" si="2"/>
        <v>1.0763888888905058</v>
      </c>
      <c r="K21" s="82">
        <f t="shared" si="6"/>
        <v>25.833333333372138</v>
      </c>
      <c r="L21" s="83">
        <f>jar_information!G7</f>
        <v>1065.2508812788285</v>
      </c>
      <c r="M21" s="82">
        <f t="shared" si="7"/>
        <v>0.81076365530062044</v>
      </c>
      <c r="N21" s="82">
        <f t="shared" si="8"/>
        <v>1.4836974892001356</v>
      </c>
      <c r="O21" s="84">
        <f t="shared" si="3"/>
        <v>0.4046447697818551</v>
      </c>
      <c r="P21" s="85">
        <f t="shared" si="9"/>
        <v>0.11046429657935244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761.10113546895411</v>
      </c>
      <c r="U21" s="10">
        <f t="shared" si="12"/>
        <v>7.6110113546895411E-2</v>
      </c>
      <c r="V21" s="103">
        <f t="shared" si="13"/>
        <v>1.5663668507661186E-2</v>
      </c>
    </row>
    <row r="22" spans="1:22" x14ac:dyDescent="0.25">
      <c r="A22" s="33" t="s">
        <v>145</v>
      </c>
      <c r="B22" s="77">
        <v>43704.493055555555</v>
      </c>
      <c r="C22" s="49">
        <v>5</v>
      </c>
      <c r="D22" s="90">
        <v>429.24</v>
      </c>
      <c r="E22" s="91">
        <v>124.16</v>
      </c>
      <c r="F22" s="80">
        <f t="shared" si="4"/>
        <v>7.17278554211941E-4</v>
      </c>
      <c r="G22" s="80">
        <f t="shared" si="5"/>
        <v>7.5156629505740359E-4</v>
      </c>
      <c r="H22" s="80"/>
      <c r="I22" s="81">
        <f>jar_information!M8</f>
        <v>43703.416666666664</v>
      </c>
      <c r="J22" s="82">
        <f t="shared" si="2"/>
        <v>1.0763888888905058</v>
      </c>
      <c r="K22" s="82">
        <f t="shared" si="6"/>
        <v>25.833333333372138</v>
      </c>
      <c r="L22" s="83">
        <f>jar_information!G8</f>
        <v>1050.5774088776614</v>
      </c>
      <c r="M22" s="82">
        <f t="shared" si="7"/>
        <v>0.75355664492749608</v>
      </c>
      <c r="N22" s="82">
        <f t="shared" si="8"/>
        <v>1.3790086602173179</v>
      </c>
      <c r="O22" s="84">
        <f t="shared" si="3"/>
        <v>0.37609327096835943</v>
      </c>
      <c r="P22" s="85">
        <f t="shared" si="9"/>
        <v>0.10370856975067597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717.27855421194101</v>
      </c>
      <c r="U22" s="10">
        <f t="shared" si="12"/>
        <v>7.1727855421194101E-2</v>
      </c>
      <c r="V22" s="103">
        <f t="shared" si="13"/>
        <v>1.4558449198753334E-2</v>
      </c>
    </row>
    <row r="23" spans="1:22" x14ac:dyDescent="0.25">
      <c r="A23" s="33" t="s">
        <v>137</v>
      </c>
      <c r="B23" s="77">
        <v>43704.493055555555</v>
      </c>
      <c r="C23" s="49">
        <v>5</v>
      </c>
      <c r="D23" s="90">
        <v>1623.4</v>
      </c>
      <c r="E23" s="91">
        <v>404.02</v>
      </c>
      <c r="F23" s="80">
        <f t="shared" si="4"/>
        <v>2.7630632936128338E-3</v>
      </c>
      <c r="G23" s="80">
        <f t="shared" si="5"/>
        <v>2.6057562945167065E-3</v>
      </c>
      <c r="H23" s="80"/>
      <c r="I23" s="81">
        <f>jar_information!M9</f>
        <v>43703.416666666664</v>
      </c>
      <c r="J23" s="82">
        <f t="shared" si="2"/>
        <v>1.0763888888905058</v>
      </c>
      <c r="K23" s="82">
        <f t="shared" si="6"/>
        <v>25.833333333372138</v>
      </c>
      <c r="L23" s="83">
        <f>jar_information!G9</f>
        <v>1050.5774088776614</v>
      </c>
      <c r="M23" s="82">
        <f t="shared" si="7"/>
        <v>2.9028118755687475</v>
      </c>
      <c r="N23" s="82">
        <f t="shared" si="8"/>
        <v>5.3121457322908086</v>
      </c>
      <c r="O23" s="84">
        <f t="shared" si="3"/>
        <v>1.4487670178974932</v>
      </c>
      <c r="P23" s="85">
        <f t="shared" si="9"/>
        <v>0.39950078059424099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2763.0632936128336</v>
      </c>
      <c r="U23" s="10">
        <f t="shared" si="12"/>
        <v>0.27630632936128335</v>
      </c>
      <c r="V23" s="103">
        <f t="shared" si="13"/>
        <v>5.6081303918528398E-2</v>
      </c>
    </row>
    <row r="24" spans="1:22" x14ac:dyDescent="0.25">
      <c r="A24" s="33" t="s">
        <v>140</v>
      </c>
      <c r="B24" s="77">
        <v>43704.493055555555</v>
      </c>
      <c r="C24" s="49">
        <v>5</v>
      </c>
      <c r="D24" s="90">
        <v>1570.9</v>
      </c>
      <c r="E24" s="91">
        <v>406.77</v>
      </c>
      <c r="F24" s="80">
        <f t="shared" si="4"/>
        <v>2.6731224993988699E-3</v>
      </c>
      <c r="G24" s="80">
        <f t="shared" si="5"/>
        <v>2.6239761991065482E-3</v>
      </c>
      <c r="H24" s="80"/>
      <c r="I24" s="81">
        <f>jar_information!M10</f>
        <v>43703.416666666664</v>
      </c>
      <c r="J24" s="82">
        <f t="shared" si="2"/>
        <v>1.0763888888905058</v>
      </c>
      <c r="K24" s="82">
        <f t="shared" si="6"/>
        <v>25.833333333372138</v>
      </c>
      <c r="L24" s="83">
        <f>jar_information!G10</f>
        <v>1055.454159400779</v>
      </c>
      <c r="M24" s="82">
        <f t="shared" si="7"/>
        <v>2.8213582605783434</v>
      </c>
      <c r="N24" s="82">
        <f t="shared" si="8"/>
        <v>5.1630856168583685</v>
      </c>
      <c r="O24" s="84">
        <f t="shared" si="3"/>
        <v>1.4081142591431912</v>
      </c>
      <c r="P24" s="85">
        <f t="shared" si="9"/>
        <v>0.38698965544141134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2673.1224993988699</v>
      </c>
      <c r="U24" s="10">
        <f t="shared" si="12"/>
        <v>0.267312249939887</v>
      </c>
      <c r="V24" s="103">
        <f t="shared" si="13"/>
        <v>5.4507648740944881E-2</v>
      </c>
    </row>
    <row r="25" spans="1:22" x14ac:dyDescent="0.25">
      <c r="A25" s="33" t="s">
        <v>138</v>
      </c>
      <c r="B25" s="77">
        <v>43704.493055555555</v>
      </c>
      <c r="C25" s="49">
        <v>5</v>
      </c>
      <c r="D25" s="90">
        <v>1486</v>
      </c>
      <c r="E25" s="91">
        <v>379.77</v>
      </c>
      <c r="F25" s="80">
        <f t="shared" si="4"/>
        <v>2.5276753864700032E-3</v>
      </c>
      <c r="G25" s="80">
        <f t="shared" si="5"/>
        <v>2.4450898631335569E-3</v>
      </c>
      <c r="H25" s="80"/>
      <c r="I25" s="81">
        <f>jar_information!M11</f>
        <v>43703.416666666664</v>
      </c>
      <c r="J25" s="82">
        <f t="shared" si="2"/>
        <v>1.0763888888905058</v>
      </c>
      <c r="K25" s="82">
        <f t="shared" si="6"/>
        <v>25.833333333372138</v>
      </c>
      <c r="L25" s="83">
        <f>jar_information!G11</f>
        <v>1021.6154823015972</v>
      </c>
      <c r="M25" s="82">
        <f t="shared" si="7"/>
        <v>2.5823123090504283</v>
      </c>
      <c r="N25" s="82">
        <f t="shared" si="8"/>
        <v>4.7256315255622843</v>
      </c>
      <c r="O25" s="84">
        <f t="shared" si="3"/>
        <v>1.288808597880623</v>
      </c>
      <c r="P25" s="85">
        <f t="shared" si="9"/>
        <v>0.3626321220964871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2527.6753864700031</v>
      </c>
      <c r="U25" s="10">
        <f t="shared" si="12"/>
        <v>0.2527675386470003</v>
      </c>
      <c r="V25" s="103">
        <f t="shared" si="13"/>
        <v>4.9889365079174984E-2</v>
      </c>
    </row>
    <row r="26" spans="1:22" x14ac:dyDescent="0.25">
      <c r="A26" s="33" t="s">
        <v>141</v>
      </c>
      <c r="B26" s="77">
        <v>43704.493055555555</v>
      </c>
      <c r="C26" s="49">
        <v>5</v>
      </c>
      <c r="D26" s="90">
        <v>1521.8</v>
      </c>
      <c r="E26" s="91">
        <v>390.97</v>
      </c>
      <c r="F26" s="80">
        <f t="shared" ref="F26" si="15">((I$9*D26)+I$10)/C26/1000</f>
        <v>2.5890064423340011E-3</v>
      </c>
      <c r="G26" s="80">
        <f t="shared" ref="G26" si="16">((I$12*E26)+I$13)/C26/1000</f>
        <v>2.5192945654630939E-3</v>
      </c>
      <c r="H26" s="80"/>
      <c r="I26" s="81">
        <f>jar_information!M12</f>
        <v>43703.416666666664</v>
      </c>
      <c r="J26" s="82">
        <f t="shared" si="2"/>
        <v>1.0763888888905058</v>
      </c>
      <c r="K26" s="82">
        <f t="shared" si="6"/>
        <v>25.833333333372138</v>
      </c>
      <c r="L26" s="83">
        <f>jar_information!G12</f>
        <v>1045.7149806761979</v>
      </c>
      <c r="M26" s="82">
        <f t="shared" ref="M26" si="17">F26*L26</f>
        <v>2.7073628218158516</v>
      </c>
      <c r="N26" s="82">
        <f t="shared" ref="N26" si="18">M26*1.83</f>
        <v>4.9544739639230091</v>
      </c>
      <c r="O26" s="84">
        <f t="shared" ref="O26" si="19">N26*(12/(12+(16*2)))</f>
        <v>1.3512201719790025</v>
      </c>
      <c r="P26" s="85">
        <f t="shared" ref="P26" si="20">O26*(400/(400+L26))</f>
        <v>0.37385520383748178</v>
      </c>
      <c r="Q26" s="86"/>
      <c r="R26" s="86">
        <f t="shared" ref="R26" si="21">Q26/314.7</f>
        <v>0</v>
      </c>
      <c r="S26" s="86">
        <f t="shared" ref="S26" si="22">R26/P26*100</f>
        <v>0</v>
      </c>
      <c r="T26" s="87">
        <f t="shared" ref="T26" si="23">F26*1000000</f>
        <v>2589.0064423340009</v>
      </c>
      <c r="U26" s="10">
        <f t="shared" ref="U26" si="24">M26/L26*100</f>
        <v>0.25890064423340009</v>
      </c>
      <c r="V26" s="103">
        <f t="shared" si="13"/>
        <v>5.2305296979753786E-2</v>
      </c>
    </row>
    <row r="27" spans="1:22" x14ac:dyDescent="0.25">
      <c r="A27" s="33" t="s">
        <v>139</v>
      </c>
      <c r="B27" s="77">
        <v>43704.493055555555</v>
      </c>
      <c r="C27" s="49">
        <v>5</v>
      </c>
      <c r="D27" s="90">
        <v>1694.4</v>
      </c>
      <c r="E27" s="91">
        <v>437.64</v>
      </c>
      <c r="F27" s="80">
        <f t="shared" si="4"/>
        <v>2.8846975105498132E-3</v>
      </c>
      <c r="G27" s="80">
        <f t="shared" si="5"/>
        <v>2.8285029099023341E-3</v>
      </c>
      <c r="H27" s="80"/>
      <c r="I27" s="81">
        <f>jar_information!M13</f>
        <v>43703.416666666664</v>
      </c>
      <c r="J27" s="82">
        <f t="shared" si="2"/>
        <v>1.0763888888905058</v>
      </c>
      <c r="K27" s="82">
        <f t="shared" si="6"/>
        <v>25.833333333372138</v>
      </c>
      <c r="L27" s="83">
        <f>jar_information!G13</f>
        <v>1040.8668117949733</v>
      </c>
      <c r="M27" s="82">
        <f t="shared" si="7"/>
        <v>3.0025859007988802</v>
      </c>
      <c r="N27" s="82">
        <f t="shared" si="8"/>
        <v>5.4947321984619508</v>
      </c>
      <c r="O27" s="84">
        <f t="shared" si="3"/>
        <v>1.4985633268532592</v>
      </c>
      <c r="P27" s="85">
        <f t="shared" si="9"/>
        <v>0.41601716816182616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2884.6975105498132</v>
      </c>
      <c r="U27" s="10">
        <f t="shared" si="12"/>
        <v>0.28846975105498135</v>
      </c>
      <c r="V27" s="103">
        <f t="shared" si="13"/>
        <v>5.8008902974877735E-2</v>
      </c>
    </row>
    <row r="28" spans="1:22" x14ac:dyDescent="0.25">
      <c r="A28" s="33" t="s">
        <v>142</v>
      </c>
      <c r="B28" s="77">
        <v>43704.493055555555</v>
      </c>
      <c r="C28" s="49">
        <v>5</v>
      </c>
      <c r="D28" s="90">
        <v>1646</v>
      </c>
      <c r="E28" s="91">
        <v>431.32</v>
      </c>
      <c r="F28" s="80">
        <f t="shared" si="4"/>
        <v>2.8017806640744636E-3</v>
      </c>
      <c r="G28" s="80">
        <f t="shared" si="5"/>
        <v>2.7866302564449521E-3</v>
      </c>
      <c r="H28" s="80"/>
      <c r="I28" s="81">
        <f>jar_information!M14</f>
        <v>43703.416666666664</v>
      </c>
      <c r="J28" s="82">
        <f t="shared" si="2"/>
        <v>1.0763888888905058</v>
      </c>
      <c r="K28" s="82">
        <f t="shared" si="6"/>
        <v>25.833333333372138</v>
      </c>
      <c r="L28" s="83">
        <f>jar_information!G14</f>
        <v>1050.5774088776614</v>
      </c>
      <c r="M28" s="82">
        <f t="shared" si="7"/>
        <v>2.9434874703068834</v>
      </c>
      <c r="N28" s="82">
        <f t="shared" si="8"/>
        <v>5.3865820706615972</v>
      </c>
      <c r="O28" s="84">
        <f t="shared" si="3"/>
        <v>1.4690678374531627</v>
      </c>
      <c r="P28" s="85">
        <f t="shared" si="9"/>
        <v>0.40509877748332168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2801.7806640744639</v>
      </c>
      <c r="U28" s="10">
        <f t="shared" si="12"/>
        <v>0.28017806640744636</v>
      </c>
      <c r="V28" s="103">
        <f t="shared" si="13"/>
        <v>5.6867142094875714E-2</v>
      </c>
    </row>
    <row r="29" spans="1:22" x14ac:dyDescent="0.25">
      <c r="A29" s="23"/>
      <c r="B29" s="77"/>
      <c r="C29" s="54"/>
      <c r="D29" s="54"/>
      <c r="E29" s="54"/>
      <c r="F29" s="100"/>
      <c r="G29" s="100"/>
      <c r="H29" s="100"/>
      <c r="I29" s="77"/>
      <c r="J29" s="82"/>
      <c r="K29" s="82"/>
      <c r="L29" s="83"/>
      <c r="M29" s="82"/>
      <c r="N29" s="82"/>
      <c r="O29" s="84"/>
      <c r="P29" s="85"/>
      <c r="Q29" s="86"/>
      <c r="R29" s="86"/>
      <c r="S29" s="86"/>
      <c r="T29" s="87"/>
      <c r="U29" s="10"/>
    </row>
    <row r="30" spans="1:22" x14ac:dyDescent="0.25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 x14ac:dyDescent="0.25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 x14ac:dyDescent="0.25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 x14ac:dyDescent="0.25">
      <c r="A33" s="23"/>
      <c r="B33" s="77"/>
      <c r="C33" s="54"/>
      <c r="D33" s="54"/>
      <c r="E33" s="54"/>
      <c r="F33" s="100"/>
      <c r="G33" s="100"/>
      <c r="H33" s="101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 x14ac:dyDescent="0.25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 x14ac:dyDescent="0.25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 x14ac:dyDescent="0.25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 x14ac:dyDescent="0.25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 x14ac:dyDescent="0.25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 x14ac:dyDescent="0.25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 x14ac:dyDescent="0.25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 x14ac:dyDescent="0.25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 x14ac:dyDescent="0.25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 x14ac:dyDescent="0.25">
      <c r="C43" s="102"/>
      <c r="D43" s="102"/>
      <c r="E43" s="102"/>
      <c r="F43" s="102"/>
      <c r="G43" s="102"/>
      <c r="H43" s="102"/>
      <c r="I43" s="102"/>
    </row>
    <row r="44" spans="1:21" x14ac:dyDescent="0.25">
      <c r="C44" s="102"/>
      <c r="D44" s="102"/>
      <c r="E44" s="102"/>
      <c r="F44" s="102"/>
      <c r="G44" s="102"/>
      <c r="H44" s="102"/>
      <c r="I44" s="102"/>
    </row>
    <row r="45" spans="1:21" x14ac:dyDescent="0.25">
      <c r="C45" s="102"/>
      <c r="D45" s="102"/>
      <c r="E45" s="102"/>
      <c r="F45" s="102"/>
      <c r="G45" s="102"/>
      <c r="H45" s="102"/>
      <c r="I45" s="102"/>
    </row>
  </sheetData>
  <conditionalFormatting sqref="O17:O42">
    <cfRule type="cellIs" dxfId="27" priority="1" operator="greaterThan">
      <formula>4</formula>
    </cfRule>
    <cfRule type="cellIs" dxfId="2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 Results</vt:lpstr>
      <vt:lpstr>Pre27.08.19</vt:lpstr>
      <vt:lpstr>Pre28.08.19</vt:lpstr>
      <vt:lpstr>Pre29.08.19</vt:lpstr>
      <vt:lpstr>Pre30.08.19</vt:lpstr>
      <vt:lpstr>Inc02.09.19</vt:lpstr>
      <vt:lpstr>Inc04.09.19</vt:lpstr>
      <vt:lpstr>Inc06.09.19</vt:lpstr>
      <vt:lpstr>Inc09.09.19</vt:lpstr>
      <vt:lpstr>Inc11.09.19</vt:lpstr>
      <vt:lpstr>Inc13.09.19</vt:lpstr>
      <vt:lpstr>Inc16.09.19</vt:lpstr>
      <vt:lpstr>Inc23.09.19</vt:lpstr>
      <vt:lpstr>Inc30.09.19</vt:lpstr>
      <vt:lpstr>Inc07.10.19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mrost</cp:lastModifiedBy>
  <cp:lastPrinted>2019-09-06T07:44:16Z</cp:lastPrinted>
  <dcterms:created xsi:type="dcterms:W3CDTF">2018-06-07T19:49:10Z</dcterms:created>
  <dcterms:modified xsi:type="dcterms:W3CDTF">2019-11-07T12:18:32Z</dcterms:modified>
</cp:coreProperties>
</file>