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25" windowWidth="19095" windowHeight="8280" activeTab="7"/>
  </bookViews>
  <sheets>
    <sheet name="Methods" sheetId="9" r:id="rId1"/>
    <sheet name="Sieving" sheetId="1" r:id="rId2"/>
    <sheet name="Dryweights" sheetId="2" r:id="rId3"/>
    <sheet name="WHC" sheetId="4" r:id="rId4"/>
    <sheet name="CO2 Template" sheetId="7" r:id="rId5"/>
    <sheet name="Leakage" sheetId="14" r:id="rId6"/>
    <sheet name="jar_information" sheetId="5" r:id="rId7"/>
    <sheet name="13C" sheetId="18" r:id="rId8"/>
    <sheet name="Pre_12.11.19" sheetId="6" r:id="rId9"/>
    <sheet name="Pre_13.11.19" sheetId="10" r:id="rId10"/>
    <sheet name="Pre_14.11.19" sheetId="11" r:id="rId11"/>
    <sheet name="Pre_15.11.19" sheetId="12" r:id="rId12"/>
    <sheet name="Inc_18.11.19" sheetId="15" r:id="rId13"/>
    <sheet name="Inc_21.11.19" sheetId="16" r:id="rId14"/>
    <sheet name="Inc_22.11.19" sheetId="17" r:id="rId15"/>
  </sheets>
  <calcPr calcId="145621"/>
</workbook>
</file>

<file path=xl/calcChain.xml><?xml version="1.0" encoding="utf-8"?>
<calcChain xmlns="http://schemas.openxmlformats.org/spreadsheetml/2006/main">
  <c r="N55" i="18" l="1"/>
  <c r="N53" i="18"/>
  <c r="N51" i="18"/>
  <c r="N49" i="18"/>
  <c r="N47" i="18"/>
  <c r="N45" i="18"/>
  <c r="N43" i="18"/>
  <c r="N41" i="18"/>
  <c r="N39" i="18"/>
  <c r="N37" i="18"/>
  <c r="N35" i="18"/>
  <c r="N33" i="18"/>
  <c r="N31" i="18"/>
  <c r="N28" i="18"/>
  <c r="N26" i="18"/>
  <c r="N24" i="18"/>
  <c r="N22" i="18"/>
  <c r="N20" i="18"/>
  <c r="N18" i="18"/>
  <c r="N16" i="18"/>
  <c r="N14" i="18"/>
  <c r="N12" i="18"/>
  <c r="N10" i="18"/>
  <c r="N8" i="18"/>
  <c r="N6" i="18"/>
  <c r="N4" i="18"/>
  <c r="D70" i="17" l="1"/>
  <c r="D69" i="17"/>
  <c r="D68" i="17"/>
  <c r="D67" i="17"/>
  <c r="D66" i="17"/>
  <c r="D65" i="17"/>
  <c r="D64" i="17"/>
  <c r="D63" i="17"/>
  <c r="D62" i="17"/>
  <c r="D61" i="17"/>
  <c r="D60" i="17"/>
  <c r="D59" i="17"/>
  <c r="D58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31" i="17" l="1"/>
  <c r="D32" i="17"/>
  <c r="D33" i="17"/>
  <c r="D34" i="17"/>
  <c r="D35" i="17"/>
  <c r="D36" i="17"/>
  <c r="D37" i="17"/>
  <c r="D38" i="17"/>
  <c r="D39" i="17"/>
  <c r="D40" i="17"/>
  <c r="D41" i="17"/>
  <c r="D42" i="17"/>
  <c r="D30" i="17"/>
  <c r="R28" i="17"/>
  <c r="L28" i="17"/>
  <c r="I28" i="17"/>
  <c r="B28" i="17"/>
  <c r="J28" i="17" s="1"/>
  <c r="K28" i="17" s="1"/>
  <c r="R27" i="17"/>
  <c r="L27" i="17"/>
  <c r="I27" i="17"/>
  <c r="B27" i="17"/>
  <c r="J27" i="17" s="1"/>
  <c r="K27" i="17" s="1"/>
  <c r="R26" i="17"/>
  <c r="L26" i="17"/>
  <c r="I26" i="17"/>
  <c r="B26" i="17"/>
  <c r="J26" i="17" s="1"/>
  <c r="K26" i="17" s="1"/>
  <c r="R25" i="17"/>
  <c r="L25" i="17"/>
  <c r="I25" i="17"/>
  <c r="B25" i="17"/>
  <c r="J25" i="17" s="1"/>
  <c r="K25" i="17" s="1"/>
  <c r="R24" i="17"/>
  <c r="L24" i="17"/>
  <c r="I24" i="17"/>
  <c r="B24" i="17"/>
  <c r="J24" i="17" s="1"/>
  <c r="K24" i="17" s="1"/>
  <c r="R23" i="17"/>
  <c r="L23" i="17"/>
  <c r="I23" i="17"/>
  <c r="B23" i="17"/>
  <c r="J23" i="17" s="1"/>
  <c r="K23" i="17" s="1"/>
  <c r="R22" i="17"/>
  <c r="L22" i="17"/>
  <c r="I22" i="17"/>
  <c r="B22" i="17"/>
  <c r="J22" i="17" s="1"/>
  <c r="K22" i="17" s="1"/>
  <c r="R21" i="17"/>
  <c r="L21" i="17"/>
  <c r="I21" i="17"/>
  <c r="B21" i="17"/>
  <c r="J21" i="17" s="1"/>
  <c r="K21" i="17" s="1"/>
  <c r="R20" i="17"/>
  <c r="L20" i="17"/>
  <c r="I20" i="17"/>
  <c r="B20" i="17"/>
  <c r="J20" i="17" s="1"/>
  <c r="K20" i="17" s="1"/>
  <c r="R19" i="17"/>
  <c r="L19" i="17"/>
  <c r="I19" i="17"/>
  <c r="B19" i="17"/>
  <c r="J19" i="17" s="1"/>
  <c r="K19" i="17" s="1"/>
  <c r="R18" i="17"/>
  <c r="L18" i="17"/>
  <c r="I18" i="17"/>
  <c r="B18" i="17"/>
  <c r="J18" i="17" s="1"/>
  <c r="K18" i="17" s="1"/>
  <c r="R17" i="17"/>
  <c r="L17" i="17"/>
  <c r="I17" i="17"/>
  <c r="B17" i="17"/>
  <c r="J17" i="17" s="1"/>
  <c r="K17" i="17" s="1"/>
  <c r="F14" i="17"/>
  <c r="F13" i="17"/>
  <c r="F12" i="17"/>
  <c r="F11" i="17"/>
  <c r="F10" i="17"/>
  <c r="F9" i="17"/>
  <c r="F8" i="17"/>
  <c r="F7" i="17"/>
  <c r="F6" i="17"/>
  <c r="F5" i="17"/>
  <c r="F4" i="17"/>
  <c r="F3" i="17"/>
  <c r="I9" i="17" s="1"/>
  <c r="I12" i="17" l="1"/>
  <c r="I10" i="17"/>
  <c r="F25" i="17" s="1"/>
  <c r="I13" i="17"/>
  <c r="D32" i="12"/>
  <c r="D33" i="12"/>
  <c r="D34" i="12"/>
  <c r="D35" i="12"/>
  <c r="D36" i="12"/>
  <c r="D37" i="12"/>
  <c r="D38" i="12"/>
  <c r="D39" i="12"/>
  <c r="D40" i="12"/>
  <c r="D41" i="12"/>
  <c r="D42" i="12"/>
  <c r="D43" i="12"/>
  <c r="D31" i="12"/>
  <c r="F18" i="17" l="1"/>
  <c r="T18" i="17" s="1"/>
  <c r="F22" i="17"/>
  <c r="M22" i="17" s="1"/>
  <c r="F26" i="17"/>
  <c r="M26" i="17" s="1"/>
  <c r="M25" i="17"/>
  <c r="T25" i="17"/>
  <c r="F19" i="17"/>
  <c r="F23" i="17"/>
  <c r="F27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F20" i="17"/>
  <c r="F24" i="17"/>
  <c r="F28" i="17"/>
  <c r="F17" i="17"/>
  <c r="F21" i="17"/>
  <c r="I13" i="15"/>
  <c r="I12" i="15"/>
  <c r="I10" i="15"/>
  <c r="I9" i="15"/>
  <c r="F15" i="15"/>
  <c r="M18" i="17" l="1"/>
  <c r="N18" i="17" s="1"/>
  <c r="O18" i="17" s="1"/>
  <c r="T22" i="17"/>
  <c r="T26" i="17"/>
  <c r="M17" i="17"/>
  <c r="T17" i="17"/>
  <c r="M27" i="17"/>
  <c r="T27" i="17"/>
  <c r="U26" i="17"/>
  <c r="N26" i="17"/>
  <c r="O26" i="17" s="1"/>
  <c r="M28" i="17"/>
  <c r="T28" i="17"/>
  <c r="M23" i="17"/>
  <c r="T23" i="17"/>
  <c r="M24" i="17"/>
  <c r="T24" i="17"/>
  <c r="M19" i="17"/>
  <c r="T19" i="17"/>
  <c r="U22" i="17"/>
  <c r="N22" i="17"/>
  <c r="O22" i="17" s="1"/>
  <c r="U25" i="17"/>
  <c r="N25" i="17"/>
  <c r="O25" i="17" s="1"/>
  <c r="M21" i="17"/>
  <c r="T21" i="17"/>
  <c r="M20" i="17"/>
  <c r="T20" i="17"/>
  <c r="F15" i="12"/>
  <c r="I13" i="11"/>
  <c r="I12" i="11"/>
  <c r="I10" i="11"/>
  <c r="I9" i="11"/>
  <c r="F15" i="11"/>
  <c r="I13" i="6"/>
  <c r="I12" i="6"/>
  <c r="I10" i="6"/>
  <c r="I9" i="6"/>
  <c r="F15" i="6"/>
  <c r="I13" i="10"/>
  <c r="I12" i="10"/>
  <c r="I10" i="10"/>
  <c r="I9" i="10"/>
  <c r="F15" i="10"/>
  <c r="U18" i="17" l="1"/>
  <c r="U20" i="17"/>
  <c r="N20" i="17"/>
  <c r="O20" i="17" s="1"/>
  <c r="U19" i="17"/>
  <c r="N19" i="17"/>
  <c r="O19" i="17" s="1"/>
  <c r="U23" i="17"/>
  <c r="N23" i="17"/>
  <c r="O23" i="17" s="1"/>
  <c r="U27" i="17"/>
  <c r="N27" i="17"/>
  <c r="O27" i="17" s="1"/>
  <c r="V22" i="17"/>
  <c r="P22" i="17"/>
  <c r="S22" i="17" s="1"/>
  <c r="V26" i="17"/>
  <c r="P26" i="17"/>
  <c r="S26" i="17" s="1"/>
  <c r="U21" i="17"/>
  <c r="N21" i="17"/>
  <c r="O21" i="17" s="1"/>
  <c r="U24" i="17"/>
  <c r="N24" i="17"/>
  <c r="O24" i="17" s="1"/>
  <c r="U28" i="17"/>
  <c r="N28" i="17"/>
  <c r="O28" i="17" s="1"/>
  <c r="U17" i="17"/>
  <c r="N17" i="17"/>
  <c r="O17" i="17" s="1"/>
  <c r="V25" i="17"/>
  <c r="P25" i="17"/>
  <c r="S25" i="17" s="1"/>
  <c r="V18" i="17"/>
  <c r="P18" i="17"/>
  <c r="S18" i="17" s="1"/>
  <c r="B18" i="16"/>
  <c r="B19" i="16"/>
  <c r="B20" i="16"/>
  <c r="B21" i="16"/>
  <c r="B22" i="16"/>
  <c r="B23" i="16"/>
  <c r="B24" i="16"/>
  <c r="B25" i="16"/>
  <c r="B26" i="16"/>
  <c r="B27" i="16"/>
  <c r="B28" i="16"/>
  <c r="B17" i="16"/>
  <c r="B19" i="12"/>
  <c r="B20" i="12"/>
  <c r="B21" i="12"/>
  <c r="B22" i="12"/>
  <c r="B23" i="12"/>
  <c r="B24" i="12"/>
  <c r="B25" i="12"/>
  <c r="B26" i="12"/>
  <c r="B27" i="12"/>
  <c r="B28" i="12"/>
  <c r="B29" i="12"/>
  <c r="B18" i="12"/>
  <c r="B19" i="11"/>
  <c r="B20" i="11"/>
  <c r="B21" i="11"/>
  <c r="B22" i="11"/>
  <c r="B23" i="11"/>
  <c r="B24" i="11"/>
  <c r="B25" i="11"/>
  <c r="B26" i="11"/>
  <c r="B27" i="11"/>
  <c r="B28" i="11"/>
  <c r="B29" i="11"/>
  <c r="B18" i="11"/>
  <c r="B19" i="10"/>
  <c r="B20" i="10"/>
  <c r="B21" i="10"/>
  <c r="B22" i="10"/>
  <c r="B23" i="10"/>
  <c r="B24" i="10"/>
  <c r="B25" i="10"/>
  <c r="B26" i="10"/>
  <c r="B27" i="10"/>
  <c r="B28" i="10"/>
  <c r="B29" i="10"/>
  <c r="B18" i="10"/>
  <c r="V28" i="17" l="1"/>
  <c r="P28" i="17"/>
  <c r="S28" i="17" s="1"/>
  <c r="V21" i="17"/>
  <c r="P21" i="17"/>
  <c r="S21" i="17" s="1"/>
  <c r="V23" i="17"/>
  <c r="P23" i="17"/>
  <c r="S23" i="17" s="1"/>
  <c r="V20" i="17"/>
  <c r="P20" i="17"/>
  <c r="S20" i="17" s="1"/>
  <c r="V17" i="17"/>
  <c r="P17" i="17"/>
  <c r="S17" i="17" s="1"/>
  <c r="V24" i="17"/>
  <c r="P24" i="17"/>
  <c r="S24" i="17" s="1"/>
  <c r="V27" i="17"/>
  <c r="P27" i="17"/>
  <c r="S27" i="17" s="1"/>
  <c r="V19" i="17"/>
  <c r="P19" i="17"/>
  <c r="S19" i="17" s="1"/>
  <c r="B19" i="6"/>
  <c r="B20" i="6"/>
  <c r="B21" i="6"/>
  <c r="B22" i="6"/>
  <c r="B23" i="6"/>
  <c r="B24" i="6"/>
  <c r="B25" i="6"/>
  <c r="B26" i="6"/>
  <c r="B27" i="6"/>
  <c r="B28" i="6"/>
  <c r="B29" i="6"/>
  <c r="B18" i="6"/>
  <c r="M5" i="4" l="1"/>
  <c r="R28" i="16" l="1"/>
  <c r="I28" i="16"/>
  <c r="J28" i="16"/>
  <c r="K28" i="16" s="1"/>
  <c r="R27" i="16"/>
  <c r="I27" i="16"/>
  <c r="J27" i="16"/>
  <c r="K27" i="16" s="1"/>
  <c r="R26" i="16"/>
  <c r="I26" i="16"/>
  <c r="R25" i="16"/>
  <c r="I25" i="16"/>
  <c r="R24" i="16"/>
  <c r="I24" i="16"/>
  <c r="J24" i="16"/>
  <c r="K24" i="16" s="1"/>
  <c r="R23" i="16"/>
  <c r="I23" i="16"/>
  <c r="J23" i="16"/>
  <c r="K23" i="16" s="1"/>
  <c r="R22" i="16"/>
  <c r="I22" i="16"/>
  <c r="R21" i="16"/>
  <c r="I21" i="16"/>
  <c r="R20" i="16"/>
  <c r="I20" i="16"/>
  <c r="J20" i="16"/>
  <c r="K20" i="16" s="1"/>
  <c r="R19" i="16"/>
  <c r="I19" i="16"/>
  <c r="J19" i="16"/>
  <c r="K19" i="16" s="1"/>
  <c r="R18" i="16"/>
  <c r="I18" i="16"/>
  <c r="R17" i="16"/>
  <c r="I17" i="16"/>
  <c r="F14" i="16"/>
  <c r="F13" i="16"/>
  <c r="F12" i="16"/>
  <c r="F11" i="16"/>
  <c r="F10" i="16"/>
  <c r="I9" i="16"/>
  <c r="F9" i="16"/>
  <c r="F8" i="16"/>
  <c r="F7" i="16"/>
  <c r="F6" i="16"/>
  <c r="F5" i="16"/>
  <c r="F4" i="16"/>
  <c r="F3" i="16"/>
  <c r="I13" i="16" s="1"/>
  <c r="J21" i="16" l="1"/>
  <c r="K21" i="16" s="1"/>
  <c r="J25" i="16"/>
  <c r="K25" i="16" s="1"/>
  <c r="J18" i="16"/>
  <c r="K18" i="16" s="1"/>
  <c r="J22" i="16"/>
  <c r="K22" i="16" s="1"/>
  <c r="J26" i="16"/>
  <c r="K26" i="16" s="1"/>
  <c r="J17" i="16"/>
  <c r="K17" i="16" s="1"/>
  <c r="I12" i="16"/>
  <c r="I10" i="16"/>
  <c r="F17" i="16" s="1"/>
  <c r="F20" i="16" l="1"/>
  <c r="T20" i="16" s="1"/>
  <c r="F24" i="16"/>
  <c r="T17" i="16"/>
  <c r="F27" i="16"/>
  <c r="F23" i="16"/>
  <c r="F1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F26" i="16"/>
  <c r="F22" i="16"/>
  <c r="F18" i="16"/>
  <c r="F28" i="16"/>
  <c r="F25" i="16"/>
  <c r="F21" i="16"/>
  <c r="I19" i="12"/>
  <c r="I20" i="12"/>
  <c r="I21" i="12"/>
  <c r="I22" i="12"/>
  <c r="I23" i="12"/>
  <c r="I24" i="12"/>
  <c r="I25" i="12"/>
  <c r="I26" i="12"/>
  <c r="I27" i="12"/>
  <c r="I28" i="12"/>
  <c r="I29" i="12"/>
  <c r="I18" i="12"/>
  <c r="I19" i="11"/>
  <c r="I20" i="11"/>
  <c r="I21" i="11"/>
  <c r="I22" i="11"/>
  <c r="I23" i="11"/>
  <c r="I24" i="11"/>
  <c r="I25" i="11"/>
  <c r="I26" i="11"/>
  <c r="I27" i="11"/>
  <c r="I28" i="11"/>
  <c r="I29" i="11"/>
  <c r="I18" i="11"/>
  <c r="I19" i="10"/>
  <c r="I20" i="10"/>
  <c r="I21" i="10"/>
  <c r="I22" i="10"/>
  <c r="I23" i="10"/>
  <c r="I24" i="10"/>
  <c r="I25" i="10"/>
  <c r="I26" i="10"/>
  <c r="I27" i="10"/>
  <c r="I28" i="10"/>
  <c r="I29" i="10"/>
  <c r="I18" i="10"/>
  <c r="I19" i="6"/>
  <c r="I20" i="6"/>
  <c r="I21" i="6"/>
  <c r="I22" i="6"/>
  <c r="I23" i="6"/>
  <c r="I24" i="6"/>
  <c r="I25" i="6"/>
  <c r="I26" i="6"/>
  <c r="I27" i="6"/>
  <c r="I28" i="6"/>
  <c r="I29" i="6"/>
  <c r="I18" i="6"/>
  <c r="T24" i="16" l="1"/>
  <c r="T19" i="16"/>
  <c r="T18" i="16"/>
  <c r="T23" i="16"/>
  <c r="T21" i="16"/>
  <c r="T22" i="16"/>
  <c r="T27" i="16"/>
  <c r="T25" i="16"/>
  <c r="T26" i="16"/>
  <c r="T28" i="16"/>
  <c r="B19" i="15"/>
  <c r="B20" i="15"/>
  <c r="B21" i="15"/>
  <c r="B22" i="15"/>
  <c r="B23" i="15"/>
  <c r="B24" i="15"/>
  <c r="B25" i="15"/>
  <c r="B26" i="15"/>
  <c r="B27" i="15"/>
  <c r="B28" i="15"/>
  <c r="B29" i="15"/>
  <c r="B18" i="15"/>
  <c r="R29" i="15"/>
  <c r="I29" i="15"/>
  <c r="R28" i="15"/>
  <c r="I28" i="15"/>
  <c r="J28" i="15" s="1"/>
  <c r="K28" i="15" s="1"/>
  <c r="R27" i="15"/>
  <c r="I27" i="15"/>
  <c r="R26" i="15"/>
  <c r="I26" i="15"/>
  <c r="R25" i="15"/>
  <c r="I25" i="15"/>
  <c r="R24" i="15"/>
  <c r="J24" i="15"/>
  <c r="K24" i="15" s="1"/>
  <c r="I24" i="15"/>
  <c r="R23" i="15"/>
  <c r="I23" i="15"/>
  <c r="J23" i="15" s="1"/>
  <c r="K23" i="15" s="1"/>
  <c r="R22" i="15"/>
  <c r="I22" i="15"/>
  <c r="R21" i="15"/>
  <c r="I21" i="15"/>
  <c r="J21" i="15" s="1"/>
  <c r="K21" i="15" s="1"/>
  <c r="R20" i="15"/>
  <c r="I20" i="15"/>
  <c r="R19" i="15"/>
  <c r="I19" i="15"/>
  <c r="R18" i="15"/>
  <c r="I18" i="15"/>
  <c r="J18" i="15" s="1"/>
  <c r="K18" i="15" s="1"/>
  <c r="F14" i="15"/>
  <c r="F13" i="15"/>
  <c r="F12" i="15"/>
  <c r="F11" i="15"/>
  <c r="F10" i="15"/>
  <c r="F9" i="15"/>
  <c r="F8" i="15"/>
  <c r="F7" i="15"/>
  <c r="F6" i="15"/>
  <c r="F5" i="15"/>
  <c r="F4" i="15"/>
  <c r="F3" i="15"/>
  <c r="J19" i="15"/>
  <c r="K19" i="15" s="1"/>
  <c r="J25" i="15"/>
  <c r="K25" i="15" s="1"/>
  <c r="R29" i="12"/>
  <c r="J29" i="12"/>
  <c r="K29" i="12" s="1"/>
  <c r="R28" i="12"/>
  <c r="J28" i="12"/>
  <c r="K28" i="12" s="1"/>
  <c r="R27" i="12"/>
  <c r="J27" i="12"/>
  <c r="K27" i="12" s="1"/>
  <c r="R26" i="12"/>
  <c r="J26" i="12"/>
  <c r="K26" i="12" s="1"/>
  <c r="R25" i="12"/>
  <c r="J25" i="12"/>
  <c r="K25" i="12" s="1"/>
  <c r="R24" i="12"/>
  <c r="J24" i="12"/>
  <c r="K24" i="12" s="1"/>
  <c r="R23" i="12"/>
  <c r="J23" i="12"/>
  <c r="K23" i="12" s="1"/>
  <c r="R22" i="12"/>
  <c r="J22" i="12"/>
  <c r="K22" i="12" s="1"/>
  <c r="R21" i="12"/>
  <c r="J21" i="12"/>
  <c r="K21" i="12" s="1"/>
  <c r="R20" i="12"/>
  <c r="J20" i="12"/>
  <c r="K20" i="12" s="1"/>
  <c r="R19" i="12"/>
  <c r="J19" i="12"/>
  <c r="K19" i="12" s="1"/>
  <c r="R18" i="12"/>
  <c r="J18" i="12"/>
  <c r="K18" i="12" s="1"/>
  <c r="F14" i="12"/>
  <c r="F13" i="12"/>
  <c r="F12" i="12"/>
  <c r="F11" i="12"/>
  <c r="F10" i="12"/>
  <c r="F9" i="12"/>
  <c r="F8" i="12"/>
  <c r="F7" i="12"/>
  <c r="F6" i="12"/>
  <c r="F5" i="12"/>
  <c r="F4" i="12"/>
  <c r="F3" i="12"/>
  <c r="R29" i="11"/>
  <c r="J29" i="11"/>
  <c r="K29" i="11" s="1"/>
  <c r="R28" i="11"/>
  <c r="J28" i="11"/>
  <c r="K28" i="11" s="1"/>
  <c r="R27" i="11"/>
  <c r="J27" i="11"/>
  <c r="K27" i="11" s="1"/>
  <c r="R26" i="11"/>
  <c r="J26" i="11"/>
  <c r="K26" i="11" s="1"/>
  <c r="R25" i="11"/>
  <c r="J25" i="11"/>
  <c r="K25" i="11" s="1"/>
  <c r="R24" i="11"/>
  <c r="J24" i="11"/>
  <c r="K24" i="11" s="1"/>
  <c r="R23" i="11"/>
  <c r="J23" i="11"/>
  <c r="K23" i="11" s="1"/>
  <c r="R22" i="11"/>
  <c r="J22" i="11"/>
  <c r="K22" i="11" s="1"/>
  <c r="R21" i="11"/>
  <c r="J21" i="11"/>
  <c r="K21" i="11" s="1"/>
  <c r="R20" i="11"/>
  <c r="J20" i="11"/>
  <c r="K20" i="11" s="1"/>
  <c r="R19" i="11"/>
  <c r="J19" i="11"/>
  <c r="K19" i="11" s="1"/>
  <c r="R18" i="11"/>
  <c r="J18" i="11"/>
  <c r="K18" i="11" s="1"/>
  <c r="F14" i="11"/>
  <c r="F13" i="11"/>
  <c r="F12" i="11"/>
  <c r="F11" i="11"/>
  <c r="F10" i="11"/>
  <c r="F9" i="11"/>
  <c r="F8" i="11"/>
  <c r="F7" i="11"/>
  <c r="F6" i="11"/>
  <c r="F5" i="11"/>
  <c r="F4" i="11"/>
  <c r="F3" i="11"/>
  <c r="F21" i="11"/>
  <c r="F23" i="11"/>
  <c r="G20" i="11"/>
  <c r="R29" i="10"/>
  <c r="J29" i="10"/>
  <c r="K29" i="10" s="1"/>
  <c r="R28" i="10"/>
  <c r="J28" i="10"/>
  <c r="K28" i="10" s="1"/>
  <c r="R27" i="10"/>
  <c r="J27" i="10"/>
  <c r="K27" i="10" s="1"/>
  <c r="R26" i="10"/>
  <c r="J26" i="10"/>
  <c r="K26" i="10" s="1"/>
  <c r="R25" i="10"/>
  <c r="J25" i="10"/>
  <c r="K25" i="10" s="1"/>
  <c r="R24" i="10"/>
  <c r="J24" i="10"/>
  <c r="K24" i="10" s="1"/>
  <c r="R23" i="10"/>
  <c r="J23" i="10"/>
  <c r="K23" i="10" s="1"/>
  <c r="R22" i="10"/>
  <c r="J22" i="10"/>
  <c r="K22" i="10" s="1"/>
  <c r="R21" i="10"/>
  <c r="J21" i="10"/>
  <c r="K21" i="10" s="1"/>
  <c r="R20" i="10"/>
  <c r="J20" i="10"/>
  <c r="K20" i="10" s="1"/>
  <c r="R19" i="10"/>
  <c r="J19" i="10"/>
  <c r="K19" i="10" s="1"/>
  <c r="R18" i="10"/>
  <c r="J18" i="10"/>
  <c r="K18" i="10" s="1"/>
  <c r="F14" i="10"/>
  <c r="F13" i="10"/>
  <c r="F12" i="10"/>
  <c r="F11" i="10"/>
  <c r="F10" i="10"/>
  <c r="F9" i="10"/>
  <c r="F8" i="10"/>
  <c r="F7" i="10"/>
  <c r="F6" i="10"/>
  <c r="F5" i="10"/>
  <c r="F4" i="10"/>
  <c r="F3" i="10"/>
  <c r="F24" i="11"/>
  <c r="T24" i="11" s="1"/>
  <c r="F27" i="11"/>
  <c r="F18" i="11"/>
  <c r="F28" i="11"/>
  <c r="T28" i="11" s="1"/>
  <c r="G28" i="11"/>
  <c r="G24" i="11"/>
  <c r="G29" i="11"/>
  <c r="G25" i="11"/>
  <c r="G21" i="11"/>
  <c r="G22" i="11"/>
  <c r="G18" i="11"/>
  <c r="G27" i="11"/>
  <c r="G19" i="11"/>
  <c r="F22" i="11"/>
  <c r="F29" i="11"/>
  <c r="T29" i="11" s="1"/>
  <c r="F26" i="11"/>
  <c r="T26" i="11" s="1"/>
  <c r="F20" i="11"/>
  <c r="Q6" i="4"/>
  <c r="Q7" i="4"/>
  <c r="Q8" i="4"/>
  <c r="T8" i="4"/>
  <c r="Q9" i="4"/>
  <c r="Q10" i="4"/>
  <c r="T6" i="4"/>
  <c r="T7" i="4"/>
  <c r="T9" i="4"/>
  <c r="T10" i="4"/>
  <c r="S20" i="4"/>
  <c r="S21" i="4"/>
  <c r="S22" i="4"/>
  <c r="S23" i="4"/>
  <c r="S24" i="4"/>
  <c r="T22" i="11"/>
  <c r="S19" i="4"/>
  <c r="I6" i="4"/>
  <c r="I7" i="4"/>
  <c r="I8" i="4"/>
  <c r="I9" i="4"/>
  <c r="I10" i="4"/>
  <c r="H6" i="4"/>
  <c r="H7" i="4"/>
  <c r="H8" i="4"/>
  <c r="H9" i="4"/>
  <c r="H10" i="4"/>
  <c r="D6" i="4"/>
  <c r="D7" i="4"/>
  <c r="D8" i="4"/>
  <c r="D9" i="4"/>
  <c r="D10" i="4"/>
  <c r="D11" i="4"/>
  <c r="I11" i="4" s="1"/>
  <c r="M11" i="4" s="1"/>
  <c r="D12" i="4"/>
  <c r="I12" i="4" s="1"/>
  <c r="M12" i="4" s="1"/>
  <c r="D13" i="4"/>
  <c r="I13" i="4" s="1"/>
  <c r="M13" i="4" s="1"/>
  <c r="D14" i="4"/>
  <c r="I14" i="4" s="1"/>
  <c r="M14" i="4" s="1"/>
  <c r="D15" i="4"/>
  <c r="I15" i="4" s="1"/>
  <c r="M15" i="4" s="1"/>
  <c r="D16" i="4"/>
  <c r="I16" i="4" s="1"/>
  <c r="M16" i="4" s="1"/>
  <c r="I5" i="4"/>
  <c r="H5" i="4"/>
  <c r="D5" i="4"/>
  <c r="L4" i="1"/>
  <c r="L5" i="1"/>
  <c r="L6" i="1"/>
  <c r="L7" i="1"/>
  <c r="L3" i="1"/>
  <c r="G5" i="4"/>
  <c r="K4" i="1"/>
  <c r="K5" i="1"/>
  <c r="K6" i="1"/>
  <c r="K7" i="1"/>
  <c r="K3" i="1"/>
  <c r="J4" i="1"/>
  <c r="J5" i="1"/>
  <c r="J6" i="1"/>
  <c r="J7" i="1"/>
  <c r="J3" i="1"/>
  <c r="F14" i="6"/>
  <c r="J25" i="6"/>
  <c r="K25" i="6" s="1"/>
  <c r="J19" i="6"/>
  <c r="K19" i="6" s="1"/>
  <c r="J20" i="6"/>
  <c r="K20" i="6" s="1"/>
  <c r="J21" i="6"/>
  <c r="K21" i="6" s="1"/>
  <c r="J22" i="6"/>
  <c r="K22" i="6" s="1"/>
  <c r="J23" i="6"/>
  <c r="K23" i="6" s="1"/>
  <c r="J24" i="6"/>
  <c r="K24" i="6" s="1"/>
  <c r="J26" i="6"/>
  <c r="K26" i="6" s="1"/>
  <c r="J27" i="6"/>
  <c r="K27" i="6"/>
  <c r="J28" i="6"/>
  <c r="K28" i="6" s="1"/>
  <c r="J29" i="6"/>
  <c r="K29" i="6" s="1"/>
  <c r="J18" i="6"/>
  <c r="K18" i="6" s="1"/>
  <c r="R27" i="6"/>
  <c r="R29" i="6"/>
  <c r="R28" i="6"/>
  <c r="R26" i="6"/>
  <c r="R25" i="6"/>
  <c r="R24" i="6"/>
  <c r="R23" i="6"/>
  <c r="R22" i="6"/>
  <c r="R21" i="6"/>
  <c r="R20" i="6"/>
  <c r="R19" i="6"/>
  <c r="R18" i="6"/>
  <c r="F13" i="6"/>
  <c r="F12" i="6"/>
  <c r="F11" i="6"/>
  <c r="F10" i="6"/>
  <c r="F9" i="6"/>
  <c r="F8" i="6"/>
  <c r="F7" i="6"/>
  <c r="F6" i="6"/>
  <c r="F5" i="6"/>
  <c r="F4" i="6"/>
  <c r="F3" i="6"/>
  <c r="K12" i="5"/>
  <c r="F12" i="5" s="1"/>
  <c r="G12" i="5" s="1"/>
  <c r="K13" i="5"/>
  <c r="F13" i="5" s="1"/>
  <c r="G13" i="5" s="1"/>
  <c r="K14" i="5"/>
  <c r="F14" i="5"/>
  <c r="G14" i="5" s="1"/>
  <c r="K11" i="5"/>
  <c r="F11" i="5" s="1"/>
  <c r="G11" i="5" s="1"/>
  <c r="K10" i="5"/>
  <c r="F10" i="5" s="1"/>
  <c r="G10" i="5" s="1"/>
  <c r="K9" i="5"/>
  <c r="F9" i="5" s="1"/>
  <c r="G9" i="5" s="1"/>
  <c r="K8" i="5"/>
  <c r="F8" i="5"/>
  <c r="G8" i="5" s="1"/>
  <c r="K7" i="5"/>
  <c r="F7" i="5" s="1"/>
  <c r="G7" i="5" s="1"/>
  <c r="K6" i="5"/>
  <c r="F6" i="5"/>
  <c r="G6" i="5" s="1"/>
  <c r="K5" i="5"/>
  <c r="F5" i="5" s="1"/>
  <c r="G5" i="5" s="1"/>
  <c r="K4" i="5"/>
  <c r="F4" i="5"/>
  <c r="G4" i="5" s="1"/>
  <c r="K3" i="5"/>
  <c r="F3" i="5"/>
  <c r="G3" i="5" s="1"/>
  <c r="E4" i="2"/>
  <c r="E5" i="2"/>
  <c r="E6" i="2"/>
  <c r="I6" i="2"/>
  <c r="E7" i="2"/>
  <c r="I7" i="2"/>
  <c r="E8" i="2"/>
  <c r="E9" i="2"/>
  <c r="E10" i="2"/>
  <c r="I10" i="2"/>
  <c r="E11" i="2"/>
  <c r="I11" i="2"/>
  <c r="E12" i="2"/>
  <c r="E13" i="2"/>
  <c r="I13" i="2"/>
  <c r="E14" i="2"/>
  <c r="I14" i="2"/>
  <c r="E15" i="2"/>
  <c r="I15" i="2"/>
  <c r="E16" i="2"/>
  <c r="E17" i="2"/>
  <c r="I17" i="2"/>
  <c r="E18" i="2"/>
  <c r="I18" i="2"/>
  <c r="E19" i="2"/>
  <c r="I19" i="2"/>
  <c r="E20" i="2"/>
  <c r="I4" i="2"/>
  <c r="I5" i="2"/>
  <c r="I8" i="2"/>
  <c r="I9" i="2"/>
  <c r="I12" i="2"/>
  <c r="I16" i="2"/>
  <c r="I20" i="2"/>
  <c r="E3" i="2"/>
  <c r="I3" i="2"/>
  <c r="M6" i="4"/>
  <c r="M7" i="4"/>
  <c r="M8" i="4"/>
  <c r="G9" i="4"/>
  <c r="G10" i="4"/>
  <c r="G12" i="4"/>
  <c r="H12" i="4" s="1"/>
  <c r="G16" i="4"/>
  <c r="H16" i="4" s="1"/>
  <c r="O16" i="4"/>
  <c r="O15" i="4"/>
  <c r="O14" i="4"/>
  <c r="O13" i="4"/>
  <c r="O12" i="4"/>
  <c r="O11" i="4"/>
  <c r="G11" i="4"/>
  <c r="H11" i="4" s="1"/>
  <c r="O10" i="4"/>
  <c r="O9" i="4"/>
  <c r="O8" i="4"/>
  <c r="O7" i="4"/>
  <c r="O6" i="4"/>
  <c r="O5" i="4"/>
  <c r="G7" i="4"/>
  <c r="M10" i="4"/>
  <c r="G13" i="4"/>
  <c r="H13" i="4" s="1"/>
  <c r="M9" i="4"/>
  <c r="G14" i="4"/>
  <c r="H14" i="4" s="1"/>
  <c r="G6" i="4"/>
  <c r="P7" i="4"/>
  <c r="G8" i="4"/>
  <c r="G15" i="4"/>
  <c r="H15" i="4" s="1"/>
  <c r="P8" i="4"/>
  <c r="P6" i="4"/>
  <c r="P10" i="4"/>
  <c r="P9" i="4"/>
  <c r="G15" i="2"/>
  <c r="H15" i="2"/>
  <c r="L15" i="2"/>
  <c r="M15" i="2"/>
  <c r="G16" i="2"/>
  <c r="H16" i="2"/>
  <c r="Q16" i="2"/>
  <c r="R16" i="2"/>
  <c r="L16" i="2"/>
  <c r="M16" i="2"/>
  <c r="G17" i="2"/>
  <c r="H17" i="2"/>
  <c r="L17" i="2"/>
  <c r="M17" i="2"/>
  <c r="G18" i="2"/>
  <c r="H18" i="2"/>
  <c r="Q18" i="2"/>
  <c r="R18" i="2"/>
  <c r="L18" i="2"/>
  <c r="M18" i="2"/>
  <c r="G19" i="2"/>
  <c r="H19" i="2"/>
  <c r="L19" i="2"/>
  <c r="M19" i="2"/>
  <c r="G20" i="2"/>
  <c r="H20" i="2"/>
  <c r="Q20" i="2"/>
  <c r="R20" i="2"/>
  <c r="L20" i="2"/>
  <c r="M20" i="2"/>
  <c r="M14" i="2"/>
  <c r="L14" i="2"/>
  <c r="G14" i="2"/>
  <c r="H14" i="2"/>
  <c r="M13" i="2"/>
  <c r="L13" i="2"/>
  <c r="G13" i="2"/>
  <c r="H13" i="2"/>
  <c r="M12" i="2"/>
  <c r="L12" i="2"/>
  <c r="G12" i="2"/>
  <c r="H12" i="2"/>
  <c r="Q12" i="2"/>
  <c r="R12" i="2"/>
  <c r="M11" i="2"/>
  <c r="L11" i="2"/>
  <c r="G11" i="2"/>
  <c r="H11" i="2"/>
  <c r="Q11" i="2"/>
  <c r="R11" i="2"/>
  <c r="M10" i="2"/>
  <c r="L10" i="2"/>
  <c r="G10" i="2"/>
  <c r="H10" i="2"/>
  <c r="M9" i="2"/>
  <c r="L9" i="2"/>
  <c r="G9" i="2"/>
  <c r="H9" i="2"/>
  <c r="M8" i="2"/>
  <c r="L8" i="2"/>
  <c r="G8" i="2"/>
  <c r="H8" i="2"/>
  <c r="Q8" i="2"/>
  <c r="R8" i="2"/>
  <c r="M7" i="2"/>
  <c r="L7" i="2"/>
  <c r="G7" i="2"/>
  <c r="H7" i="2"/>
  <c r="Q7" i="2"/>
  <c r="R7" i="2"/>
  <c r="M6" i="2"/>
  <c r="L6" i="2"/>
  <c r="G6" i="2"/>
  <c r="H6" i="2"/>
  <c r="M5" i="2"/>
  <c r="L5" i="2"/>
  <c r="G5" i="2"/>
  <c r="H5" i="2"/>
  <c r="M4" i="2"/>
  <c r="L4" i="2"/>
  <c r="G4" i="2"/>
  <c r="H4" i="2"/>
  <c r="Q4" i="2"/>
  <c r="R4" i="2"/>
  <c r="M3" i="2"/>
  <c r="L3" i="2"/>
  <c r="G3" i="2"/>
  <c r="H3" i="2"/>
  <c r="Q3" i="2"/>
  <c r="R3" i="2"/>
  <c r="N5" i="2"/>
  <c r="O5" i="2"/>
  <c r="N9" i="2"/>
  <c r="O9" i="2"/>
  <c r="N13" i="2"/>
  <c r="O13" i="2"/>
  <c r="N19" i="2"/>
  <c r="O19" i="2"/>
  <c r="N15" i="2"/>
  <c r="O15" i="2"/>
  <c r="N18" i="2"/>
  <c r="O18" i="2"/>
  <c r="S18" i="2"/>
  <c r="Q19" i="2"/>
  <c r="R19" i="2"/>
  <c r="Q15" i="2"/>
  <c r="R15" i="2"/>
  <c r="N12" i="2"/>
  <c r="O12" i="2"/>
  <c r="S12" i="2"/>
  <c r="N8" i="2"/>
  <c r="O8" i="2"/>
  <c r="S8" i="2"/>
  <c r="N4" i="2"/>
  <c r="O4" i="2"/>
  <c r="S4" i="2"/>
  <c r="N3" i="2"/>
  <c r="O3" i="2"/>
  <c r="S3" i="2"/>
  <c r="Q17" i="2"/>
  <c r="R17" i="2"/>
  <c r="N17" i="2"/>
  <c r="O17" i="2"/>
  <c r="N20" i="2"/>
  <c r="O20" i="2"/>
  <c r="S20" i="2"/>
  <c r="N16" i="2"/>
  <c r="O16" i="2"/>
  <c r="S16" i="2"/>
  <c r="N14" i="2"/>
  <c r="O14" i="2"/>
  <c r="Q14" i="2"/>
  <c r="R14" i="2"/>
  <c r="Q10" i="2"/>
  <c r="R10" i="2"/>
  <c r="N10" i="2"/>
  <c r="O10" i="2"/>
  <c r="N6" i="2"/>
  <c r="O6" i="2"/>
  <c r="Q6" i="2"/>
  <c r="R6" i="2"/>
  <c r="N11" i="2"/>
  <c r="O11" i="2"/>
  <c r="S11" i="2"/>
  <c r="N7" i="2"/>
  <c r="O7" i="2"/>
  <c r="S7" i="2"/>
  <c r="Q5" i="2"/>
  <c r="R5" i="2"/>
  <c r="S5" i="2"/>
  <c r="Q9" i="2"/>
  <c r="R9" i="2"/>
  <c r="S9" i="2"/>
  <c r="Q13" i="2"/>
  <c r="R13" i="2"/>
  <c r="S13" i="2"/>
  <c r="S15" i="2"/>
  <c r="S19" i="2"/>
  <c r="S10" i="2"/>
  <c r="S6" i="2"/>
  <c r="S17" i="2"/>
  <c r="S14" i="2"/>
  <c r="P5" i="4"/>
  <c r="Q5" i="4"/>
  <c r="T5" i="4"/>
  <c r="I9" i="12" l="1"/>
  <c r="I13" i="12"/>
  <c r="I12" i="12"/>
  <c r="I10" i="12"/>
  <c r="F24" i="15"/>
  <c r="T24" i="15" s="1"/>
  <c r="G18" i="15"/>
  <c r="J22" i="15"/>
  <c r="K22" i="15" s="1"/>
  <c r="J26" i="15"/>
  <c r="K26" i="15" s="1"/>
  <c r="G26" i="15"/>
  <c r="G20" i="15"/>
  <c r="F20" i="15"/>
  <c r="T20" i="15" s="1"/>
  <c r="F29" i="15"/>
  <c r="T29" i="15" s="1"/>
  <c r="F25" i="15"/>
  <c r="T25" i="15" s="1"/>
  <c r="F18" i="15"/>
  <c r="T18" i="15" s="1"/>
  <c r="F22" i="15"/>
  <c r="T22" i="15" s="1"/>
  <c r="F27" i="6"/>
  <c r="T27" i="6" s="1"/>
  <c r="G29" i="10"/>
  <c r="G19" i="10"/>
  <c r="G28" i="10"/>
  <c r="G18" i="10"/>
  <c r="G21" i="10"/>
  <c r="G20" i="10"/>
  <c r="G22" i="10"/>
  <c r="G24" i="10"/>
  <c r="G27" i="10"/>
  <c r="G25" i="10"/>
  <c r="F24" i="10"/>
  <c r="T24" i="10" s="1"/>
  <c r="F19" i="10"/>
  <c r="F22" i="10"/>
  <c r="T22" i="10" s="1"/>
  <c r="F20" i="10"/>
  <c r="T20" i="10" s="1"/>
  <c r="F29" i="10"/>
  <c r="M29" i="10" s="1"/>
  <c r="N29" i="10" s="1"/>
  <c r="O29" i="10" s="1"/>
  <c r="F27" i="10"/>
  <c r="T27" i="10" s="1"/>
  <c r="F18" i="10"/>
  <c r="T18" i="10" s="1"/>
  <c r="F28" i="10"/>
  <c r="T28" i="10" s="1"/>
  <c r="F23" i="10"/>
  <c r="T23" i="10" s="1"/>
  <c r="J20" i="15"/>
  <c r="K20" i="15" s="1"/>
  <c r="J27" i="15"/>
  <c r="K27" i="15" s="1"/>
  <c r="L19" i="16"/>
  <c r="M19" i="16" s="1"/>
  <c r="N19" i="16" s="1"/>
  <c r="O19" i="16" s="1"/>
  <c r="L20" i="12"/>
  <c r="L20" i="6"/>
  <c r="L20" i="15"/>
  <c r="L20" i="10"/>
  <c r="L20" i="11"/>
  <c r="M20" i="11" s="1"/>
  <c r="L22" i="16"/>
  <c r="M22" i="16" s="1"/>
  <c r="L23" i="15"/>
  <c r="L23" i="11"/>
  <c r="M23" i="11" s="1"/>
  <c r="L23" i="10"/>
  <c r="L23" i="6"/>
  <c r="L23" i="12"/>
  <c r="L20" i="16"/>
  <c r="M20" i="16" s="1"/>
  <c r="L21" i="12"/>
  <c r="L21" i="15"/>
  <c r="L21" i="11"/>
  <c r="M21" i="11" s="1"/>
  <c r="L21" i="10"/>
  <c r="L21" i="6"/>
  <c r="L25" i="16"/>
  <c r="M25" i="16" s="1"/>
  <c r="L26" i="15"/>
  <c r="L26" i="6"/>
  <c r="L26" i="12"/>
  <c r="L26" i="11"/>
  <c r="M26" i="11" s="1"/>
  <c r="L26" i="10"/>
  <c r="L26" i="16"/>
  <c r="M26" i="16" s="1"/>
  <c r="U26" i="16" s="1"/>
  <c r="L27" i="10"/>
  <c r="L27" i="15"/>
  <c r="L27" i="12"/>
  <c r="L27" i="11"/>
  <c r="M27" i="11" s="1"/>
  <c r="L27" i="6"/>
  <c r="L18" i="16"/>
  <c r="M18" i="16" s="1"/>
  <c r="N18" i="16" s="1"/>
  <c r="O18" i="16" s="1"/>
  <c r="L19" i="15"/>
  <c r="L19" i="11"/>
  <c r="L19" i="12"/>
  <c r="L19" i="10"/>
  <c r="L19" i="6"/>
  <c r="L23" i="16"/>
  <c r="M23" i="16" s="1"/>
  <c r="U23" i="16" s="1"/>
  <c r="L24" i="12"/>
  <c r="L24" i="11"/>
  <c r="L24" i="10"/>
  <c r="L24" i="6"/>
  <c r="L24" i="15"/>
  <c r="L28" i="16"/>
  <c r="M28" i="16" s="1"/>
  <c r="N28" i="16" s="1"/>
  <c r="O28" i="16" s="1"/>
  <c r="L29" i="12"/>
  <c r="L29" i="11"/>
  <c r="M29" i="11" s="1"/>
  <c r="L29" i="15"/>
  <c r="L29" i="10"/>
  <c r="L29" i="6"/>
  <c r="L21" i="16"/>
  <c r="M21" i="16" s="1"/>
  <c r="N21" i="16" s="1"/>
  <c r="O21" i="16" s="1"/>
  <c r="L22" i="10"/>
  <c r="L22" i="6"/>
  <c r="L22" i="12"/>
  <c r="L22" i="15"/>
  <c r="L22" i="11"/>
  <c r="M22" i="11" s="1"/>
  <c r="N22" i="11" s="1"/>
  <c r="O22" i="11" s="1"/>
  <c r="P22" i="11" s="1"/>
  <c r="S22" i="11" s="1"/>
  <c r="L24" i="16"/>
  <c r="M24" i="16" s="1"/>
  <c r="L25" i="15"/>
  <c r="L25" i="12"/>
  <c r="L25" i="11"/>
  <c r="L25" i="10"/>
  <c r="L25" i="6"/>
  <c r="L27" i="16"/>
  <c r="M27" i="16" s="1"/>
  <c r="N27" i="16" s="1"/>
  <c r="O27" i="16" s="1"/>
  <c r="L28" i="12"/>
  <c r="L28" i="11"/>
  <c r="L28" i="15"/>
  <c r="L28" i="10"/>
  <c r="L28" i="6"/>
  <c r="M28" i="11"/>
  <c r="N28" i="11" s="1"/>
  <c r="O28" i="11" s="1"/>
  <c r="P28" i="11" s="1"/>
  <c r="S28" i="11" s="1"/>
  <c r="L17" i="16"/>
  <c r="M17" i="16" s="1"/>
  <c r="L18" i="15"/>
  <c r="L18" i="12"/>
  <c r="L18" i="10"/>
  <c r="L18" i="11"/>
  <c r="M18" i="11" s="1"/>
  <c r="L18" i="6"/>
  <c r="G24" i="15"/>
  <c r="F26" i="15"/>
  <c r="F28" i="15"/>
  <c r="G19" i="15"/>
  <c r="G22" i="15"/>
  <c r="F27" i="15"/>
  <c r="T27" i="15" s="1"/>
  <c r="F22" i="12"/>
  <c r="G20" i="12"/>
  <c r="F25" i="12"/>
  <c r="F21" i="12"/>
  <c r="T21" i="11"/>
  <c r="M24" i="11"/>
  <c r="U24" i="11" s="1"/>
  <c r="T27" i="11"/>
  <c r="F19" i="11"/>
  <c r="G23" i="11"/>
  <c r="G26" i="11"/>
  <c r="F25" i="11"/>
  <c r="T20" i="11"/>
  <c r="T18" i="11"/>
  <c r="T23" i="11"/>
  <c r="G23" i="10"/>
  <c r="G26" i="10"/>
  <c r="F25" i="10"/>
  <c r="F21" i="10"/>
  <c r="F26" i="10"/>
  <c r="P13" i="4"/>
  <c r="Q13" i="4"/>
  <c r="T13" i="4" s="1"/>
  <c r="P12" i="4"/>
  <c r="Q12" i="4"/>
  <c r="T12" i="4" s="1"/>
  <c r="P16" i="4"/>
  <c r="Q16" i="4"/>
  <c r="T16" i="4" s="1"/>
  <c r="P15" i="4"/>
  <c r="Q15" i="4"/>
  <c r="T15" i="4" s="1"/>
  <c r="P14" i="4"/>
  <c r="Q14" i="4"/>
  <c r="T14" i="4" s="1"/>
  <c r="P11" i="4"/>
  <c r="Q11" i="4"/>
  <c r="T11" i="4" s="1"/>
  <c r="U28" i="16"/>
  <c r="U25" i="16"/>
  <c r="N25" i="16"/>
  <c r="O25" i="16" s="1"/>
  <c r="U18" i="16"/>
  <c r="U22" i="16"/>
  <c r="N22" i="16"/>
  <c r="O22" i="16" s="1"/>
  <c r="J29" i="15"/>
  <c r="K29" i="15" s="1"/>
  <c r="M24" i="12" l="1"/>
  <c r="G24" i="12"/>
  <c r="G27" i="12"/>
  <c r="G29" i="12"/>
  <c r="G19" i="12"/>
  <c r="G28" i="12"/>
  <c r="G22" i="12"/>
  <c r="G21" i="12"/>
  <c r="G26" i="12"/>
  <c r="G25" i="12"/>
  <c r="G23" i="12"/>
  <c r="M23" i="12"/>
  <c r="N23" i="12" s="1"/>
  <c r="O23" i="12" s="1"/>
  <c r="P23" i="12" s="1"/>
  <c r="S23" i="12" s="1"/>
  <c r="F28" i="12"/>
  <c r="T28" i="12" s="1"/>
  <c r="F19" i="12"/>
  <c r="T19" i="12" s="1"/>
  <c r="F24" i="12"/>
  <c r="T24" i="12" s="1"/>
  <c r="F29" i="12"/>
  <c r="F26" i="12"/>
  <c r="T26" i="12" s="1"/>
  <c r="F23" i="12"/>
  <c r="T23" i="12" s="1"/>
  <c r="F18" i="12"/>
  <c r="G18" i="12"/>
  <c r="F20" i="12"/>
  <c r="T20" i="12" s="1"/>
  <c r="F27" i="12"/>
  <c r="M19" i="12"/>
  <c r="U19" i="12" s="1"/>
  <c r="G23" i="15"/>
  <c r="G25" i="15"/>
  <c r="G21" i="15"/>
  <c r="G28" i="15"/>
  <c r="G29" i="15"/>
  <c r="F23" i="15"/>
  <c r="M23" i="15" s="1"/>
  <c r="F21" i="15"/>
  <c r="T21" i="15" s="1"/>
  <c r="G27" i="15"/>
  <c r="F19" i="15"/>
  <c r="M19" i="15" s="1"/>
  <c r="N19" i="15" s="1"/>
  <c r="O19" i="15" s="1"/>
  <c r="V19" i="15" s="1"/>
  <c r="X19" i="15" s="1"/>
  <c r="Z19" i="15" s="1"/>
  <c r="M29" i="15"/>
  <c r="N29" i="15" s="1"/>
  <c r="O29" i="15" s="1"/>
  <c r="P29" i="15" s="1"/>
  <c r="S29" i="15" s="1"/>
  <c r="M25" i="15"/>
  <c r="U25" i="15" s="1"/>
  <c r="M24" i="15"/>
  <c r="N24" i="15" s="1"/>
  <c r="O24" i="15" s="1"/>
  <c r="P24" i="15" s="1"/>
  <c r="S24" i="15" s="1"/>
  <c r="M20" i="15"/>
  <c r="U20" i="15" s="1"/>
  <c r="M18" i="15"/>
  <c r="U18" i="15" s="1"/>
  <c r="M27" i="15"/>
  <c r="M22" i="15"/>
  <c r="U22" i="15" s="1"/>
  <c r="U28" i="11"/>
  <c r="M27" i="10"/>
  <c r="N27" i="10" s="1"/>
  <c r="O27" i="10" s="1"/>
  <c r="G28" i="6"/>
  <c r="G27" i="6"/>
  <c r="G19" i="6"/>
  <c r="G22" i="6"/>
  <c r="G25" i="6"/>
  <c r="G29" i="6"/>
  <c r="G20" i="6"/>
  <c r="G23" i="6"/>
  <c r="G26" i="6"/>
  <c r="G18" i="6"/>
  <c r="G21" i="6"/>
  <c r="G24" i="6"/>
  <c r="F25" i="6"/>
  <c r="F29" i="6"/>
  <c r="T29" i="6" s="1"/>
  <c r="F20" i="6"/>
  <c r="F23" i="6"/>
  <c r="F26" i="6"/>
  <c r="T26" i="6" s="1"/>
  <c r="F18" i="6"/>
  <c r="T18" i="6" s="1"/>
  <c r="F21" i="6"/>
  <c r="T21" i="6" s="1"/>
  <c r="F24" i="6"/>
  <c r="T24" i="6" s="1"/>
  <c r="F28" i="6"/>
  <c r="T28" i="6" s="1"/>
  <c r="F19" i="6"/>
  <c r="T19" i="6" s="1"/>
  <c r="F22" i="6"/>
  <c r="T22" i="6" s="1"/>
  <c r="M19" i="10"/>
  <c r="N19" i="10" s="1"/>
  <c r="O19" i="10" s="1"/>
  <c r="T19" i="10"/>
  <c r="M24" i="10"/>
  <c r="U24" i="10" s="1"/>
  <c r="T29" i="10"/>
  <c r="M23" i="10"/>
  <c r="N23" i="10" s="1"/>
  <c r="O23" i="10" s="1"/>
  <c r="P23" i="10" s="1"/>
  <c r="S23" i="10" s="1"/>
  <c r="M18" i="10"/>
  <c r="N18" i="10" s="1"/>
  <c r="O18" i="10" s="1"/>
  <c r="M22" i="10"/>
  <c r="N22" i="10" s="1"/>
  <c r="O22" i="10" s="1"/>
  <c r="M28" i="10"/>
  <c r="U28" i="10" s="1"/>
  <c r="M20" i="10"/>
  <c r="U20" i="10" s="1"/>
  <c r="M27" i="6"/>
  <c r="U27" i="6" s="1"/>
  <c r="U27" i="16"/>
  <c r="U29" i="10"/>
  <c r="U19" i="16"/>
  <c r="U19" i="15"/>
  <c r="U21" i="16"/>
  <c r="N23" i="16"/>
  <c r="O23" i="16" s="1"/>
  <c r="P23" i="16" s="1"/>
  <c r="S23" i="16" s="1"/>
  <c r="N26" i="16"/>
  <c r="O26" i="16" s="1"/>
  <c r="V26" i="16" s="1"/>
  <c r="U22" i="11"/>
  <c r="U24" i="15"/>
  <c r="N24" i="12"/>
  <c r="O24" i="12" s="1"/>
  <c r="P24" i="12" s="1"/>
  <c r="S24" i="12" s="1"/>
  <c r="U24" i="12"/>
  <c r="U20" i="11"/>
  <c r="N20" i="11"/>
  <c r="O20" i="11" s="1"/>
  <c r="N27" i="11"/>
  <c r="O27" i="11" s="1"/>
  <c r="P27" i="11" s="1"/>
  <c r="S27" i="11" s="1"/>
  <c r="U27" i="11"/>
  <c r="N23" i="11"/>
  <c r="O23" i="11" s="1"/>
  <c r="P23" i="11" s="1"/>
  <c r="S23" i="11" s="1"/>
  <c r="U23" i="11"/>
  <c r="P19" i="15"/>
  <c r="S19" i="15" s="1"/>
  <c r="P29" i="10"/>
  <c r="S29" i="10" s="1"/>
  <c r="V29" i="10"/>
  <c r="V22" i="11"/>
  <c r="U24" i="16"/>
  <c r="N24" i="16"/>
  <c r="O24" i="16" s="1"/>
  <c r="N26" i="11"/>
  <c r="O26" i="11" s="1"/>
  <c r="U26" i="11"/>
  <c r="U27" i="10"/>
  <c r="U20" i="16"/>
  <c r="N20" i="16"/>
  <c r="O20" i="16" s="1"/>
  <c r="U18" i="11"/>
  <c r="N18" i="11"/>
  <c r="O18" i="11" s="1"/>
  <c r="U17" i="16"/>
  <c r="N17" i="16"/>
  <c r="O17" i="16" s="1"/>
  <c r="T23" i="15"/>
  <c r="M28" i="15"/>
  <c r="T28" i="15"/>
  <c r="M26" i="15"/>
  <c r="T26" i="15"/>
  <c r="M21" i="12"/>
  <c r="T21" i="12"/>
  <c r="M22" i="12"/>
  <c r="T22" i="12"/>
  <c r="T25" i="12"/>
  <c r="M25" i="12"/>
  <c r="T27" i="12"/>
  <c r="M27" i="12"/>
  <c r="N19" i="12"/>
  <c r="O19" i="12" s="1"/>
  <c r="N24" i="11"/>
  <c r="O24" i="11" s="1"/>
  <c r="T19" i="11"/>
  <c r="M19" i="11"/>
  <c r="N21" i="11"/>
  <c r="O21" i="11" s="1"/>
  <c r="U21" i="11"/>
  <c r="M25" i="11"/>
  <c r="T25" i="11"/>
  <c r="N29" i="11"/>
  <c r="O29" i="11" s="1"/>
  <c r="U29" i="11"/>
  <c r="V28" i="11"/>
  <c r="M26" i="10"/>
  <c r="T26" i="10"/>
  <c r="T21" i="10"/>
  <c r="M21" i="10"/>
  <c r="M25" i="10"/>
  <c r="T25" i="10"/>
  <c r="N27" i="6"/>
  <c r="O27" i="6" s="1"/>
  <c r="V21" i="16"/>
  <c r="P21" i="16"/>
  <c r="S21" i="16" s="1"/>
  <c r="V25" i="16"/>
  <c r="P25" i="16"/>
  <c r="S25" i="16" s="1"/>
  <c r="V19" i="16"/>
  <c r="P19" i="16"/>
  <c r="S19" i="16" s="1"/>
  <c r="V22" i="16"/>
  <c r="P22" i="16"/>
  <c r="S22" i="16" s="1"/>
  <c r="V18" i="16"/>
  <c r="P18" i="16"/>
  <c r="S18" i="16" s="1"/>
  <c r="V27" i="16"/>
  <c r="P27" i="16"/>
  <c r="S27" i="16" s="1"/>
  <c r="V28" i="16"/>
  <c r="P28" i="16"/>
  <c r="S28" i="16" s="1"/>
  <c r="V23" i="16" l="1"/>
  <c r="M26" i="12"/>
  <c r="M20" i="12"/>
  <c r="N20" i="12" s="1"/>
  <c r="O20" i="12" s="1"/>
  <c r="T29" i="12"/>
  <c r="M29" i="12"/>
  <c r="U23" i="12"/>
  <c r="M18" i="12"/>
  <c r="T18" i="12"/>
  <c r="M28" i="12"/>
  <c r="M21" i="15"/>
  <c r="U29" i="15"/>
  <c r="T19" i="15"/>
  <c r="N25" i="15"/>
  <c r="O25" i="15" s="1"/>
  <c r="P25" i="15" s="1"/>
  <c r="S25" i="15" s="1"/>
  <c r="N18" i="15"/>
  <c r="O18" i="15" s="1"/>
  <c r="P18" i="15" s="1"/>
  <c r="S18" i="15" s="1"/>
  <c r="N22" i="15"/>
  <c r="O22" i="15" s="1"/>
  <c r="P22" i="15" s="1"/>
  <c r="S22" i="15" s="1"/>
  <c r="N20" i="15"/>
  <c r="O20" i="15" s="1"/>
  <c r="P20" i="15" s="1"/>
  <c r="S20" i="15" s="1"/>
  <c r="U27" i="15"/>
  <c r="N27" i="15"/>
  <c r="O27" i="15" s="1"/>
  <c r="N28" i="10"/>
  <c r="O28" i="10" s="1"/>
  <c r="V28" i="10" s="1"/>
  <c r="V24" i="12"/>
  <c r="V23" i="12"/>
  <c r="M28" i="6"/>
  <c r="N28" i="6" s="1"/>
  <c r="O28" i="6" s="1"/>
  <c r="M29" i="6"/>
  <c r="U28" i="6"/>
  <c r="T25" i="6"/>
  <c r="M25" i="6"/>
  <c r="M26" i="6"/>
  <c r="M18" i="6"/>
  <c r="T23" i="6"/>
  <c r="M23" i="6"/>
  <c r="M22" i="6"/>
  <c r="M24" i="6"/>
  <c r="T20" i="6"/>
  <c r="M20" i="6"/>
  <c r="M19" i="6"/>
  <c r="M21" i="6"/>
  <c r="U19" i="10"/>
  <c r="U18" i="10"/>
  <c r="N24" i="10"/>
  <c r="O24" i="10" s="1"/>
  <c r="V24" i="10" s="1"/>
  <c r="N20" i="10"/>
  <c r="O20" i="10" s="1"/>
  <c r="P20" i="10" s="1"/>
  <c r="S20" i="10" s="1"/>
  <c r="U23" i="10"/>
  <c r="V23" i="10"/>
  <c r="U22" i="10"/>
  <c r="W19" i="15"/>
  <c r="Y19" i="15" s="1"/>
  <c r="V27" i="11"/>
  <c r="P26" i="16"/>
  <c r="S26" i="16" s="1"/>
  <c r="V23" i="11"/>
  <c r="P20" i="16"/>
  <c r="S20" i="16" s="1"/>
  <c r="V20" i="16"/>
  <c r="V29" i="15"/>
  <c r="X29" i="15" s="1"/>
  <c r="Z29" i="15" s="1"/>
  <c r="P20" i="11"/>
  <c r="S20" i="11" s="1"/>
  <c r="V20" i="11"/>
  <c r="V24" i="15"/>
  <c r="P28" i="10"/>
  <c r="S28" i="10" s="1"/>
  <c r="P26" i="11"/>
  <c r="S26" i="11" s="1"/>
  <c r="V26" i="11"/>
  <c r="P27" i="10"/>
  <c r="S27" i="10" s="1"/>
  <c r="V27" i="10"/>
  <c r="V24" i="16"/>
  <c r="P24" i="16"/>
  <c r="S24" i="16" s="1"/>
  <c r="P28" i="6"/>
  <c r="S28" i="6" s="1"/>
  <c r="V28" i="6"/>
  <c r="P18" i="11"/>
  <c r="S18" i="11" s="1"/>
  <c r="V18" i="11"/>
  <c r="P17" i="16"/>
  <c r="S17" i="16" s="1"/>
  <c r="V17" i="16"/>
  <c r="U26" i="15"/>
  <c r="N26" i="15"/>
  <c r="O26" i="15" s="1"/>
  <c r="N21" i="15"/>
  <c r="O21" i="15" s="1"/>
  <c r="U21" i="15"/>
  <c r="V18" i="15"/>
  <c r="U23" i="15"/>
  <c r="N23" i="15"/>
  <c r="O23" i="15" s="1"/>
  <c r="U28" i="15"/>
  <c r="N28" i="15"/>
  <c r="O28" i="15" s="1"/>
  <c r="U21" i="12"/>
  <c r="N21" i="12"/>
  <c r="O21" i="12" s="1"/>
  <c r="U25" i="12"/>
  <c r="N25" i="12"/>
  <c r="O25" i="12" s="1"/>
  <c r="N22" i="12"/>
  <c r="O22" i="12" s="1"/>
  <c r="U22" i="12"/>
  <c r="N27" i="12"/>
  <c r="O27" i="12" s="1"/>
  <c r="U27" i="12"/>
  <c r="P19" i="12"/>
  <c r="S19" i="12" s="1"/>
  <c r="V19" i="12"/>
  <c r="U25" i="11"/>
  <c r="N25" i="11"/>
  <c r="O25" i="11" s="1"/>
  <c r="P21" i="11"/>
  <c r="S21" i="11" s="1"/>
  <c r="V21" i="11"/>
  <c r="N19" i="11"/>
  <c r="O19" i="11" s="1"/>
  <c r="U19" i="11"/>
  <c r="P24" i="11"/>
  <c r="S24" i="11" s="1"/>
  <c r="V24" i="11"/>
  <c r="P29" i="11"/>
  <c r="S29" i="11" s="1"/>
  <c r="V29" i="11"/>
  <c r="P18" i="10"/>
  <c r="S18" i="10" s="1"/>
  <c r="V18" i="10"/>
  <c r="P22" i="10"/>
  <c r="S22" i="10" s="1"/>
  <c r="V22" i="10"/>
  <c r="P19" i="10"/>
  <c r="S19" i="10" s="1"/>
  <c r="V19" i="10"/>
  <c r="N21" i="10"/>
  <c r="O21" i="10" s="1"/>
  <c r="U21" i="10"/>
  <c r="N25" i="10"/>
  <c r="O25" i="10" s="1"/>
  <c r="U25" i="10"/>
  <c r="U26" i="10"/>
  <c r="N26" i="10"/>
  <c r="O26" i="10" s="1"/>
  <c r="P27" i="6"/>
  <c r="S27" i="6" s="1"/>
  <c r="V27" i="6"/>
  <c r="N18" i="12" l="1"/>
  <c r="O18" i="12" s="1"/>
  <c r="U18" i="12"/>
  <c r="U20" i="12"/>
  <c r="U26" i="12"/>
  <c r="N26" i="12"/>
  <c r="O26" i="12" s="1"/>
  <c r="N28" i="12"/>
  <c r="O28" i="12" s="1"/>
  <c r="U28" i="12"/>
  <c r="N29" i="12"/>
  <c r="O29" i="12" s="1"/>
  <c r="U29" i="12"/>
  <c r="V25" i="15"/>
  <c r="X25" i="15" s="1"/>
  <c r="Z25" i="15" s="1"/>
  <c r="V22" i="15"/>
  <c r="X22" i="15" s="1"/>
  <c r="Z22" i="15" s="1"/>
  <c r="W29" i="15"/>
  <c r="Y29" i="15" s="1"/>
  <c r="V20" i="15"/>
  <c r="P27" i="15"/>
  <c r="S27" i="15" s="1"/>
  <c r="V27" i="15"/>
  <c r="U21" i="6"/>
  <c r="N21" i="6"/>
  <c r="O21" i="6" s="1"/>
  <c r="U24" i="6"/>
  <c r="N24" i="6"/>
  <c r="O24" i="6" s="1"/>
  <c r="N18" i="6"/>
  <c r="O18" i="6" s="1"/>
  <c r="U18" i="6"/>
  <c r="N19" i="6"/>
  <c r="O19" i="6" s="1"/>
  <c r="U19" i="6"/>
  <c r="N22" i="6"/>
  <c r="O22" i="6" s="1"/>
  <c r="U22" i="6"/>
  <c r="N26" i="6"/>
  <c r="O26" i="6" s="1"/>
  <c r="U26" i="6"/>
  <c r="N29" i="6"/>
  <c r="O29" i="6" s="1"/>
  <c r="U29" i="6"/>
  <c r="U20" i="6"/>
  <c r="N20" i="6"/>
  <c r="O20" i="6" s="1"/>
  <c r="N23" i="6"/>
  <c r="O23" i="6" s="1"/>
  <c r="U23" i="6"/>
  <c r="N25" i="6"/>
  <c r="O25" i="6" s="1"/>
  <c r="U25" i="6"/>
  <c r="P24" i="10"/>
  <c r="S24" i="10" s="1"/>
  <c r="V20" i="10"/>
  <c r="W24" i="15"/>
  <c r="Y24" i="15" s="1"/>
  <c r="X24" i="15"/>
  <c r="Z24" i="15" s="1"/>
  <c r="P21" i="15"/>
  <c r="S21" i="15" s="1"/>
  <c r="V21" i="15"/>
  <c r="W18" i="15"/>
  <c r="Y18" i="15" s="1"/>
  <c r="X18" i="15"/>
  <c r="Z18" i="15" s="1"/>
  <c r="P26" i="15"/>
  <c r="S26" i="15" s="1"/>
  <c r="V26" i="15"/>
  <c r="P28" i="15"/>
  <c r="S28" i="15" s="1"/>
  <c r="V28" i="15"/>
  <c r="P23" i="15"/>
  <c r="S23" i="15" s="1"/>
  <c r="V23" i="15"/>
  <c r="P22" i="12"/>
  <c r="S22" i="12" s="1"/>
  <c r="V22" i="12"/>
  <c r="P21" i="12"/>
  <c r="S21" i="12" s="1"/>
  <c r="V21" i="12"/>
  <c r="P27" i="12"/>
  <c r="S27" i="12" s="1"/>
  <c r="V27" i="12"/>
  <c r="P20" i="12"/>
  <c r="S20" i="12" s="1"/>
  <c r="V20" i="12"/>
  <c r="P25" i="12"/>
  <c r="S25" i="12" s="1"/>
  <c r="V25" i="12"/>
  <c r="P25" i="11"/>
  <c r="S25" i="11" s="1"/>
  <c r="V25" i="11"/>
  <c r="P19" i="11"/>
  <c r="S19" i="11" s="1"/>
  <c r="V19" i="11"/>
  <c r="P21" i="10"/>
  <c r="S21" i="10" s="1"/>
  <c r="V21" i="10"/>
  <c r="P25" i="10"/>
  <c r="S25" i="10" s="1"/>
  <c r="V25" i="10"/>
  <c r="V26" i="10"/>
  <c r="P26" i="10"/>
  <c r="S26" i="10" s="1"/>
  <c r="V28" i="12" l="1"/>
  <c r="P28" i="12"/>
  <c r="S28" i="12" s="1"/>
  <c r="P26" i="12"/>
  <c r="S26" i="12" s="1"/>
  <c r="V26" i="12"/>
  <c r="P18" i="12"/>
  <c r="S18" i="12" s="1"/>
  <c r="V18" i="12"/>
  <c r="P29" i="12"/>
  <c r="S29" i="12" s="1"/>
  <c r="V29" i="12"/>
  <c r="W22" i="15"/>
  <c r="Y22" i="15" s="1"/>
  <c r="W25" i="15"/>
  <c r="Y25" i="15" s="1"/>
  <c r="X20" i="15"/>
  <c r="Z20" i="15" s="1"/>
  <c r="W20" i="15"/>
  <c r="Y20" i="15" s="1"/>
  <c r="W27" i="15"/>
  <c r="Y27" i="15" s="1"/>
  <c r="X27" i="15"/>
  <c r="Z27" i="15" s="1"/>
  <c r="P25" i="6"/>
  <c r="S25" i="6" s="1"/>
  <c r="V25" i="6"/>
  <c r="P26" i="6"/>
  <c r="S26" i="6" s="1"/>
  <c r="V26" i="6"/>
  <c r="P19" i="6"/>
  <c r="S19" i="6" s="1"/>
  <c r="V19" i="6"/>
  <c r="P21" i="6"/>
  <c r="S21" i="6" s="1"/>
  <c r="V21" i="6"/>
  <c r="P23" i="6"/>
  <c r="S23" i="6" s="1"/>
  <c r="V23" i="6"/>
  <c r="P29" i="6"/>
  <c r="S29" i="6" s="1"/>
  <c r="V29" i="6"/>
  <c r="P22" i="6"/>
  <c r="S22" i="6" s="1"/>
  <c r="V22" i="6"/>
  <c r="P18" i="6"/>
  <c r="S18" i="6" s="1"/>
  <c r="V18" i="6"/>
  <c r="P20" i="6"/>
  <c r="S20" i="6" s="1"/>
  <c r="V20" i="6"/>
  <c r="P24" i="6"/>
  <c r="S24" i="6" s="1"/>
  <c r="V24" i="6"/>
  <c r="X23" i="15"/>
  <c r="Z23" i="15" s="1"/>
  <c r="W23" i="15"/>
  <c r="Y23" i="15" s="1"/>
  <c r="X26" i="15"/>
  <c r="Z26" i="15" s="1"/>
  <c r="W26" i="15"/>
  <c r="Y26" i="15" s="1"/>
  <c r="X21" i="15"/>
  <c r="Z21" i="15" s="1"/>
  <c r="W21" i="15"/>
  <c r="Y21" i="15" s="1"/>
  <c r="W28" i="15"/>
  <c r="Y28" i="15" s="1"/>
  <c r="X28" i="15"/>
  <c r="Z28" i="15" s="1"/>
</calcChain>
</file>

<file path=xl/sharedStrings.xml><?xml version="1.0" encoding="utf-8"?>
<sst xmlns="http://schemas.openxmlformats.org/spreadsheetml/2006/main" count="1157" uniqueCount="335">
  <si>
    <t>Depth [cm]</t>
  </si>
  <si>
    <t>Sample Name</t>
  </si>
  <si>
    <t>Sampling Date</t>
  </si>
  <si>
    <t>Sample &lt;2mm [g]</t>
  </si>
  <si>
    <t>Bag [g]</t>
  </si>
  <si>
    <t>Number</t>
  </si>
  <si>
    <t>Sample</t>
  </si>
  <si>
    <t>glas empty [g]</t>
  </si>
  <si>
    <t>glas with soil [g]</t>
  </si>
  <si>
    <t>glas 105°C [g]</t>
  </si>
  <si>
    <t>water weight [g]</t>
  </si>
  <si>
    <t>TOC [%]</t>
  </si>
  <si>
    <t>IC [%]</t>
  </si>
  <si>
    <t>IC-corr [%]</t>
  </si>
  <si>
    <t>OC [%]</t>
  </si>
  <si>
    <t>OC-corr [%]</t>
  </si>
  <si>
    <t>OC-corr [g/kg]</t>
  </si>
  <si>
    <t>TN[%]</t>
  </si>
  <si>
    <t>TN-corr [%]</t>
  </si>
  <si>
    <t>TN-corr [g/kg]</t>
  </si>
  <si>
    <t>CN-ratio (corr)</t>
  </si>
  <si>
    <t>weight of glass</t>
  </si>
  <si>
    <t>fresh weight</t>
  </si>
  <si>
    <t>dry weight</t>
  </si>
  <si>
    <t>weight</t>
  </si>
  <si>
    <t>gravimetric</t>
  </si>
  <si>
    <t>dry matter content</t>
  </si>
  <si>
    <t>weight of Falcon tube</t>
  </si>
  <si>
    <t>fresh weight (brutto)</t>
  </si>
  <si>
    <t>fresh weight (netto)</t>
  </si>
  <si>
    <t>dry weight (netto)</t>
  </si>
  <si>
    <t>weight 100%WHC(brutto)</t>
  </si>
  <si>
    <t>weight 100%WHC(netto)</t>
  </si>
  <si>
    <t>WHCmax fresh sample [%]</t>
  </si>
  <si>
    <t>factor WHC 60%</t>
  </si>
  <si>
    <t>OC</t>
  </si>
  <si>
    <t>sample weight (dry)</t>
  </si>
  <si>
    <t>water addition for 60% WHC</t>
  </si>
  <si>
    <t>with glass</t>
  </si>
  <si>
    <t>water</t>
  </si>
  <si>
    <t>water content</t>
  </si>
  <si>
    <t>with Falcon Tube</t>
  </si>
  <si>
    <t>without Falcon Tube</t>
  </si>
  <si>
    <t>without Falcon tube</t>
  </si>
  <si>
    <t>[g]</t>
  </si>
  <si>
    <t>(105°C) [g]</t>
  </si>
  <si>
    <t>(105°C) [%]</t>
  </si>
  <si>
    <t>[%]</t>
  </si>
  <si>
    <t>fresh weight [g]</t>
  </si>
  <si>
    <t>drymatter content</t>
  </si>
  <si>
    <t>water content [%]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</si>
  <si>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</si>
  <si>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</si>
  <si>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</si>
  <si>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</si>
  <si>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</si>
  <si>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</si>
  <si>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</si>
  <si>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</si>
  <si>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</si>
  <si>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</si>
  <si>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Start_Date_Incubation</t>
  </si>
  <si>
    <t>Preincubation</t>
  </si>
  <si>
    <t>[hPa]</t>
  </si>
  <si>
    <t>[ml]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</si>
  <si>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</si>
  <si>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</si>
  <si>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</si>
  <si>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</si>
  <si>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</si>
  <si>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</si>
  <si>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</si>
  <si>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</si>
  <si>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</si>
  <si>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</si>
  <si>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</si>
  <si>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</si>
  <si>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</si>
  <si>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</si>
  <si>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Sample site</t>
  </si>
  <si>
    <t>End_Date</t>
  </si>
  <si>
    <t>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</si>
  <si>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</si>
  <si>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</si>
  <si>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</si>
  <si>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</si>
  <si>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</si>
  <si>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</si>
  <si>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</si>
  <si>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</si>
  <si>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C/Canister</t>
  </si>
  <si>
    <t>C retrieval</t>
  </si>
  <si>
    <t>ppm CO2</t>
  </si>
  <si>
    <t>% CO2</t>
  </si>
  <si>
    <t>no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</si>
  <si>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</si>
  <si>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</si>
  <si>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</si>
  <si>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</si>
  <si>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</si>
  <si>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</si>
  <si>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mbar</t>
  </si>
  <si>
    <t>%</t>
  </si>
  <si>
    <t>Date:</t>
  </si>
  <si>
    <t>Time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</si>
  <si>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</si>
  <si>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</si>
  <si>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</si>
  <si>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</si>
  <si>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</si>
  <si>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</si>
  <si>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</si>
  <si>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</si>
  <si>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</si>
  <si>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</si>
  <si>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</si>
  <si>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</si>
  <si>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Name</t>
  </si>
  <si>
    <t>mg/h</t>
  </si>
  <si>
    <t>C production</t>
  </si>
  <si>
    <t>HEW22</t>
  </si>
  <si>
    <t>HEW41</t>
  </si>
  <si>
    <t>HEW42</t>
  </si>
  <si>
    <t>HEG10</t>
  </si>
  <si>
    <t>HEG32</t>
  </si>
  <si>
    <t>HEG48</t>
  </si>
  <si>
    <t>Field sample [g]</t>
  </si>
  <si>
    <t>Sieving rest [g]</t>
  </si>
  <si>
    <t>Field</t>
  </si>
  <si>
    <t>Water loss [g]</t>
  </si>
  <si>
    <t>Water loss [%]</t>
  </si>
  <si>
    <t>#</t>
  </si>
  <si>
    <t>HEW22-1</t>
  </si>
  <si>
    <t>HEW22-2</t>
  </si>
  <si>
    <t>HEW41-1</t>
  </si>
  <si>
    <t>HEW41-2</t>
  </si>
  <si>
    <t>HEW42-1</t>
  </si>
  <si>
    <t>HEG10-1</t>
  </si>
  <si>
    <t>HEG32-1</t>
  </si>
  <si>
    <t>HEG48-1</t>
  </si>
  <si>
    <t>HEG10-2</t>
  </si>
  <si>
    <t>HEG32-2</t>
  </si>
  <si>
    <t>HEG48-2</t>
  </si>
  <si>
    <t>P_Jar</t>
  </si>
  <si>
    <t>Leakage</t>
  </si>
  <si>
    <t>HEW42-2</t>
  </si>
  <si>
    <t>time</t>
  </si>
  <si>
    <t>14C: samples were taken with evacuated Restek containers</t>
  </si>
  <si>
    <t>13C: samples were extracted with 60 ml syringe and injected in He flushed Exetainers (flushed for 30min at 30ml/min), two blanks of calibration gas were done</t>
  </si>
  <si>
    <t>5d</t>
  </si>
  <si>
    <t>7d</t>
  </si>
  <si>
    <t>Dried</t>
  </si>
  <si>
    <t>HEW22-1_dry</t>
  </si>
  <si>
    <t>HEW22-2_dry</t>
  </si>
  <si>
    <t>HEW41-1_dry</t>
  </si>
  <si>
    <t>HEW41-2_dry</t>
  </si>
  <si>
    <t>HEW42-1_dry</t>
  </si>
  <si>
    <t>HEW42-2_dry</t>
  </si>
  <si>
    <t>HEG10-1_dry</t>
  </si>
  <si>
    <t>HEG10-2_dry</t>
  </si>
  <si>
    <t>HEG32-1_dry</t>
  </si>
  <si>
    <t>HEG32-2_dry</t>
  </si>
  <si>
    <t>HEG48-1_dry</t>
  </si>
  <si>
    <t>HEG48-2_dry</t>
  </si>
  <si>
    <t>equivalent of dry soil approved by Jeff</t>
  </si>
  <si>
    <t>13C/14C sampled</t>
  </si>
  <si>
    <t>27_</t>
  </si>
  <si>
    <t>28_</t>
  </si>
  <si>
    <t>29_</t>
  </si>
  <si>
    <t>30_</t>
  </si>
  <si>
    <t>31_</t>
  </si>
  <si>
    <t>32_</t>
  </si>
  <si>
    <t>33_</t>
  </si>
  <si>
    <t>34_</t>
  </si>
  <si>
    <t>35_</t>
  </si>
  <si>
    <t>36_</t>
  </si>
  <si>
    <t>37_</t>
  </si>
  <si>
    <t>38_</t>
  </si>
  <si>
    <t>41_</t>
  </si>
  <si>
    <t>42_</t>
  </si>
  <si>
    <t>39_</t>
  </si>
  <si>
    <t>40_</t>
  </si>
  <si>
    <t>43_</t>
  </si>
  <si>
    <t>44_</t>
  </si>
  <si>
    <t>45_</t>
  </si>
  <si>
    <t>46_</t>
  </si>
  <si>
    <t>47_</t>
  </si>
  <si>
    <t>48_</t>
  </si>
  <si>
    <t>49_</t>
  </si>
  <si>
    <t>50_</t>
  </si>
  <si>
    <t>51_</t>
  </si>
  <si>
    <t>52_</t>
  </si>
  <si>
    <t>Std_flushed</t>
  </si>
  <si>
    <t>53_</t>
  </si>
  <si>
    <t>Std_</t>
  </si>
  <si>
    <t>15min</t>
  </si>
  <si>
    <t>_15112019</t>
  </si>
  <si>
    <t>1_</t>
  </si>
  <si>
    <t>2_</t>
  </si>
  <si>
    <t>3_</t>
  </si>
  <si>
    <t>4_</t>
  </si>
  <si>
    <t>5_</t>
  </si>
  <si>
    <t>6_</t>
  </si>
  <si>
    <t>7_</t>
  </si>
  <si>
    <t>10_</t>
  </si>
  <si>
    <t>8_</t>
  </si>
  <si>
    <t>9_</t>
  </si>
  <si>
    <t>11_</t>
  </si>
  <si>
    <t>12_</t>
  </si>
  <si>
    <t>13_</t>
  </si>
  <si>
    <t>_22112019</t>
  </si>
  <si>
    <t>13C/14C sampled 22.11.19</t>
  </si>
  <si>
    <t>_PRE_15112019</t>
  </si>
  <si>
    <t>_INC_22112019</t>
  </si>
  <si>
    <t>Analysis No.</t>
  </si>
  <si>
    <t>Ampl. 44</t>
  </si>
  <si>
    <t>Ampl. 45</t>
  </si>
  <si>
    <t>Ampl. 46</t>
  </si>
  <si>
    <t>ID 1</t>
  </si>
  <si>
    <t>ID 2</t>
  </si>
  <si>
    <t>preparation</t>
  </si>
  <si>
    <t>sample assignment</t>
  </si>
  <si>
    <r>
      <t xml:space="preserve">final time </t>
    </r>
    <r>
      <rPr>
        <b/>
        <sz val="9"/>
        <rFont val="Arial"/>
        <family val="2"/>
      </rPr>
      <t>date</t>
    </r>
  </si>
  <si>
    <t>error  *</t>
  </si>
  <si>
    <t>offset corr sample</t>
  </si>
  <si>
    <t xml:space="preserve">dilution </t>
  </si>
  <si>
    <t>ppm</t>
  </si>
  <si>
    <t>diff.abs.</t>
  </si>
  <si>
    <t>Attention! Please note that values with Amplitude low can have a higher error bar.</t>
  </si>
  <si>
    <t>d13C</t>
  </si>
  <si>
    <t>17306</t>
  </si>
  <si>
    <t>27</t>
  </si>
  <si>
    <t>27_HEW22-1_dry_15112019</t>
  </si>
  <si>
    <t/>
  </si>
  <si>
    <t>17307</t>
  </si>
  <si>
    <t>17308</t>
  </si>
  <si>
    <t>28</t>
  </si>
  <si>
    <t>28_HEW22-2_dry_15112019</t>
  </si>
  <si>
    <t>17309</t>
  </si>
  <si>
    <t>17311</t>
  </si>
  <si>
    <t>29</t>
  </si>
  <si>
    <t>29_HEW41-1_dry_15112019</t>
  </si>
  <si>
    <t>17312</t>
  </si>
  <si>
    <t>17313</t>
  </si>
  <si>
    <t>30</t>
  </si>
  <si>
    <t>30_HEW41-2_dry_15112019</t>
  </si>
  <si>
    <t>17314</t>
  </si>
  <si>
    <t>17317</t>
  </si>
  <si>
    <t>31</t>
  </si>
  <si>
    <t>31_HEW42-1_dry_15112019</t>
  </si>
  <si>
    <t>17318</t>
  </si>
  <si>
    <t>17319</t>
  </si>
  <si>
    <t>32</t>
  </si>
  <si>
    <t>32_HEW42-2_dry_15112019</t>
  </si>
  <si>
    <t>17320</t>
  </si>
  <si>
    <t>17322</t>
  </si>
  <si>
    <t>33</t>
  </si>
  <si>
    <t>33_HEG10-1_dry_15112019</t>
  </si>
  <si>
    <t>17323</t>
  </si>
  <si>
    <t>17324</t>
  </si>
  <si>
    <t>34</t>
  </si>
  <si>
    <t>34_HEG10-2_dry_15112019</t>
  </si>
  <si>
    <t>17325</t>
  </si>
  <si>
    <t>17328</t>
  </si>
  <si>
    <t>35</t>
  </si>
  <si>
    <t>35_HEG32-1_dry_15112019</t>
  </si>
  <si>
    <t>17329</t>
  </si>
  <si>
    <t>17330</t>
  </si>
  <si>
    <t>36</t>
  </si>
  <si>
    <t>36_HEG32-2_dry_15112019</t>
  </si>
  <si>
    <t>17331</t>
  </si>
  <si>
    <t>17333</t>
  </si>
  <si>
    <t>37</t>
  </si>
  <si>
    <t>37_HEG48-1_dry_15112019</t>
  </si>
  <si>
    <t>17334</t>
  </si>
  <si>
    <t>17335</t>
  </si>
  <si>
    <t>38</t>
  </si>
  <si>
    <t>38_HEG48-2_dry_15112019</t>
  </si>
  <si>
    <t>17336</t>
  </si>
  <si>
    <t>17339</t>
  </si>
  <si>
    <t>39</t>
  </si>
  <si>
    <t>39_Std_flushed_15112019</t>
  </si>
  <si>
    <t>17340</t>
  </si>
  <si>
    <t>17515</t>
  </si>
  <si>
    <t>1</t>
  </si>
  <si>
    <t>1_HEW22-1_dry_22112019</t>
  </si>
  <si>
    <t>17516</t>
  </si>
  <si>
    <t>17517</t>
  </si>
  <si>
    <t>2</t>
  </si>
  <si>
    <t>2_HEW22-2_dry_22112019</t>
  </si>
  <si>
    <t>17518</t>
  </si>
  <si>
    <t>17520</t>
  </si>
  <si>
    <t>3</t>
  </si>
  <si>
    <t>3_HEW41-1_dry_22112019</t>
  </si>
  <si>
    <t>17521</t>
  </si>
  <si>
    <t>17522</t>
  </si>
  <si>
    <t>4</t>
  </si>
  <si>
    <t>4_HEW41-2_dry_22112019</t>
  </si>
  <si>
    <t>17523</t>
  </si>
  <si>
    <t>17526</t>
  </si>
  <si>
    <t>5</t>
  </si>
  <si>
    <t>5_HEW42-1_dry_22112019</t>
  </si>
  <si>
    <t>17527</t>
  </si>
  <si>
    <t>17528</t>
  </si>
  <si>
    <t>6</t>
  </si>
  <si>
    <t>6_HEW42-2_dry_22112019</t>
  </si>
  <si>
    <t>17529</t>
  </si>
  <si>
    <t>17531</t>
  </si>
  <si>
    <t>7</t>
  </si>
  <si>
    <t>7_HEG10-1_dry_22112019</t>
  </si>
  <si>
    <t>17532</t>
  </si>
  <si>
    <t>17533</t>
  </si>
  <si>
    <t>8</t>
  </si>
  <si>
    <t>8_HEG10-2_dry_22112019</t>
  </si>
  <si>
    <t>17534</t>
  </si>
  <si>
    <t>17537</t>
  </si>
  <si>
    <t>9</t>
  </si>
  <si>
    <t>9_HEG32-1_dry_22112019</t>
  </si>
  <si>
    <t>17538</t>
  </si>
  <si>
    <t>17539</t>
  </si>
  <si>
    <t>10</t>
  </si>
  <si>
    <t>10_HEG32-2_dry_22112019</t>
  </si>
  <si>
    <t>17540</t>
  </si>
  <si>
    <t>17542</t>
  </si>
  <si>
    <t>11</t>
  </si>
  <si>
    <t>11_HEG48-1_dry_22112019</t>
  </si>
  <si>
    <t>17543</t>
  </si>
  <si>
    <t>17544</t>
  </si>
  <si>
    <t>12</t>
  </si>
  <si>
    <t>12_HEG48-2_dry_22112019</t>
  </si>
  <si>
    <t>17545</t>
  </si>
  <si>
    <t>17548</t>
  </si>
  <si>
    <t>13</t>
  </si>
  <si>
    <t>13_Std_flushed_22112019</t>
  </si>
  <si>
    <t>17549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</si>
</sst>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"/>
    <numFmt numFmtId="166" formatCode="0.0000"/>
    <numFmt numFmtId="167" formatCode="0.0"/>
    <numFmt numFmtId="168" formatCode="0.0%"/>
    <numFmt numFmtId="169" formatCode="h:mm;@"/>
    <numFmt numFmtId="170" formatCode="d/m/yy\ h:mm;@"/>
  </numFmts>
  <fonts count="23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6" fillId="0" borderId="0"/>
  </cellStyleXfs>
  <cellXfs count="1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2" fontId="0" fillId="3" borderId="0" xfId="0" applyNumberFormat="1" applyFill="1"/>
    <xf numFmtId="2" fontId="0" fillId="4" borderId="3" xfId="0" applyNumberFormat="1" applyFill="1" applyBorder="1"/>
    <xf numFmtId="2" fontId="0" fillId="0" borderId="0" xfId="0" applyNumberFormat="1"/>
    <xf numFmtId="2" fontId="0" fillId="4" borderId="4" xfId="0" applyNumberForma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9" fontId="0" fillId="3" borderId="0" xfId="0" applyNumberFormat="1" applyFill="1"/>
    <xf numFmtId="0" fontId="3" fillId="9" borderId="0" xfId="1" applyFont="1" applyFill="1" applyBorder="1" applyAlignment="1">
      <alignment horizontal="center"/>
    </xf>
    <xf numFmtId="2" fontId="3" fillId="9" borderId="0" xfId="1" applyNumberFormat="1" applyFont="1" applyFill="1" applyBorder="1" applyAlignment="1">
      <alignment horizontal="center"/>
    </xf>
    <xf numFmtId="1" fontId="3" fillId="9" borderId="6" xfId="1" applyNumberFormat="1" applyFont="1" applyFill="1" applyBorder="1" applyAlignment="1">
      <alignment horizontal="center"/>
    </xf>
    <xf numFmtId="2" fontId="3" fillId="10" borderId="0" xfId="1" applyNumberFormat="1" applyFont="1" applyFill="1" applyBorder="1" applyAlignment="1">
      <alignment horizontal="center"/>
    </xf>
    <xf numFmtId="2" fontId="3" fillId="10" borderId="6" xfId="1" applyNumberFormat="1" applyFont="1" applyFill="1" applyBorder="1" applyAlignment="1">
      <alignment horizontal="center"/>
    </xf>
    <xf numFmtId="0" fontId="3" fillId="11" borderId="0" xfId="1" applyFont="1" applyFill="1" applyBorder="1" applyAlignment="1">
      <alignment horizontal="center"/>
    </xf>
    <xf numFmtId="0" fontId="4" fillId="9" borderId="9" xfId="1" applyFont="1" applyFill="1" applyBorder="1" applyAlignment="1">
      <alignment horizontal="center"/>
    </xf>
    <xf numFmtId="0" fontId="4" fillId="9" borderId="10" xfId="1" applyFont="1" applyFill="1" applyBorder="1" applyAlignment="1">
      <alignment horizontal="center"/>
    </xf>
    <xf numFmtId="0" fontId="4" fillId="10" borderId="9" xfId="1" applyFont="1" applyFill="1" applyBorder="1" applyAlignment="1">
      <alignment horizontal="center"/>
    </xf>
    <xf numFmtId="0" fontId="4" fillId="10" borderId="10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1" fontId="4" fillId="0" borderId="6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2" fontId="4" fillId="0" borderId="6" xfId="1" applyNumberFormat="1" applyFont="1" applyFill="1" applyBorder="1" applyAlignment="1">
      <alignment horizontal="center"/>
    </xf>
    <xf numFmtId="22" fontId="4" fillId="0" borderId="0" xfId="1" applyNumberFormat="1" applyFont="1" applyFill="1" applyAlignment="1">
      <alignment horizontal="center"/>
    </xf>
    <xf numFmtId="0" fontId="3" fillId="12" borderId="2" xfId="1" applyFont="1" applyFill="1" applyBorder="1" applyAlignment="1">
      <alignment horizontal="center"/>
    </xf>
    <xf numFmtId="0" fontId="3" fillId="9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0" borderId="0" xfId="1"/>
    <xf numFmtId="0" fontId="5" fillId="0" borderId="0" xfId="1" applyFont="1" applyBorder="1" applyAlignment="1">
      <alignment horizontal="center"/>
    </xf>
    <xf numFmtId="1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2" fillId="0" borderId="0" xfId="1" applyFill="1"/>
    <xf numFmtId="166" fontId="4" fillId="0" borderId="0" xfId="1" applyNumberFormat="1" applyFont="1" applyFill="1" applyAlignment="1">
      <alignment horizontal="center"/>
    </xf>
    <xf numFmtId="0" fontId="8" fillId="0" borderId="0" xfId="1" applyFont="1"/>
    <xf numFmtId="164" fontId="4" fillId="0" borderId="0" xfId="1" applyNumberFormat="1" applyFont="1" applyFill="1" applyAlignment="1">
      <alignment horizontal="right"/>
    </xf>
    <xf numFmtId="0" fontId="2" fillId="0" borderId="0" xfId="1" applyAlignment="1">
      <alignment horizontal="center"/>
    </xf>
    <xf numFmtId="0" fontId="9" fillId="0" borderId="0" xfId="1" applyFont="1"/>
    <xf numFmtId="164" fontId="2" fillId="0" borderId="0" xfId="1" applyNumberFormat="1" applyAlignment="1">
      <alignment horizontal="right"/>
    </xf>
    <xf numFmtId="0" fontId="10" fillId="0" borderId="0" xfId="1" applyFont="1"/>
    <xf numFmtId="0" fontId="3" fillId="13" borderId="2" xfId="1" applyFont="1" applyFill="1" applyBorder="1" applyAlignment="1">
      <alignment horizontal="center"/>
    </xf>
    <xf numFmtId="2" fontId="3" fillId="13" borderId="2" xfId="1" applyNumberFormat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3" fillId="13" borderId="11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12" xfId="1" applyFont="1" applyBorder="1" applyAlignment="1">
      <alignment horizontal="center"/>
    </xf>
    <xf numFmtId="22" fontId="4" fillId="0" borderId="0" xfId="1" applyNumberFormat="1" applyFont="1" applyFill="1" applyBorder="1" applyAlignment="1">
      <alignment horizontal="center"/>
    </xf>
    <xf numFmtId="0" fontId="4" fillId="14" borderId="13" xfId="1" applyFont="1" applyFill="1" applyBorder="1" applyAlignment="1">
      <alignment horizontal="center"/>
    </xf>
    <xf numFmtId="0" fontId="4" fillId="14" borderId="14" xfId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22" fontId="4" fillId="0" borderId="12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/>
    <xf numFmtId="0" fontId="4" fillId="14" borderId="15" xfId="1" applyFont="1" applyFill="1" applyBorder="1" applyAlignment="1">
      <alignment horizontal="center"/>
    </xf>
    <xf numFmtId="0" fontId="4" fillId="14" borderId="16" xfId="1" applyFont="1" applyFill="1" applyBorder="1" applyAlignment="1">
      <alignment horizontal="center"/>
    </xf>
    <xf numFmtId="0" fontId="4" fillId="0" borderId="15" xfId="1" applyFont="1" applyFill="1" applyBorder="1" applyAlignment="1">
      <alignment horizontal="center"/>
    </xf>
    <xf numFmtId="0" fontId="4" fillId="0" borderId="16" xfId="1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/>
    </xf>
    <xf numFmtId="165" fontId="4" fillId="0" borderId="0" xfId="1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0" fontId="5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169" fontId="4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15" borderId="0" xfId="0" applyNumberFormat="1" applyFill="1"/>
    <xf numFmtId="2" fontId="4" fillId="15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Fill="1" applyBorder="1" applyAlignment="1">
      <alignment horizontal="left"/>
    </xf>
    <xf numFmtId="0" fontId="0" fillId="0" borderId="0" xfId="0" applyAlignment="1">
      <alignment horizontal="center"/>
    </xf>
    <xf numFmtId="49" fontId="4" fillId="0" borderId="0" xfId="1" applyNumberFormat="1" applyFont="1" applyAlignment="1">
      <alignment horizontal="center"/>
    </xf>
    <xf numFmtId="49" fontId="4" fillId="0" borderId="0" xfId="1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7" fillId="0" borderId="0" xfId="2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7" fillId="0" borderId="0" xfId="2" applyFont="1" applyFill="1" applyBorder="1" applyAlignment="1" applyProtection="1">
      <alignment horizontal="center" vertical="center" wrapText="1"/>
    </xf>
    <xf numFmtId="0" fontId="19" fillId="0" borderId="0" xfId="2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0" fillId="0" borderId="0" xfId="0" applyFont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1" fillId="0" borderId="0" xfId="0" applyNumberFormat="1" applyFont="1" applyFill="1" applyBorder="1" applyAlignment="1">
      <alignment horizontal="center"/>
    </xf>
    <xf numFmtId="170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/>
    <xf numFmtId="2" fontId="22" fillId="10" borderId="0" xfId="0" applyNumberFormat="1" applyFont="1" applyFill="1"/>
  </cellXfs>
  <cellStyles count="3">
    <cellStyle name="Standard" xfId="0" builtinId="0"/>
    <cellStyle name="Standard 3" xfId="1"/>
    <cellStyle name="Standard_Au_Dataimport2003" xfId="2"/>
  </cellStyles>
  <dxfs count="1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Pre_12.11.19!$D$3:$D$15</c:f>
              <c:numCache>
                <c:formatCode>0.00</c:formatCode>
                <c:ptCount val="13"/>
                <c:pt idx="0">
                  <c:v>1679.8</c:v>
                </c:pt>
                <c:pt idx="1">
                  <c:v>1492</c:v>
                </c:pt>
                <c:pt idx="2">
                  <c:v>1358.1</c:v>
                </c:pt>
                <c:pt idx="3">
                  <c:v>1192.3</c:v>
                </c:pt>
                <c:pt idx="4">
                  <c:v>1046.2</c:v>
                </c:pt>
                <c:pt idx="5">
                  <c:v>872.95</c:v>
                </c:pt>
                <c:pt idx="6">
                  <c:v>733.07</c:v>
                </c:pt>
                <c:pt idx="7">
                  <c:v>505.08</c:v>
                </c:pt>
                <c:pt idx="8">
                  <c:v>363.13</c:v>
                </c:pt>
                <c:pt idx="9" formatCode="General">
                  <c:v>142.86000000000001</c:v>
                </c:pt>
                <c:pt idx="10" formatCode="General">
                  <c:v>66.721999999999994</c:v>
                </c:pt>
                <c:pt idx="11" formatCode="General">
                  <c:v>30.385999999999999</c:v>
                </c:pt>
                <c:pt idx="12" formatCode="General">
                  <c:v>0</c:v>
                </c:pt>
              </c:numCache>
            </c:numRef>
          </c:xVal>
          <c:yVal>
            <c:numRef>
              <c:f>Pre_12.11.19!$F$3:$F$15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81760"/>
        <c:axId val="97382336"/>
      </c:scatterChart>
      <c:valAx>
        <c:axId val="9738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7382336"/>
        <c:crosses val="autoZero"/>
        <c:crossBetween val="midCat"/>
      </c:valAx>
      <c:valAx>
        <c:axId val="9738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738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Inc_18.11.19!$E$3:$E$15</c:f>
              <c:numCache>
                <c:formatCode>0.00</c:formatCode>
                <c:ptCount val="13"/>
                <c:pt idx="0">
                  <c:v>463.23</c:v>
                </c:pt>
                <c:pt idx="1">
                  <c:v>411.26</c:v>
                </c:pt>
                <c:pt idx="2">
                  <c:v>362.87</c:v>
                </c:pt>
                <c:pt idx="3">
                  <c:v>331.86</c:v>
                </c:pt>
                <c:pt idx="4">
                  <c:v>286.85000000000002</c:v>
                </c:pt>
                <c:pt idx="5">
                  <c:v>247.92</c:v>
                </c:pt>
                <c:pt idx="6">
                  <c:v>211.32</c:v>
                </c:pt>
                <c:pt idx="7">
                  <c:v>152.19</c:v>
                </c:pt>
                <c:pt idx="8">
                  <c:v>108.64</c:v>
                </c:pt>
                <c:pt idx="9" formatCode="General">
                  <c:v>43.515000000000001</c:v>
                </c:pt>
                <c:pt idx="10" formatCode="General">
                  <c:v>23.704000000000001</c:v>
                </c:pt>
                <c:pt idx="11" formatCode="General">
                  <c:v>11.56</c:v>
                </c:pt>
                <c:pt idx="12" formatCode="General">
                  <c:v>0</c:v>
                </c:pt>
              </c:numCache>
            </c:numRef>
          </c:xVal>
          <c:yVal>
            <c:numRef>
              <c:f>Inc_18.11.19!$F$3:$F$15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31328"/>
        <c:axId val="132531904"/>
      </c:scatterChart>
      <c:valAx>
        <c:axId val="13253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531904"/>
        <c:crosses val="autoZero"/>
        <c:crossBetween val="midCat"/>
      </c:valAx>
      <c:valAx>
        <c:axId val="13253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53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Inc_21.11.19!$D$3:$D$14</c:f>
              <c:numCache>
                <c:formatCode>0.00</c:formatCode>
                <c:ptCount val="12"/>
                <c:pt idx="0">
                  <c:v>1738.8</c:v>
                </c:pt>
                <c:pt idx="1">
                  <c:v>1575.7</c:v>
                </c:pt>
                <c:pt idx="2">
                  <c:v>1422.8</c:v>
                </c:pt>
                <c:pt idx="3">
                  <c:v>1240.0999999999999</c:v>
                </c:pt>
                <c:pt idx="4">
                  <c:v>1117.0999999999999</c:v>
                </c:pt>
                <c:pt idx="5">
                  <c:v>868.69</c:v>
                </c:pt>
                <c:pt idx="6">
                  <c:v>718.01</c:v>
                </c:pt>
                <c:pt idx="7">
                  <c:v>494.83</c:v>
                </c:pt>
                <c:pt idx="8">
                  <c:v>379.81</c:v>
                </c:pt>
                <c:pt idx="9" formatCode="General">
                  <c:v>151.01</c:v>
                </c:pt>
                <c:pt idx="10" formatCode="General">
                  <c:v>72.843999999999994</c:v>
                </c:pt>
                <c:pt idx="11" formatCode="General">
                  <c:v>34.023000000000003</c:v>
                </c:pt>
              </c:numCache>
            </c:numRef>
          </c:xVal>
          <c:yVal>
            <c:numRef>
              <c:f>Inc_21.11.19!$F$3:$F$14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33632"/>
        <c:axId val="132534208"/>
      </c:scatterChart>
      <c:valAx>
        <c:axId val="13253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534208"/>
        <c:crosses val="autoZero"/>
        <c:crossBetween val="midCat"/>
      </c:valAx>
      <c:valAx>
        <c:axId val="13253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53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Inc_21.11.19!$E$3:$E$14</c:f>
              <c:numCache>
                <c:formatCode>0.00</c:formatCode>
                <c:ptCount val="12"/>
                <c:pt idx="0">
                  <c:v>470.82</c:v>
                </c:pt>
                <c:pt idx="1">
                  <c:v>415.91</c:v>
                </c:pt>
                <c:pt idx="2">
                  <c:v>397.68</c:v>
                </c:pt>
                <c:pt idx="3">
                  <c:v>344.17</c:v>
                </c:pt>
                <c:pt idx="4">
                  <c:v>301.76</c:v>
                </c:pt>
                <c:pt idx="5">
                  <c:v>259.60000000000002</c:v>
                </c:pt>
                <c:pt idx="6">
                  <c:v>213.22</c:v>
                </c:pt>
                <c:pt idx="7">
                  <c:v>140.24</c:v>
                </c:pt>
                <c:pt idx="8">
                  <c:v>104.69</c:v>
                </c:pt>
                <c:pt idx="9" formatCode="General">
                  <c:v>48.212000000000003</c:v>
                </c:pt>
                <c:pt idx="10" formatCode="General">
                  <c:v>23.887</c:v>
                </c:pt>
                <c:pt idx="11" formatCode="General">
                  <c:v>12.666</c:v>
                </c:pt>
              </c:numCache>
            </c:numRef>
          </c:xVal>
          <c:yVal>
            <c:numRef>
              <c:f>Inc_21.11.19!$F$3:$F$14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35936"/>
        <c:axId val="132536512"/>
      </c:scatterChart>
      <c:valAx>
        <c:axId val="13253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536512"/>
        <c:crosses val="autoZero"/>
        <c:crossBetween val="midCat"/>
      </c:valAx>
      <c:valAx>
        <c:axId val="13253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53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Inc_22.11.19!$D$3:$D$14</c:f>
              <c:numCache>
                <c:formatCode>0.00</c:formatCode>
                <c:ptCount val="12"/>
                <c:pt idx="0">
                  <c:v>1729</c:v>
                </c:pt>
                <c:pt idx="1">
                  <c:v>1542.4</c:v>
                </c:pt>
                <c:pt idx="2">
                  <c:v>1407.2</c:v>
                </c:pt>
                <c:pt idx="3">
                  <c:v>1223.4000000000001</c:v>
                </c:pt>
                <c:pt idx="4">
                  <c:v>1074.5</c:v>
                </c:pt>
                <c:pt idx="5">
                  <c:v>862.57</c:v>
                </c:pt>
                <c:pt idx="6">
                  <c:v>726.32</c:v>
                </c:pt>
                <c:pt idx="7">
                  <c:v>548.87</c:v>
                </c:pt>
                <c:pt idx="8">
                  <c:v>399.55</c:v>
                </c:pt>
                <c:pt idx="9" formatCode="General">
                  <c:v>145.75</c:v>
                </c:pt>
                <c:pt idx="10" formatCode="General">
                  <c:v>64.674999999999997</c:v>
                </c:pt>
                <c:pt idx="11" formatCode="General">
                  <c:v>29.238</c:v>
                </c:pt>
              </c:numCache>
            </c:numRef>
          </c:xVal>
          <c:yVal>
            <c:numRef>
              <c:f>Inc_22.11.19!$F$3:$F$14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5104"/>
        <c:axId val="150616256"/>
      </c:scatterChart>
      <c:valAx>
        <c:axId val="15061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616256"/>
        <c:crosses val="autoZero"/>
        <c:crossBetween val="midCat"/>
      </c:valAx>
      <c:valAx>
        <c:axId val="15061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61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Inc_22.11.19!$E$3:$E$14</c:f>
              <c:numCache>
                <c:formatCode>0.00</c:formatCode>
                <c:ptCount val="12"/>
                <c:pt idx="0">
                  <c:v>455.75</c:v>
                </c:pt>
                <c:pt idx="1">
                  <c:v>406.32</c:v>
                </c:pt>
                <c:pt idx="2">
                  <c:v>369.47</c:v>
                </c:pt>
                <c:pt idx="3">
                  <c:v>344.4</c:v>
                </c:pt>
                <c:pt idx="4">
                  <c:v>313.14</c:v>
                </c:pt>
                <c:pt idx="5">
                  <c:v>258.39</c:v>
                </c:pt>
                <c:pt idx="6">
                  <c:v>221.49</c:v>
                </c:pt>
                <c:pt idx="7">
                  <c:v>155.56</c:v>
                </c:pt>
                <c:pt idx="8">
                  <c:v>115.64</c:v>
                </c:pt>
                <c:pt idx="9" formatCode="General">
                  <c:v>43.795000000000002</c:v>
                </c:pt>
                <c:pt idx="10" formatCode="General">
                  <c:v>23.010999999999999</c:v>
                </c:pt>
                <c:pt idx="11" formatCode="General">
                  <c:v>11.61</c:v>
                </c:pt>
              </c:numCache>
            </c:numRef>
          </c:xVal>
          <c:yVal>
            <c:numRef>
              <c:f>Inc_22.11.19!$F$3:$F$14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12448"/>
        <c:axId val="157913024"/>
      </c:scatterChart>
      <c:valAx>
        <c:axId val="1579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7913024"/>
        <c:crosses val="autoZero"/>
        <c:crossBetween val="midCat"/>
      </c:valAx>
      <c:valAx>
        <c:axId val="157913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7912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Pre_12.11.19!$E$3:$E$15</c:f>
              <c:numCache>
                <c:formatCode>0.00</c:formatCode>
                <c:ptCount val="13"/>
                <c:pt idx="0">
                  <c:v>435.37</c:v>
                </c:pt>
                <c:pt idx="1">
                  <c:v>417.53</c:v>
                </c:pt>
                <c:pt idx="2">
                  <c:v>389.61</c:v>
                </c:pt>
                <c:pt idx="3">
                  <c:v>328.86</c:v>
                </c:pt>
                <c:pt idx="4">
                  <c:v>304.22000000000003</c:v>
                </c:pt>
                <c:pt idx="5">
                  <c:v>236.47</c:v>
                </c:pt>
                <c:pt idx="6">
                  <c:v>209.84</c:v>
                </c:pt>
                <c:pt idx="7">
                  <c:v>155.37</c:v>
                </c:pt>
                <c:pt idx="8">
                  <c:v>114.08</c:v>
                </c:pt>
                <c:pt idx="9" formatCode="General">
                  <c:v>45.295000000000002</c:v>
                </c:pt>
                <c:pt idx="10" formatCode="General">
                  <c:v>22.084</c:v>
                </c:pt>
                <c:pt idx="11" formatCode="General">
                  <c:v>11.461</c:v>
                </c:pt>
                <c:pt idx="12" formatCode="General">
                  <c:v>0</c:v>
                </c:pt>
              </c:numCache>
            </c:numRef>
          </c:xVal>
          <c:yVal>
            <c:numRef>
              <c:f>Pre_12.11.19!$F$3:$F$15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84064"/>
        <c:axId val="97384640"/>
      </c:scatterChart>
      <c:valAx>
        <c:axId val="9738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7384640"/>
        <c:crosses val="autoZero"/>
        <c:crossBetween val="midCat"/>
      </c:valAx>
      <c:valAx>
        <c:axId val="9738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738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Pre_13.11.19!$D$3:$D$15</c:f>
              <c:numCache>
                <c:formatCode>0.00</c:formatCode>
                <c:ptCount val="13"/>
                <c:pt idx="0">
                  <c:v>1673.6</c:v>
                </c:pt>
                <c:pt idx="1">
                  <c:v>1502.5</c:v>
                </c:pt>
                <c:pt idx="2">
                  <c:v>1371.7</c:v>
                </c:pt>
                <c:pt idx="3">
                  <c:v>1213.3</c:v>
                </c:pt>
                <c:pt idx="4">
                  <c:v>1039.5999999999999</c:v>
                </c:pt>
                <c:pt idx="5">
                  <c:v>879.05</c:v>
                </c:pt>
                <c:pt idx="6">
                  <c:v>752.19</c:v>
                </c:pt>
                <c:pt idx="7">
                  <c:v>500.01</c:v>
                </c:pt>
                <c:pt idx="8">
                  <c:v>388.78</c:v>
                </c:pt>
                <c:pt idx="9" formatCode="General">
                  <c:v>146.63999999999999</c:v>
                </c:pt>
                <c:pt idx="10" formatCode="General">
                  <c:v>63.646000000000001</c:v>
                </c:pt>
                <c:pt idx="11" formatCode="General">
                  <c:v>27.734000000000002</c:v>
                </c:pt>
                <c:pt idx="12" formatCode="General">
                  <c:v>0</c:v>
                </c:pt>
              </c:numCache>
            </c:numRef>
          </c:xVal>
          <c:yVal>
            <c:numRef>
              <c:f>Pre_13.11.19!$F$3:$F$15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12768"/>
        <c:axId val="131006464"/>
      </c:scatterChart>
      <c:valAx>
        <c:axId val="983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006464"/>
        <c:crosses val="autoZero"/>
        <c:crossBetween val="midCat"/>
      </c:valAx>
      <c:valAx>
        <c:axId val="13100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831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Pre_13.11.19!$E$3:$E$15</c:f>
              <c:numCache>
                <c:formatCode>0.00</c:formatCode>
                <c:ptCount val="13"/>
                <c:pt idx="0">
                  <c:v>456.06</c:v>
                </c:pt>
                <c:pt idx="1">
                  <c:v>413.7</c:v>
                </c:pt>
                <c:pt idx="2">
                  <c:v>395.5</c:v>
                </c:pt>
                <c:pt idx="3">
                  <c:v>327.45999999999998</c:v>
                </c:pt>
                <c:pt idx="4">
                  <c:v>301.91000000000003</c:v>
                </c:pt>
                <c:pt idx="5">
                  <c:v>243.73</c:v>
                </c:pt>
                <c:pt idx="6">
                  <c:v>200.87</c:v>
                </c:pt>
                <c:pt idx="7">
                  <c:v>153.66</c:v>
                </c:pt>
                <c:pt idx="8">
                  <c:v>108.37</c:v>
                </c:pt>
                <c:pt idx="9" formatCode="General">
                  <c:v>44.673000000000002</c:v>
                </c:pt>
                <c:pt idx="10" formatCode="General">
                  <c:v>23.305</c:v>
                </c:pt>
                <c:pt idx="11" formatCode="General">
                  <c:v>11.712</c:v>
                </c:pt>
                <c:pt idx="12" formatCode="General">
                  <c:v>0</c:v>
                </c:pt>
              </c:numCache>
            </c:numRef>
          </c:xVal>
          <c:yVal>
            <c:numRef>
              <c:f>Pre_13.11.19!$F$3:$F$15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8192"/>
        <c:axId val="131008768"/>
      </c:scatterChart>
      <c:valAx>
        <c:axId val="13100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008768"/>
        <c:crosses val="autoZero"/>
        <c:crossBetween val="midCat"/>
      </c:valAx>
      <c:valAx>
        <c:axId val="131008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00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Pre_14.11.19!$D$3:$D$14</c:f>
              <c:numCache>
                <c:formatCode>0.00</c:formatCode>
                <c:ptCount val="12"/>
                <c:pt idx="0">
                  <c:v>1690.6</c:v>
                </c:pt>
                <c:pt idx="1">
                  <c:v>1523.4</c:v>
                </c:pt>
                <c:pt idx="2">
                  <c:v>1372.6</c:v>
                </c:pt>
                <c:pt idx="3">
                  <c:v>1207.8</c:v>
                </c:pt>
                <c:pt idx="4">
                  <c:v>1052.3</c:v>
                </c:pt>
                <c:pt idx="5">
                  <c:v>829.5</c:v>
                </c:pt>
                <c:pt idx="6">
                  <c:v>718.6</c:v>
                </c:pt>
                <c:pt idx="7">
                  <c:v>510.14</c:v>
                </c:pt>
                <c:pt idx="8">
                  <c:v>391.34</c:v>
                </c:pt>
                <c:pt idx="9" formatCode="General">
                  <c:v>146.07</c:v>
                </c:pt>
                <c:pt idx="10" formatCode="General">
                  <c:v>71.094999999999999</c:v>
                </c:pt>
                <c:pt idx="11" formatCode="General">
                  <c:v>28.055</c:v>
                </c:pt>
              </c:numCache>
            </c:numRef>
          </c:xVal>
          <c:yVal>
            <c:numRef>
              <c:f>Pre_14.11.19!$F$3:$F$14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10496"/>
        <c:axId val="131011072"/>
      </c:scatterChart>
      <c:valAx>
        <c:axId val="13101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011072"/>
        <c:crosses val="autoZero"/>
        <c:crossBetween val="midCat"/>
      </c:valAx>
      <c:valAx>
        <c:axId val="13101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01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Pre_14.11.19!$E$3:$E$14</c:f>
              <c:numCache>
                <c:formatCode>0.00</c:formatCode>
                <c:ptCount val="12"/>
                <c:pt idx="0">
                  <c:v>447.35</c:v>
                </c:pt>
                <c:pt idx="1">
                  <c:v>401.17</c:v>
                </c:pt>
                <c:pt idx="2">
                  <c:v>382.91</c:v>
                </c:pt>
                <c:pt idx="3">
                  <c:v>331.19</c:v>
                </c:pt>
                <c:pt idx="4">
                  <c:v>297.72000000000003</c:v>
                </c:pt>
                <c:pt idx="5">
                  <c:v>244.04</c:v>
                </c:pt>
                <c:pt idx="6">
                  <c:v>216.51</c:v>
                </c:pt>
                <c:pt idx="7">
                  <c:v>147.78</c:v>
                </c:pt>
                <c:pt idx="8">
                  <c:v>108.71</c:v>
                </c:pt>
                <c:pt idx="9" formatCode="General">
                  <c:v>43.234000000000002</c:v>
                </c:pt>
                <c:pt idx="10" formatCode="General">
                  <c:v>23.431999999999999</c:v>
                </c:pt>
                <c:pt idx="11" formatCode="General">
                  <c:v>12.295999999999999</c:v>
                </c:pt>
              </c:numCache>
            </c:numRef>
          </c:xVal>
          <c:yVal>
            <c:numRef>
              <c:f>Pre_14.11.19!$F$3:$F$14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12800"/>
        <c:axId val="131013952"/>
      </c:scatterChart>
      <c:valAx>
        <c:axId val="1310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013952"/>
        <c:crosses val="autoZero"/>
        <c:crossBetween val="midCat"/>
      </c:valAx>
      <c:valAx>
        <c:axId val="131013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01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Pre_15.11.19!$D$3:$D$14</c:f>
              <c:numCache>
                <c:formatCode>0.00</c:formatCode>
                <c:ptCount val="12"/>
                <c:pt idx="0">
                  <c:v>1686.7</c:v>
                </c:pt>
                <c:pt idx="1">
                  <c:v>1475.2</c:v>
                </c:pt>
                <c:pt idx="2">
                  <c:v>1322.2</c:v>
                </c:pt>
                <c:pt idx="3">
                  <c:v>1140.7</c:v>
                </c:pt>
                <c:pt idx="4">
                  <c:v>1057</c:v>
                </c:pt>
                <c:pt idx="5">
                  <c:v>820.93</c:v>
                </c:pt>
                <c:pt idx="6">
                  <c:v>733.62</c:v>
                </c:pt>
                <c:pt idx="7">
                  <c:v>526.05999999999995</c:v>
                </c:pt>
                <c:pt idx="8">
                  <c:v>357.16</c:v>
                </c:pt>
                <c:pt idx="9" formatCode="General">
                  <c:v>142.62</c:v>
                </c:pt>
                <c:pt idx="10" formatCode="General">
                  <c:v>67.626999999999995</c:v>
                </c:pt>
                <c:pt idx="11" formatCode="General">
                  <c:v>29.347000000000001</c:v>
                </c:pt>
              </c:numCache>
            </c:numRef>
          </c:xVal>
          <c:yVal>
            <c:numRef>
              <c:f>Pre_15.11.19!$F$3:$F$14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48576"/>
        <c:axId val="131049152"/>
      </c:scatterChart>
      <c:valAx>
        <c:axId val="13104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049152"/>
        <c:crosses val="autoZero"/>
        <c:crossBetween val="midCat"/>
      </c:valAx>
      <c:valAx>
        <c:axId val="13104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048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Pre_15.11.19!$E$3:$E$14</c:f>
              <c:numCache>
                <c:formatCode>0.00</c:formatCode>
                <c:ptCount val="12"/>
                <c:pt idx="0">
                  <c:v>440.7</c:v>
                </c:pt>
                <c:pt idx="1">
                  <c:v>421.86</c:v>
                </c:pt>
                <c:pt idx="2">
                  <c:v>381.86</c:v>
                </c:pt>
                <c:pt idx="3">
                  <c:v>333.56</c:v>
                </c:pt>
                <c:pt idx="4">
                  <c:v>285.35000000000002</c:v>
                </c:pt>
                <c:pt idx="5">
                  <c:v>237.52</c:v>
                </c:pt>
                <c:pt idx="6">
                  <c:v>203.97</c:v>
                </c:pt>
                <c:pt idx="7">
                  <c:v>156.58000000000001</c:v>
                </c:pt>
                <c:pt idx="8">
                  <c:v>106.43</c:v>
                </c:pt>
                <c:pt idx="9" formatCode="General">
                  <c:v>42.92</c:v>
                </c:pt>
                <c:pt idx="10" formatCode="General">
                  <c:v>21.817</c:v>
                </c:pt>
                <c:pt idx="11" formatCode="General">
                  <c:v>11.141</c:v>
                </c:pt>
              </c:numCache>
            </c:numRef>
          </c:xVal>
          <c:yVal>
            <c:numRef>
              <c:f>Pre_15.11.19!$F$3:$F$14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50880"/>
        <c:axId val="131051456"/>
      </c:scatterChart>
      <c:valAx>
        <c:axId val="13105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051456"/>
        <c:crosses val="autoZero"/>
        <c:crossBetween val="midCat"/>
      </c:valAx>
      <c:valAx>
        <c:axId val="13105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05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Inc_18.11.19!$D$3:$D$15</c:f>
              <c:numCache>
                <c:formatCode>0.00</c:formatCode>
                <c:ptCount val="13"/>
                <c:pt idx="0">
                  <c:v>1657.7</c:v>
                </c:pt>
                <c:pt idx="1">
                  <c:v>1534</c:v>
                </c:pt>
                <c:pt idx="2">
                  <c:v>1392.1</c:v>
                </c:pt>
                <c:pt idx="3">
                  <c:v>1178</c:v>
                </c:pt>
                <c:pt idx="4">
                  <c:v>1069.4000000000001</c:v>
                </c:pt>
                <c:pt idx="5">
                  <c:v>886.4</c:v>
                </c:pt>
                <c:pt idx="6">
                  <c:v>747.19</c:v>
                </c:pt>
                <c:pt idx="7">
                  <c:v>535.1</c:v>
                </c:pt>
                <c:pt idx="8">
                  <c:v>385.66</c:v>
                </c:pt>
                <c:pt idx="9" formatCode="General">
                  <c:v>141.09</c:v>
                </c:pt>
                <c:pt idx="10" formatCode="General">
                  <c:v>72.233999999999995</c:v>
                </c:pt>
                <c:pt idx="11" formatCode="General">
                  <c:v>28.774000000000001</c:v>
                </c:pt>
                <c:pt idx="12" formatCode="General">
                  <c:v>0</c:v>
                </c:pt>
              </c:numCache>
            </c:numRef>
          </c:xVal>
          <c:yVal>
            <c:numRef>
              <c:f>Inc_18.11.19!$F$3:$F$15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53184"/>
        <c:axId val="131054336"/>
      </c:scatterChart>
      <c:valAx>
        <c:axId val="13105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054336"/>
        <c:crosses val="autoZero"/>
        <c:crossBetween val="midCat"/>
      </c:valAx>
      <c:valAx>
        <c:axId val="131054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05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baseColWidth="10" defaultRowHeight="15" x14ac:dyDescent="0.25"/>
  <sheetData>
    <row r="3" spans="1:1" x14ac:dyDescent="0.25">
      <c r="A3" t="s">
        <v>148</v>
      </c>
    </row>
    <row r="4" spans="1:1" x14ac:dyDescent="0.25">
      <c r="A4" t="s">
        <v>147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Normal="100" workbookViewId="0">
      <selection activeCell="E30" sqref="E30"/>
    </sheetView>
  </sheetViews>
  <sheetFormatPr baseColWidth="10" defaultRowHeight="15" x14ac:dyDescent="0.25"/>
  <cols>
    <col min="2" max="2" width="15.140625" bestFit="1" customWidth="1"/>
    <col min="9" max="9" width="15.140625" bestFit="1" customWidth="1"/>
  </cols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43782</v>
      </c>
      <c r="C3" s="58">
        <v>2992</v>
      </c>
      <c r="D3" s="47">
        <v>1673.6</v>
      </c>
      <c r="E3" s="59">
        <v>456.06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43782</v>
      </c>
      <c r="C4" s="58">
        <v>2992</v>
      </c>
      <c r="D4" s="59">
        <v>1502.5</v>
      </c>
      <c r="E4" s="59">
        <v>413.7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43782</v>
      </c>
      <c r="C5" s="58">
        <v>2992</v>
      </c>
      <c r="D5" s="47">
        <v>1371.7</v>
      </c>
      <c r="E5" s="59">
        <v>395.5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43782</v>
      </c>
      <c r="C6" s="58">
        <v>2992</v>
      </c>
      <c r="D6" s="59">
        <v>1213.3</v>
      </c>
      <c r="E6" s="59">
        <v>327.45999999999998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43782</v>
      </c>
      <c r="C7" s="58">
        <v>2992</v>
      </c>
      <c r="D7" s="47">
        <v>1039.5999999999999</v>
      </c>
      <c r="E7" s="59">
        <v>301.91000000000003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43782</v>
      </c>
      <c r="C8" s="58">
        <v>2992</v>
      </c>
      <c r="D8" s="59">
        <v>879.05</v>
      </c>
      <c r="E8" s="59">
        <v>243.73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43782</v>
      </c>
      <c r="C9" s="58">
        <v>2992</v>
      </c>
      <c r="D9" s="47">
        <v>752.19</v>
      </c>
      <c r="E9" s="59">
        <v>200.87</v>
      </c>
      <c r="F9" s="60">
        <f t="shared" si="0"/>
        <v>5.984</v>
      </c>
      <c r="G9" s="63" t="s">
        <v>75</v>
      </c>
      <c r="H9" s="63"/>
      <c r="I9" s="64">
        <f>SLOPE(F3:F15,D3:D15)</f>
        <v>8.7795244119995182E-3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43782</v>
      </c>
      <c r="C10" s="58">
        <v>2992</v>
      </c>
      <c r="D10" s="47">
        <v>500.01</v>
      </c>
      <c r="E10" s="59">
        <v>153.66</v>
      </c>
      <c r="F10" s="60">
        <f t="shared" si="0"/>
        <v>4.1887999999999996</v>
      </c>
      <c r="G10" s="63" t="s">
        <v>76</v>
      </c>
      <c r="H10" s="63"/>
      <c r="I10" s="64">
        <f>INTERCEPT(F3:F15,D3:D15)</f>
        <v>-0.17228299793849366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43782</v>
      </c>
      <c r="C11" s="58">
        <v>2992</v>
      </c>
      <c r="D11" s="47">
        <v>388.78</v>
      </c>
      <c r="E11" s="59">
        <v>108.37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43782</v>
      </c>
      <c r="C12" s="58">
        <v>2992</v>
      </c>
      <c r="D12" s="65">
        <v>146.63999999999999</v>
      </c>
      <c r="E12" s="65">
        <v>44.673000000000002</v>
      </c>
      <c r="F12" s="60">
        <f t="shared" si="0"/>
        <v>1.1968000000000001</v>
      </c>
      <c r="G12" s="66" t="s">
        <v>77</v>
      </c>
      <c r="H12" s="66"/>
      <c r="I12" s="67">
        <f>SLOPE(F3:F15,E3:E15)</f>
        <v>3.195801477693367E-2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43782</v>
      </c>
      <c r="C13" s="58">
        <v>2992</v>
      </c>
      <c r="D13" s="65">
        <v>63.646000000000001</v>
      </c>
      <c r="E13" s="65">
        <v>23.305</v>
      </c>
      <c r="F13" s="60">
        <f t="shared" si="0"/>
        <v>0.59840000000000004</v>
      </c>
      <c r="G13" s="68" t="s">
        <v>78</v>
      </c>
      <c r="H13" s="68"/>
      <c r="I13" s="67">
        <f>INTERCEPT(F3:F15,E3:E15)</f>
        <v>-0.30740305509387156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43782</v>
      </c>
      <c r="C14" s="58">
        <v>2992</v>
      </c>
      <c r="D14" s="65">
        <v>27.734000000000002</v>
      </c>
      <c r="E14" s="65">
        <v>11.712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x14ac:dyDescent="0.25">
      <c r="A15" s="65">
        <v>0</v>
      </c>
      <c r="B15" s="57">
        <v>43783</v>
      </c>
      <c r="C15" s="58">
        <v>2993</v>
      </c>
      <c r="D15" s="65">
        <v>0</v>
      </c>
      <c r="E15" s="65">
        <v>0</v>
      </c>
      <c r="F15" s="60">
        <f t="shared" ref="F15" si="1">A15/1000*C15</f>
        <v>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22" ht="18" x14ac:dyDescent="0.35">
      <c r="A16" s="69" t="s">
        <v>79</v>
      </c>
      <c r="B16" s="69" t="s">
        <v>80</v>
      </c>
      <c r="C16" s="69" t="s">
        <v>81</v>
      </c>
      <c r="D16" s="69" t="s">
        <v>67</v>
      </c>
      <c r="E16" s="69" t="s">
        <v>68</v>
      </c>
      <c r="F16" s="70" t="s">
        <v>82</v>
      </c>
      <c r="G16" s="70" t="s">
        <v>83</v>
      </c>
      <c r="H16" s="70" t="s">
        <v>104</v>
      </c>
      <c r="I16" s="72" t="s">
        <v>84</v>
      </c>
      <c r="J16" s="69" t="s">
        <v>85</v>
      </c>
      <c r="K16" s="69" t="s">
        <v>85</v>
      </c>
      <c r="L16" s="69" t="s">
        <v>86</v>
      </c>
      <c r="M16" s="69" t="s">
        <v>87</v>
      </c>
      <c r="N16" s="69" t="s">
        <v>88</v>
      </c>
      <c r="O16" s="69" t="s">
        <v>89</v>
      </c>
      <c r="P16" s="73" t="s">
        <v>90</v>
      </c>
      <c r="Q16" s="73" t="s">
        <v>91</v>
      </c>
      <c r="R16" s="73" t="s">
        <v>91</v>
      </c>
      <c r="S16" s="73" t="s">
        <v>91</v>
      </c>
      <c r="T16" s="73" t="s">
        <v>92</v>
      </c>
      <c r="U16" s="69" t="s">
        <v>93</v>
      </c>
      <c r="V16" s="69" t="s">
        <v>119</v>
      </c>
    </row>
    <row r="17" spans="1:22" ht="18.75" thickBot="1" x14ac:dyDescent="0.4">
      <c r="A17" s="74" t="s">
        <v>94</v>
      </c>
      <c r="B17" s="74" t="s">
        <v>95</v>
      </c>
      <c r="C17" s="74" t="s">
        <v>70</v>
      </c>
      <c r="D17" s="56" t="s">
        <v>73</v>
      </c>
      <c r="E17" s="56" t="s">
        <v>73</v>
      </c>
      <c r="F17" s="75" t="s">
        <v>96</v>
      </c>
      <c r="G17" s="75" t="s">
        <v>97</v>
      </c>
      <c r="H17" s="75"/>
      <c r="I17" s="76" t="s">
        <v>98</v>
      </c>
      <c r="J17" s="74" t="s">
        <v>99</v>
      </c>
      <c r="K17" s="74" t="s">
        <v>98</v>
      </c>
      <c r="L17" s="74" t="s">
        <v>70</v>
      </c>
      <c r="M17" s="74" t="s">
        <v>70</v>
      </c>
      <c r="N17" s="74" t="s">
        <v>100</v>
      </c>
      <c r="O17" s="74" t="s">
        <v>100</v>
      </c>
      <c r="P17" s="74" t="s">
        <v>100</v>
      </c>
      <c r="Q17" s="74" t="s">
        <v>101</v>
      </c>
      <c r="R17" s="74" t="s">
        <v>100</v>
      </c>
      <c r="S17" s="74" t="s">
        <v>102</v>
      </c>
      <c r="V17" s="104" t="s">
        <v>118</v>
      </c>
    </row>
    <row r="18" spans="1:22" x14ac:dyDescent="0.25">
      <c r="A18" s="33" t="s">
        <v>152</v>
      </c>
      <c r="B18" s="77">
        <f>$B$3+H18</f>
        <v>43782.611111111109</v>
      </c>
      <c r="C18" s="49">
        <v>1</v>
      </c>
      <c r="D18" s="78">
        <v>889.32</v>
      </c>
      <c r="E18" s="79">
        <v>262.77</v>
      </c>
      <c r="F18" s="80">
        <f>((I$9*D18)+I$10)/C18/1000</f>
        <v>7.6355236521409185E-3</v>
      </c>
      <c r="G18" s="80">
        <f>((I$12*E18)+I$13)/C18/1000</f>
        <v>8.0902044878409882E-3</v>
      </c>
      <c r="H18" s="111">
        <v>0.61111111111111105</v>
      </c>
      <c r="I18" s="81">
        <f>jar_information!M3</f>
        <v>43780.666666666664</v>
      </c>
      <c r="J18" s="82">
        <f t="shared" ref="J18:J29" si="2">B18-I18</f>
        <v>1.9444444444452529</v>
      </c>
      <c r="K18" s="82">
        <f>J18*24</f>
        <v>46.666666666686069</v>
      </c>
      <c r="L18" s="83">
        <f>jar_information!G3</f>
        <v>1089.8750280625609</v>
      </c>
      <c r="M18" s="82">
        <f>F18*L18</f>
        <v>8.3217665546494306</v>
      </c>
      <c r="N18" s="82">
        <f>M18*1.83</f>
        <v>15.228832795008458</v>
      </c>
      <c r="O18" s="84">
        <f t="shared" ref="O18:O29" si="3">N18*(12/(12+(16*2)))</f>
        <v>4.1533180350023065</v>
      </c>
      <c r="P18" s="85">
        <f>O18*(400/(400+L18))</f>
        <v>1.1150782332135056</v>
      </c>
      <c r="Q18" s="86"/>
      <c r="R18" s="86">
        <f>Q18/314.7</f>
        <v>0</v>
      </c>
      <c r="S18" s="86">
        <f>R18/P18*100</f>
        <v>0</v>
      </c>
      <c r="T18" s="87">
        <f>F18*1000000</f>
        <v>7635.5236521409188</v>
      </c>
      <c r="U18" s="10">
        <f>M18/L18*100</f>
        <v>0.76355236521409187</v>
      </c>
      <c r="V18" s="103">
        <f>O18/K18</f>
        <v>8.8999672178583844E-2</v>
      </c>
    </row>
    <row r="19" spans="1:22" x14ac:dyDescent="0.25">
      <c r="A19" s="33" t="s">
        <v>153</v>
      </c>
      <c r="B19" s="77">
        <f t="shared" ref="B19:B29" si="4">$B$3+H19</f>
        <v>43782.611111111109</v>
      </c>
      <c r="C19" s="49">
        <v>1</v>
      </c>
      <c r="D19" s="88">
        <v>903.61</v>
      </c>
      <c r="E19" s="89">
        <v>262.99</v>
      </c>
      <c r="F19" s="80">
        <f t="shared" ref="F19:F29" si="5">((I$9*D19)+I$10)/C19/1000</f>
        <v>7.760983055988391E-3</v>
      </c>
      <c r="G19" s="80">
        <f t="shared" ref="G19:G29" si="6">((I$12*E19)+I$13)/C19/1000</f>
        <v>8.0972352510919141E-3</v>
      </c>
      <c r="H19" s="111">
        <v>0.61111111111111105</v>
      </c>
      <c r="I19" s="81">
        <f>jar_information!M4</f>
        <v>43780.666666666664</v>
      </c>
      <c r="J19" s="82">
        <f t="shared" si="2"/>
        <v>1.9444444444452529</v>
      </c>
      <c r="K19" s="82">
        <f t="shared" ref="K19:K29" si="7">J19*24</f>
        <v>46.666666666686069</v>
      </c>
      <c r="L19" s="83">
        <f>jar_information!G4</f>
        <v>1074.8014191661935</v>
      </c>
      <c r="M19" s="82">
        <f t="shared" ref="M19:M29" si="8">F19*L19</f>
        <v>8.3415156027011044</v>
      </c>
      <c r="N19" s="82">
        <f t="shared" ref="N19:N29" si="9">M19*1.83</f>
        <v>15.264973552943022</v>
      </c>
      <c r="O19" s="84">
        <f t="shared" si="3"/>
        <v>4.1631746053480967</v>
      </c>
      <c r="P19" s="85">
        <f t="shared" ref="P19:P29" si="10">O19*(400/(400+L19))</f>
        <v>1.1291485216231554</v>
      </c>
      <c r="Q19" s="86"/>
      <c r="R19" s="86">
        <f t="shared" ref="R19:R29" si="11">Q19/314.7</f>
        <v>0</v>
      </c>
      <c r="S19" s="86">
        <f>R19/P19*100</f>
        <v>0</v>
      </c>
      <c r="T19" s="87">
        <f t="shared" ref="T19:T29" si="12">F19*1000000</f>
        <v>7760.9830559883912</v>
      </c>
      <c r="U19" s="10">
        <f t="shared" ref="U19:U29" si="13">M19/L19*100</f>
        <v>0.77609830559883919</v>
      </c>
      <c r="V19" s="103">
        <f t="shared" ref="V19:V29" si="14">O19/K19</f>
        <v>8.9210884400279272E-2</v>
      </c>
    </row>
    <row r="20" spans="1:22" x14ac:dyDescent="0.25">
      <c r="A20" s="33" t="s">
        <v>154</v>
      </c>
      <c r="B20" s="77">
        <f t="shared" si="4"/>
        <v>43782.611111111109</v>
      </c>
      <c r="C20" s="49">
        <v>1</v>
      </c>
      <c r="D20" s="90">
        <v>689.8</v>
      </c>
      <c r="E20" s="91">
        <v>189.17</v>
      </c>
      <c r="F20" s="80">
        <f t="shared" si="5"/>
        <v>5.8838329414587741E-3</v>
      </c>
      <c r="G20" s="80">
        <f t="shared" si="6"/>
        <v>5.7380946002586709E-3</v>
      </c>
      <c r="H20" s="111">
        <v>0.61111111111111105</v>
      </c>
      <c r="I20" s="81">
        <f>jar_information!M5</f>
        <v>43780.666666666664</v>
      </c>
      <c r="J20" s="82">
        <f t="shared" si="2"/>
        <v>1.9444444444452529</v>
      </c>
      <c r="K20" s="82">
        <f t="shared" si="7"/>
        <v>46.666666666686069</v>
      </c>
      <c r="L20" s="83">
        <f>jar_information!G5</f>
        <v>1089.8750280625609</v>
      </c>
      <c r="M20" s="82">
        <f t="shared" si="8"/>
        <v>6.4126425921878019</v>
      </c>
      <c r="N20" s="82">
        <f t="shared" si="9"/>
        <v>11.735135943703678</v>
      </c>
      <c r="O20" s="84">
        <f t="shared" si="3"/>
        <v>3.200491621010094</v>
      </c>
      <c r="P20" s="85">
        <f t="shared" si="10"/>
        <v>0.85926445123978634</v>
      </c>
      <c r="Q20" s="86"/>
      <c r="R20" s="86">
        <f t="shared" si="11"/>
        <v>0</v>
      </c>
      <c r="S20" s="86">
        <f t="shared" ref="S20:S29" si="15">R20/P20*100</f>
        <v>0</v>
      </c>
      <c r="T20" s="87">
        <f t="shared" si="12"/>
        <v>5883.8329414587743</v>
      </c>
      <c r="U20" s="10">
        <f t="shared" si="13"/>
        <v>0.58838329414587742</v>
      </c>
      <c r="V20" s="103">
        <f t="shared" si="14"/>
        <v>6.8581963307330643E-2</v>
      </c>
    </row>
    <row r="21" spans="1:22" x14ac:dyDescent="0.25">
      <c r="A21" s="33" t="s">
        <v>155</v>
      </c>
      <c r="B21" s="77">
        <f t="shared" si="4"/>
        <v>43782.611111111109</v>
      </c>
      <c r="C21" s="49">
        <v>1</v>
      </c>
      <c r="D21" s="90">
        <v>722.3</v>
      </c>
      <c r="E21" s="91">
        <v>217.45</v>
      </c>
      <c r="F21" s="80">
        <f t="shared" si="5"/>
        <v>6.1691674848487581E-3</v>
      </c>
      <c r="G21" s="80">
        <f t="shared" si="6"/>
        <v>6.6418672581503545E-3</v>
      </c>
      <c r="H21" s="111">
        <v>0.61111111111111105</v>
      </c>
      <c r="I21" s="81">
        <f>jar_information!M6</f>
        <v>43780.666666666664</v>
      </c>
      <c r="J21" s="82">
        <f t="shared" si="2"/>
        <v>1.9444444444452529</v>
      </c>
      <c r="K21" s="82">
        <f t="shared" si="7"/>
        <v>46.666666666686069</v>
      </c>
      <c r="L21" s="83">
        <f>jar_information!G6</f>
        <v>1074.8014191661935</v>
      </c>
      <c r="M21" s="82">
        <f t="shared" si="8"/>
        <v>6.6306299677893819</v>
      </c>
      <c r="N21" s="82">
        <f t="shared" si="9"/>
        <v>12.134052841054569</v>
      </c>
      <c r="O21" s="84">
        <f t="shared" si="3"/>
        <v>3.3092871384694278</v>
      </c>
      <c r="P21" s="85">
        <f t="shared" si="10"/>
        <v>0.89755463900770993</v>
      </c>
      <c r="Q21" s="86"/>
      <c r="R21" s="86">
        <f t="shared" si="11"/>
        <v>0</v>
      </c>
      <c r="S21" s="86">
        <f t="shared" si="15"/>
        <v>0</v>
      </c>
      <c r="T21" s="87">
        <f t="shared" si="12"/>
        <v>6169.1674848487582</v>
      </c>
      <c r="U21" s="10">
        <f t="shared" si="13"/>
        <v>0.61691674848487577</v>
      </c>
      <c r="V21" s="103">
        <f t="shared" si="14"/>
        <v>7.0913295824315395E-2</v>
      </c>
    </row>
    <row r="22" spans="1:22" x14ac:dyDescent="0.25">
      <c r="A22" s="33" t="s">
        <v>156</v>
      </c>
      <c r="B22" s="77">
        <f t="shared" si="4"/>
        <v>43782.611111111109</v>
      </c>
      <c r="C22" s="49">
        <v>1</v>
      </c>
      <c r="D22" s="90">
        <v>469.51</v>
      </c>
      <c r="E22" s="91">
        <v>138.77000000000001</v>
      </c>
      <c r="F22" s="80">
        <f t="shared" si="5"/>
        <v>3.9497915087393998E-3</v>
      </c>
      <c r="G22" s="80">
        <f t="shared" si="6"/>
        <v>4.1274106555012147E-3</v>
      </c>
      <c r="H22" s="111">
        <v>0.61111111111111105</v>
      </c>
      <c r="I22" s="81">
        <f>jar_information!M7</f>
        <v>43780.666666666664</v>
      </c>
      <c r="J22" s="82">
        <f t="shared" si="2"/>
        <v>1.9444444444452529</v>
      </c>
      <c r="K22" s="82">
        <f t="shared" si="7"/>
        <v>46.666666666686069</v>
      </c>
      <c r="L22" s="83">
        <f>jar_information!G7</f>
        <v>1089.8750280625609</v>
      </c>
      <c r="M22" s="82">
        <f t="shared" si="8"/>
        <v>4.3047791314286181</v>
      </c>
      <c r="N22" s="82">
        <f t="shared" si="9"/>
        <v>7.8777458105143712</v>
      </c>
      <c r="O22" s="84">
        <f t="shared" si="3"/>
        <v>2.148476130140283</v>
      </c>
      <c r="P22" s="85">
        <f t="shared" si="10"/>
        <v>0.57682049559127646</v>
      </c>
      <c r="Q22" s="86"/>
      <c r="R22" s="86">
        <f t="shared" si="11"/>
        <v>0</v>
      </c>
      <c r="S22" s="86">
        <f t="shared" si="15"/>
        <v>0</v>
      </c>
      <c r="T22" s="87">
        <f t="shared" si="12"/>
        <v>3949.7915087393999</v>
      </c>
      <c r="U22" s="10">
        <f t="shared" si="13"/>
        <v>0.39497915087393998</v>
      </c>
      <c r="V22" s="103">
        <f t="shared" si="14"/>
        <v>4.6038774217272635E-2</v>
      </c>
    </row>
    <row r="23" spans="1:22" x14ac:dyDescent="0.25">
      <c r="A23" s="33" t="s">
        <v>157</v>
      </c>
      <c r="B23" s="77">
        <f t="shared" si="4"/>
        <v>43782.611111111109</v>
      </c>
      <c r="C23" s="49">
        <v>1</v>
      </c>
      <c r="D23" s="90">
        <v>455.49</v>
      </c>
      <c r="E23" s="91">
        <v>127.65</v>
      </c>
      <c r="F23" s="80">
        <f t="shared" si="5"/>
        <v>3.8267025764831672E-3</v>
      </c>
      <c r="G23" s="80">
        <f t="shared" si="6"/>
        <v>3.7720375311817121E-3</v>
      </c>
      <c r="H23" s="111">
        <v>0.61111111111111105</v>
      </c>
      <c r="I23" s="81">
        <f>jar_information!M8</f>
        <v>43780.666666666664</v>
      </c>
      <c r="J23" s="82">
        <f t="shared" si="2"/>
        <v>1.9444444444452529</v>
      </c>
      <c r="K23" s="82">
        <f t="shared" si="7"/>
        <v>46.666666666686069</v>
      </c>
      <c r="L23" s="83">
        <f>jar_information!G8</f>
        <v>1089.8750280625609</v>
      </c>
      <c r="M23" s="82">
        <f t="shared" si="8"/>
        <v>4.1706275779316657</v>
      </c>
      <c r="N23" s="82">
        <f t="shared" si="9"/>
        <v>7.6322484676149482</v>
      </c>
      <c r="O23" s="84">
        <f t="shared" si="3"/>
        <v>2.081522309349531</v>
      </c>
      <c r="P23" s="85">
        <f t="shared" si="10"/>
        <v>0.55884480782427781</v>
      </c>
      <c r="Q23" s="86"/>
      <c r="R23" s="86">
        <f t="shared" si="11"/>
        <v>0</v>
      </c>
      <c r="S23" s="86">
        <f t="shared" si="15"/>
        <v>0</v>
      </c>
      <c r="T23" s="87">
        <f t="shared" si="12"/>
        <v>3826.7025764831674</v>
      </c>
      <c r="U23" s="10">
        <f t="shared" si="13"/>
        <v>0.38267025764831669</v>
      </c>
      <c r="V23" s="103">
        <f t="shared" si="14"/>
        <v>4.4604049486042831E-2</v>
      </c>
    </row>
    <row r="24" spans="1:22" x14ac:dyDescent="0.25">
      <c r="A24" s="33" t="s">
        <v>158</v>
      </c>
      <c r="B24" s="77">
        <f t="shared" si="4"/>
        <v>43782.611111111109</v>
      </c>
      <c r="C24" s="49">
        <v>1</v>
      </c>
      <c r="D24" s="90">
        <v>1505.5</v>
      </c>
      <c r="E24" s="91">
        <v>388.4</v>
      </c>
      <c r="F24" s="80">
        <f t="shared" si="5"/>
        <v>1.3045291004326781E-2</v>
      </c>
      <c r="G24" s="80">
        <f t="shared" si="6"/>
        <v>1.2105089884267166E-2</v>
      </c>
      <c r="H24" s="111">
        <v>0.61111111111111105</v>
      </c>
      <c r="I24" s="81">
        <f>jar_information!M9</f>
        <v>43780.666666666664</v>
      </c>
      <c r="J24" s="82">
        <f t="shared" si="2"/>
        <v>1.9444444444452529</v>
      </c>
      <c r="K24" s="82">
        <f t="shared" si="7"/>
        <v>46.666666666686069</v>
      </c>
      <c r="L24" s="83">
        <f>jar_information!G9</f>
        <v>1079.8108667673887</v>
      </c>
      <c r="M24" s="82">
        <f t="shared" si="8"/>
        <v>14.08644698661492</v>
      </c>
      <c r="N24" s="82">
        <f t="shared" si="9"/>
        <v>25.778197985505305</v>
      </c>
      <c r="O24" s="84">
        <f t="shared" si="3"/>
        <v>7.0304176324105372</v>
      </c>
      <c r="P24" s="85">
        <f t="shared" si="10"/>
        <v>1.9003557252605707</v>
      </c>
      <c r="Q24" s="86"/>
      <c r="R24" s="86">
        <f t="shared" si="11"/>
        <v>0</v>
      </c>
      <c r="S24" s="86">
        <f t="shared" si="15"/>
        <v>0</v>
      </c>
      <c r="T24" s="87">
        <f t="shared" si="12"/>
        <v>13045.29100432678</v>
      </c>
      <c r="U24" s="10">
        <f t="shared" si="13"/>
        <v>1.304529100432678</v>
      </c>
      <c r="V24" s="103">
        <f t="shared" si="14"/>
        <v>0.1506518064087346</v>
      </c>
    </row>
    <row r="25" spans="1:22" x14ac:dyDescent="0.25">
      <c r="A25" s="33" t="s">
        <v>159</v>
      </c>
      <c r="B25" s="77">
        <f t="shared" si="4"/>
        <v>43782.611111111109</v>
      </c>
      <c r="C25" s="49">
        <v>1</v>
      </c>
      <c r="D25" s="90">
        <v>1441.7</v>
      </c>
      <c r="E25" s="91">
        <v>380.81</v>
      </c>
      <c r="F25" s="80">
        <f t="shared" si="5"/>
        <v>1.2485157346841212E-2</v>
      </c>
      <c r="G25" s="80">
        <f t="shared" si="6"/>
        <v>1.186252855211024E-2</v>
      </c>
      <c r="H25" s="111">
        <v>0.61111111111111105</v>
      </c>
      <c r="I25" s="81">
        <f>jar_information!M10</f>
        <v>43780.666666666664</v>
      </c>
      <c r="J25" s="82">
        <f t="shared" si="2"/>
        <v>1.9444444444452529</v>
      </c>
      <c r="K25" s="82">
        <f t="shared" si="7"/>
        <v>46.666666666686069</v>
      </c>
      <c r="L25" s="83">
        <f>jar_information!G10</f>
        <v>1094.9298783058375</v>
      </c>
      <c r="M25" s="82">
        <f t="shared" si="8"/>
        <v>13.670371814406082</v>
      </c>
      <c r="N25" s="82">
        <f t="shared" si="9"/>
        <v>25.01678042036313</v>
      </c>
      <c r="O25" s="84">
        <f t="shared" si="3"/>
        <v>6.8227582964626716</v>
      </c>
      <c r="P25" s="85">
        <f t="shared" si="10"/>
        <v>1.825572796550087</v>
      </c>
      <c r="Q25" s="86"/>
      <c r="R25" s="86">
        <f t="shared" si="11"/>
        <v>0</v>
      </c>
      <c r="S25" s="86">
        <f t="shared" si="15"/>
        <v>0</v>
      </c>
      <c r="T25" s="87">
        <f t="shared" si="12"/>
        <v>12485.157346841212</v>
      </c>
      <c r="U25" s="10">
        <f t="shared" si="13"/>
        <v>1.2485157346841211</v>
      </c>
      <c r="V25" s="103">
        <f t="shared" si="14"/>
        <v>0.14620196349556788</v>
      </c>
    </row>
    <row r="26" spans="1:22" x14ac:dyDescent="0.25">
      <c r="A26" s="33" t="s">
        <v>160</v>
      </c>
      <c r="B26" s="77">
        <f t="shared" si="4"/>
        <v>43782.611111111109</v>
      </c>
      <c r="C26" s="49">
        <v>1</v>
      </c>
      <c r="D26" s="90">
        <v>1573.5</v>
      </c>
      <c r="E26" s="91">
        <v>433.37</v>
      </c>
      <c r="F26" s="80">
        <f t="shared" si="5"/>
        <v>1.3642298664342748E-2</v>
      </c>
      <c r="G26" s="80">
        <f t="shared" si="6"/>
        <v>1.3542241808785873E-2</v>
      </c>
      <c r="H26" s="111">
        <v>0.61111111111111105</v>
      </c>
      <c r="I26" s="81">
        <f>jar_information!M11</f>
        <v>43780.666666666664</v>
      </c>
      <c r="J26" s="82">
        <f t="shared" si="2"/>
        <v>1.9444444444452529</v>
      </c>
      <c r="K26" s="82">
        <f t="shared" si="7"/>
        <v>46.666666666686069</v>
      </c>
      <c r="L26" s="83">
        <f>jar_information!G11</f>
        <v>1089.8750280625609</v>
      </c>
      <c r="M26" s="82">
        <f t="shared" si="8"/>
        <v>14.86840063963839</v>
      </c>
      <c r="N26" s="82">
        <f t="shared" si="9"/>
        <v>27.209173170538254</v>
      </c>
      <c r="O26" s="84">
        <f t="shared" si="3"/>
        <v>7.4206835919649778</v>
      </c>
      <c r="P26" s="85">
        <f t="shared" si="10"/>
        <v>1.9922969248272757</v>
      </c>
      <c r="Q26" s="86"/>
      <c r="R26" s="86">
        <f t="shared" si="11"/>
        <v>0</v>
      </c>
      <c r="S26" s="86">
        <f t="shared" si="15"/>
        <v>0</v>
      </c>
      <c r="T26" s="87">
        <f t="shared" si="12"/>
        <v>13642.298664342748</v>
      </c>
      <c r="U26" s="10">
        <f t="shared" si="13"/>
        <v>1.3642298664342749</v>
      </c>
      <c r="V26" s="103">
        <f t="shared" si="14"/>
        <v>0.15901464839918342</v>
      </c>
    </row>
    <row r="27" spans="1:22" x14ac:dyDescent="0.25">
      <c r="A27" s="33" t="s">
        <v>161</v>
      </c>
      <c r="B27" s="77">
        <f t="shared" si="4"/>
        <v>43782.611111111109</v>
      </c>
      <c r="C27" s="49">
        <v>1</v>
      </c>
      <c r="D27" s="90">
        <v>1634.6</v>
      </c>
      <c r="E27" s="91">
        <v>417.22</v>
      </c>
      <c r="F27" s="80">
        <f t="shared" si="5"/>
        <v>1.4178727605915918E-2</v>
      </c>
      <c r="G27" s="80">
        <f t="shared" si="6"/>
        <v>1.3026119870138395E-2</v>
      </c>
      <c r="H27" s="111">
        <v>0.61111111111111105</v>
      </c>
      <c r="I27" s="81">
        <f>jar_information!M12</f>
        <v>43780.666666666664</v>
      </c>
      <c r="J27" s="82">
        <f t="shared" si="2"/>
        <v>1.9444444444452529</v>
      </c>
      <c r="K27" s="82">
        <f t="shared" si="7"/>
        <v>46.666666666686069</v>
      </c>
      <c r="L27" s="83">
        <f>jar_information!G12</f>
        <v>1074.8014191661935</v>
      </c>
      <c r="M27" s="82">
        <f t="shared" si="8"/>
        <v>15.239316552809314</v>
      </c>
      <c r="N27" s="82">
        <f t="shared" si="9"/>
        <v>27.887949291641046</v>
      </c>
      <c r="O27" s="84">
        <f t="shared" si="3"/>
        <v>7.6058043522657393</v>
      </c>
      <c r="P27" s="85">
        <f t="shared" si="10"/>
        <v>2.0628687370170344</v>
      </c>
      <c r="Q27" s="86"/>
      <c r="R27" s="86">
        <f t="shared" si="11"/>
        <v>0</v>
      </c>
      <c r="S27" s="86">
        <f t="shared" si="15"/>
        <v>0</v>
      </c>
      <c r="T27" s="87">
        <f t="shared" si="12"/>
        <v>14178.727605915918</v>
      </c>
      <c r="U27" s="10">
        <f t="shared" si="13"/>
        <v>1.417872760591592</v>
      </c>
      <c r="V27" s="103">
        <f t="shared" si="14"/>
        <v>0.16298152183419809</v>
      </c>
    </row>
    <row r="28" spans="1:22" x14ac:dyDescent="0.25">
      <c r="A28" s="33" t="s">
        <v>162</v>
      </c>
      <c r="B28" s="77">
        <f t="shared" si="4"/>
        <v>43782.611111111109</v>
      </c>
      <c r="C28" s="49">
        <v>1</v>
      </c>
      <c r="D28" s="90">
        <v>1392.8</v>
      </c>
      <c r="E28" s="91">
        <v>369.1</v>
      </c>
      <c r="F28" s="80">
        <f t="shared" si="5"/>
        <v>1.2055838603094435E-2</v>
      </c>
      <c r="G28" s="80">
        <f t="shared" si="6"/>
        <v>1.1488300199072347E-2</v>
      </c>
      <c r="H28" s="111">
        <v>0.61111111111111105</v>
      </c>
      <c r="I28" s="81">
        <f>jar_information!M13</f>
        <v>43780.666666666664</v>
      </c>
      <c r="J28" s="82">
        <f t="shared" si="2"/>
        <v>1.9444444444452529</v>
      </c>
      <c r="K28" s="82">
        <f t="shared" si="7"/>
        <v>46.666666666686069</v>
      </c>
      <c r="L28" s="83">
        <f>jar_information!G13</f>
        <v>1089.8750280625609</v>
      </c>
      <c r="M28" s="82">
        <f t="shared" si="8"/>
        <v>13.139357435865252</v>
      </c>
      <c r="N28" s="82">
        <f t="shared" si="9"/>
        <v>24.045024107633413</v>
      </c>
      <c r="O28" s="84">
        <f t="shared" si="3"/>
        <v>6.5577338475363849</v>
      </c>
      <c r="P28" s="85">
        <f t="shared" si="10"/>
        <v>1.76061313171054</v>
      </c>
      <c r="Q28" s="86"/>
      <c r="R28" s="86">
        <f t="shared" si="11"/>
        <v>0</v>
      </c>
      <c r="S28" s="86">
        <f t="shared" si="15"/>
        <v>0</v>
      </c>
      <c r="T28" s="87">
        <f t="shared" si="12"/>
        <v>12055.838603094435</v>
      </c>
      <c r="U28" s="10">
        <f t="shared" si="13"/>
        <v>1.2055838603094435</v>
      </c>
      <c r="V28" s="103">
        <f t="shared" si="14"/>
        <v>0.14052286816143553</v>
      </c>
    </row>
    <row r="29" spans="1:22" x14ac:dyDescent="0.25">
      <c r="A29" s="33" t="s">
        <v>163</v>
      </c>
      <c r="B29" s="77">
        <f t="shared" si="4"/>
        <v>43782.611111111109</v>
      </c>
      <c r="C29" s="49">
        <v>1</v>
      </c>
      <c r="D29" s="90">
        <v>1354.1</v>
      </c>
      <c r="E29" s="91">
        <v>378.78</v>
      </c>
      <c r="F29" s="80">
        <f t="shared" si="5"/>
        <v>1.1716071008350053E-2</v>
      </c>
      <c r="G29" s="80">
        <f t="shared" si="6"/>
        <v>1.1797653782113064E-2</v>
      </c>
      <c r="H29" s="111">
        <v>0.61111111111111105</v>
      </c>
      <c r="I29" s="81">
        <f>jar_information!M14</f>
        <v>43780.666666666664</v>
      </c>
      <c r="J29" s="82">
        <f t="shared" si="2"/>
        <v>1.9444444444452529</v>
      </c>
      <c r="K29" s="82">
        <f t="shared" si="7"/>
        <v>46.666666666686069</v>
      </c>
      <c r="L29" s="83">
        <f>jar_information!G14</f>
        <v>1089.8750280625609</v>
      </c>
      <c r="M29" s="82">
        <f t="shared" si="8"/>
        <v>12.76905321900847</v>
      </c>
      <c r="N29" s="82">
        <f t="shared" si="9"/>
        <v>23.3673673907855</v>
      </c>
      <c r="O29" s="84">
        <f t="shared" si="3"/>
        <v>6.372918379305136</v>
      </c>
      <c r="P29" s="85">
        <f t="shared" si="10"/>
        <v>1.710994079172534</v>
      </c>
      <c r="Q29" s="86"/>
      <c r="R29" s="86">
        <f t="shared" si="11"/>
        <v>0</v>
      </c>
      <c r="S29" s="86">
        <f t="shared" si="15"/>
        <v>0</v>
      </c>
      <c r="T29" s="87">
        <f t="shared" si="12"/>
        <v>11716.071008350053</v>
      </c>
      <c r="U29" s="10">
        <f t="shared" si="13"/>
        <v>1.1716071008350053</v>
      </c>
      <c r="V29" s="103">
        <f t="shared" si="14"/>
        <v>0.13656253669933899</v>
      </c>
    </row>
  </sheetData>
  <conditionalFormatting sqref="O18:O29">
    <cfRule type="cellIs" dxfId="11" priority="1" operator="greaterThan">
      <formula>4</formula>
    </cfRule>
    <cfRule type="cellIs" dxfId="10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Normal="100" workbookViewId="0">
      <selection activeCell="H18" sqref="H18:H29"/>
    </sheetView>
  </sheetViews>
  <sheetFormatPr baseColWidth="10" defaultRowHeight="15" x14ac:dyDescent="0.25"/>
  <cols>
    <col min="2" max="2" width="15.140625" bestFit="1" customWidth="1"/>
    <col min="9" max="9" width="15.140625" bestFit="1" customWidth="1"/>
  </cols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43783</v>
      </c>
      <c r="C3" s="58">
        <v>2992</v>
      </c>
      <c r="D3" s="47">
        <v>1690.6</v>
      </c>
      <c r="E3" s="59">
        <v>447.35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43783</v>
      </c>
      <c r="C4" s="58">
        <v>2992</v>
      </c>
      <c r="D4" s="59">
        <v>1523.4</v>
      </c>
      <c r="E4" s="59">
        <v>401.17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43783</v>
      </c>
      <c r="C5" s="58">
        <v>2992</v>
      </c>
      <c r="D5" s="47">
        <v>1372.6</v>
      </c>
      <c r="E5" s="59">
        <v>382.91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43783</v>
      </c>
      <c r="C6" s="58">
        <v>2992</v>
      </c>
      <c r="D6" s="59">
        <v>1207.8</v>
      </c>
      <c r="E6" s="59">
        <v>331.19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43783</v>
      </c>
      <c r="C7" s="58">
        <v>2992</v>
      </c>
      <c r="D7" s="47">
        <v>1052.3</v>
      </c>
      <c r="E7" s="59">
        <v>297.72000000000003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43783</v>
      </c>
      <c r="C8" s="58">
        <v>2992</v>
      </c>
      <c r="D8" s="59">
        <v>829.5</v>
      </c>
      <c r="E8" s="59">
        <v>244.04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43783</v>
      </c>
      <c r="C9" s="58">
        <v>2992</v>
      </c>
      <c r="D9" s="47">
        <v>718.6</v>
      </c>
      <c r="E9" s="59">
        <v>216.51</v>
      </c>
      <c r="F9" s="60">
        <f t="shared" si="0"/>
        <v>5.984</v>
      </c>
      <c r="G9" s="63" t="s">
        <v>75</v>
      </c>
      <c r="H9" s="63"/>
      <c r="I9" s="64">
        <f>SLOPE(F3:F15,D3:D15)</f>
        <v>8.7439510398514241E-3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43783</v>
      </c>
      <c r="C10" s="58">
        <v>2992</v>
      </c>
      <c r="D10" s="47">
        <v>510.14</v>
      </c>
      <c r="E10" s="59">
        <v>147.78</v>
      </c>
      <c r="F10" s="60">
        <f t="shared" si="0"/>
        <v>4.1887999999999996</v>
      </c>
      <c r="G10" s="63" t="s">
        <v>76</v>
      </c>
      <c r="H10" s="63"/>
      <c r="I10" s="64">
        <f>INTERCEPT(F3:F15,D3:D15)</f>
        <v>-0.13452375744172151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43783</v>
      </c>
      <c r="C11" s="58">
        <v>2992</v>
      </c>
      <c r="D11" s="47">
        <v>391.34</v>
      </c>
      <c r="E11" s="59">
        <v>108.71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43783</v>
      </c>
      <c r="C12" s="58">
        <v>2992</v>
      </c>
      <c r="D12" s="65">
        <v>146.07</v>
      </c>
      <c r="E12" s="65">
        <v>43.234000000000002</v>
      </c>
      <c r="F12" s="60">
        <f t="shared" si="0"/>
        <v>1.1968000000000001</v>
      </c>
      <c r="G12" s="66" t="s">
        <v>77</v>
      </c>
      <c r="H12" s="66"/>
      <c r="I12" s="67">
        <f>SLOPE(F3:F15,E3:E15)</f>
        <v>3.2591794631546663E-2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43783</v>
      </c>
      <c r="C13" s="58">
        <v>2992</v>
      </c>
      <c r="D13" s="65">
        <v>71.094999999999999</v>
      </c>
      <c r="E13" s="65">
        <v>23.431999999999999</v>
      </c>
      <c r="F13" s="60">
        <f t="shared" si="0"/>
        <v>0.59840000000000004</v>
      </c>
      <c r="G13" s="68" t="s">
        <v>78</v>
      </c>
      <c r="H13" s="68"/>
      <c r="I13" s="67">
        <f>INTERCEPT(F3:F15,E3:E15)</f>
        <v>-0.37641176424245693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43783</v>
      </c>
      <c r="C14" s="58">
        <v>2992</v>
      </c>
      <c r="D14" s="65">
        <v>28.055</v>
      </c>
      <c r="E14" s="65">
        <v>12.295999999999999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x14ac:dyDescent="0.25">
      <c r="A15" s="65">
        <v>0</v>
      </c>
      <c r="B15" s="57">
        <v>43783</v>
      </c>
      <c r="C15" s="58">
        <v>2992</v>
      </c>
      <c r="D15" s="65">
        <v>0</v>
      </c>
      <c r="E15" s="65">
        <v>0</v>
      </c>
      <c r="F15" s="60">
        <f t="shared" ref="F15" si="1">A15/1000*C15</f>
        <v>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22" ht="18" x14ac:dyDescent="0.35">
      <c r="A16" s="69" t="s">
        <v>79</v>
      </c>
      <c r="B16" s="69" t="s">
        <v>80</v>
      </c>
      <c r="C16" s="69" t="s">
        <v>81</v>
      </c>
      <c r="D16" s="69" t="s">
        <v>67</v>
      </c>
      <c r="E16" s="69" t="s">
        <v>68</v>
      </c>
      <c r="F16" s="70" t="s">
        <v>82</v>
      </c>
      <c r="G16" s="70" t="s">
        <v>83</v>
      </c>
      <c r="H16" s="70" t="s">
        <v>104</v>
      </c>
      <c r="I16" s="72" t="s">
        <v>84</v>
      </c>
      <c r="J16" s="69" t="s">
        <v>85</v>
      </c>
      <c r="K16" s="69" t="s">
        <v>85</v>
      </c>
      <c r="L16" s="69" t="s">
        <v>86</v>
      </c>
      <c r="M16" s="69" t="s">
        <v>87</v>
      </c>
      <c r="N16" s="69" t="s">
        <v>88</v>
      </c>
      <c r="O16" s="69" t="s">
        <v>89</v>
      </c>
      <c r="P16" s="73" t="s">
        <v>90</v>
      </c>
      <c r="Q16" s="73" t="s">
        <v>91</v>
      </c>
      <c r="R16" s="73" t="s">
        <v>91</v>
      </c>
      <c r="S16" s="73" t="s">
        <v>91</v>
      </c>
      <c r="T16" s="73" t="s">
        <v>92</v>
      </c>
      <c r="U16" s="69" t="s">
        <v>93</v>
      </c>
      <c r="V16" s="69" t="s">
        <v>119</v>
      </c>
    </row>
    <row r="17" spans="1:22" ht="18.75" thickBot="1" x14ac:dyDescent="0.4">
      <c r="A17" s="74" t="s">
        <v>94</v>
      </c>
      <c r="B17" s="74" t="s">
        <v>95</v>
      </c>
      <c r="C17" s="74" t="s">
        <v>70</v>
      </c>
      <c r="D17" s="56" t="s">
        <v>73</v>
      </c>
      <c r="E17" s="56" t="s">
        <v>73</v>
      </c>
      <c r="F17" s="75" t="s">
        <v>96</v>
      </c>
      <c r="G17" s="75" t="s">
        <v>97</v>
      </c>
      <c r="H17" s="75"/>
      <c r="I17" s="76" t="s">
        <v>98</v>
      </c>
      <c r="J17" s="74" t="s">
        <v>99</v>
      </c>
      <c r="K17" s="74" t="s">
        <v>98</v>
      </c>
      <c r="L17" s="74" t="s">
        <v>70</v>
      </c>
      <c r="M17" s="74" t="s">
        <v>70</v>
      </c>
      <c r="N17" s="74" t="s">
        <v>100</v>
      </c>
      <c r="O17" s="74" t="s">
        <v>100</v>
      </c>
      <c r="P17" s="74" t="s">
        <v>100</v>
      </c>
      <c r="Q17" s="74" t="s">
        <v>101</v>
      </c>
      <c r="R17" s="74" t="s">
        <v>100</v>
      </c>
      <c r="S17" s="74" t="s">
        <v>102</v>
      </c>
      <c r="V17" s="104" t="s">
        <v>118</v>
      </c>
    </row>
    <row r="18" spans="1:22" x14ac:dyDescent="0.25">
      <c r="A18" s="33" t="s">
        <v>152</v>
      </c>
      <c r="B18" s="77">
        <f>$B$3+H18</f>
        <v>43783.572916666664</v>
      </c>
      <c r="C18" s="49">
        <v>1</v>
      </c>
      <c r="D18" s="78">
        <v>1346.8</v>
      </c>
      <c r="E18" s="79">
        <v>379.84</v>
      </c>
      <c r="F18" s="80">
        <f>((I$9*D18)+I$10)/C18/1000</f>
        <v>1.1641829503030176E-2</v>
      </c>
      <c r="G18" s="80">
        <f>((I$12*E18)+I$13)/C18/1000</f>
        <v>1.2003255508604227E-2</v>
      </c>
      <c r="H18" s="111">
        <v>0.57291666666666663</v>
      </c>
      <c r="I18" s="81">
        <f>jar_information!M3</f>
        <v>43780.666666666664</v>
      </c>
      <c r="J18" s="82">
        <f t="shared" ref="J18:J29" si="2">B18-I18</f>
        <v>2.90625</v>
      </c>
      <c r="K18" s="82">
        <f>J18*24</f>
        <v>69.75</v>
      </c>
      <c r="L18" s="83">
        <f>jar_information!G3</f>
        <v>1089.8750280625609</v>
      </c>
      <c r="M18" s="82">
        <f>F18*L18</f>
        <v>12.688139256314562</v>
      </c>
      <c r="N18" s="82">
        <f>M18*1.83</f>
        <v>23.21929483905565</v>
      </c>
      <c r="O18" s="84">
        <f t="shared" ref="O18:O29" si="3">N18*(12/(12+(16*2)))</f>
        <v>6.3325349561060857</v>
      </c>
      <c r="P18" s="85">
        <f>O18*(400/(400+L18))</f>
        <v>1.7001519823688671</v>
      </c>
      <c r="Q18" s="86"/>
      <c r="R18" s="86">
        <f>Q18/314.7</f>
        <v>0</v>
      </c>
      <c r="S18" s="86">
        <f>R18/P18*100</f>
        <v>0</v>
      </c>
      <c r="T18" s="87">
        <f>F18*1000000</f>
        <v>11641.829503030176</v>
      </c>
      <c r="U18" s="10">
        <f>M18/L18*100</f>
        <v>1.1641829503030177</v>
      </c>
      <c r="V18" s="103">
        <f>O18/K18</f>
        <v>9.0789031628761091E-2</v>
      </c>
    </row>
    <row r="19" spans="1:22" x14ac:dyDescent="0.25">
      <c r="A19" s="33" t="s">
        <v>153</v>
      </c>
      <c r="B19" s="77">
        <f t="shared" ref="B19:B29" si="4">$B$3+H19</f>
        <v>43783.572916666664</v>
      </c>
      <c r="C19" s="49">
        <v>1</v>
      </c>
      <c r="D19" s="88">
        <v>1442.5</v>
      </c>
      <c r="E19" s="89">
        <v>389.29</v>
      </c>
      <c r="F19" s="80">
        <f t="shared" ref="F19:F29" si="5">((I$9*D19)+I$10)/C19/1000</f>
        <v>1.2478625617543959E-2</v>
      </c>
      <c r="G19" s="80">
        <f t="shared" ref="G19:G29" si="6">((I$12*E19)+I$13)/C19/1000</f>
        <v>1.2311247967872344E-2</v>
      </c>
      <c r="H19" s="111">
        <v>0.57291666666666663</v>
      </c>
      <c r="I19" s="81">
        <f>jar_information!M4</f>
        <v>43780.666666666664</v>
      </c>
      <c r="J19" s="82">
        <f t="shared" si="2"/>
        <v>2.90625</v>
      </c>
      <c r="K19" s="82">
        <f t="shared" ref="K19:K29" si="7">J19*24</f>
        <v>69.75</v>
      </c>
      <c r="L19" s="83">
        <f>jar_information!G4</f>
        <v>1074.8014191661935</v>
      </c>
      <c r="M19" s="82">
        <f t="shared" ref="M19:M29" si="8">F19*L19</f>
        <v>13.412044522979864</v>
      </c>
      <c r="N19" s="82">
        <f t="shared" ref="N19:N29" si="9">M19*1.83</f>
        <v>24.544041477053153</v>
      </c>
      <c r="O19" s="84">
        <f t="shared" si="3"/>
        <v>6.6938294937417684</v>
      </c>
      <c r="P19" s="85">
        <f t="shared" ref="P19:P29" si="10">O19*(400/(400+L19))</f>
        <v>1.8155202203497336</v>
      </c>
      <c r="Q19" s="86"/>
      <c r="R19" s="86">
        <f t="shared" ref="R19:R29" si="11">Q19/314.7</f>
        <v>0</v>
      </c>
      <c r="S19" s="86">
        <f>R19/P19*100</f>
        <v>0</v>
      </c>
      <c r="T19" s="87">
        <f t="shared" ref="T19:T29" si="12">F19*1000000</f>
        <v>12478.625617543959</v>
      </c>
      <c r="U19" s="10">
        <f t="shared" ref="U19:U29" si="13">M19/L19*100</f>
        <v>1.2478625617543959</v>
      </c>
      <c r="V19" s="103">
        <f t="shared" ref="V19:V29" si="14">O19/K19</f>
        <v>9.5968881630706354E-2</v>
      </c>
    </row>
    <row r="20" spans="1:22" x14ac:dyDescent="0.25">
      <c r="A20" s="33" t="s">
        <v>154</v>
      </c>
      <c r="B20" s="77">
        <f t="shared" si="4"/>
        <v>43783.572916666664</v>
      </c>
      <c r="C20" s="49">
        <v>1</v>
      </c>
      <c r="D20" s="90">
        <v>951.78</v>
      </c>
      <c r="E20" s="91">
        <v>267.05</v>
      </c>
      <c r="F20" s="80">
        <f t="shared" si="5"/>
        <v>8.1877939632680665E-3</v>
      </c>
      <c r="G20" s="80">
        <f t="shared" si="6"/>
        <v>8.3272269921120783E-3</v>
      </c>
      <c r="H20" s="111">
        <v>0.57291666666666663</v>
      </c>
      <c r="I20" s="81">
        <f>jar_information!M5</f>
        <v>43780.666666666664</v>
      </c>
      <c r="J20" s="82">
        <f t="shared" si="2"/>
        <v>2.90625</v>
      </c>
      <c r="K20" s="82">
        <f t="shared" si="7"/>
        <v>69.75</v>
      </c>
      <c r="L20" s="83">
        <f>jar_information!G5</f>
        <v>1089.8750280625609</v>
      </c>
      <c r="M20" s="82">
        <f t="shared" si="8"/>
        <v>8.9236721754872512</v>
      </c>
      <c r="N20" s="82">
        <f t="shared" si="9"/>
        <v>16.330320081141672</v>
      </c>
      <c r="O20" s="84">
        <f t="shared" si="3"/>
        <v>4.4537236584931827</v>
      </c>
      <c r="P20" s="85">
        <f t="shared" si="10"/>
        <v>1.195730802813662</v>
      </c>
      <c r="Q20" s="86"/>
      <c r="R20" s="86">
        <f t="shared" si="11"/>
        <v>0</v>
      </c>
      <c r="S20" s="86">
        <f t="shared" ref="S20:S29" si="15">R20/P20*100</f>
        <v>0</v>
      </c>
      <c r="T20" s="87">
        <f t="shared" si="12"/>
        <v>8187.7939632680664</v>
      </c>
      <c r="U20" s="10">
        <f t="shared" si="13"/>
        <v>0.81877939632680663</v>
      </c>
      <c r="V20" s="103">
        <f t="shared" si="14"/>
        <v>6.3852668938970361E-2</v>
      </c>
    </row>
    <row r="21" spans="1:22" x14ac:dyDescent="0.25">
      <c r="A21" s="33" t="s">
        <v>155</v>
      </c>
      <c r="B21" s="77">
        <f t="shared" si="4"/>
        <v>43783.572916666664</v>
      </c>
      <c r="C21" s="49">
        <v>1</v>
      </c>
      <c r="D21" s="90">
        <v>1077.5999999999999</v>
      </c>
      <c r="E21" s="91">
        <v>291.16000000000003</v>
      </c>
      <c r="F21" s="80">
        <f t="shared" si="5"/>
        <v>9.2879578831021707E-3</v>
      </c>
      <c r="G21" s="80">
        <f t="shared" si="6"/>
        <v>9.1130151606786686E-3</v>
      </c>
      <c r="H21" s="111">
        <v>0.57291666666666663</v>
      </c>
      <c r="I21" s="81">
        <f>jar_information!M6</f>
        <v>43780.666666666664</v>
      </c>
      <c r="J21" s="82">
        <f t="shared" si="2"/>
        <v>2.90625</v>
      </c>
      <c r="K21" s="82">
        <f t="shared" si="7"/>
        <v>69.75</v>
      </c>
      <c r="L21" s="83">
        <f>jar_information!G6</f>
        <v>1074.8014191661935</v>
      </c>
      <c r="M21" s="82">
        <f t="shared" si="8"/>
        <v>9.9827103139140476</v>
      </c>
      <c r="N21" s="82">
        <f t="shared" si="9"/>
        <v>18.268359874462707</v>
      </c>
      <c r="O21" s="84">
        <f t="shared" si="3"/>
        <v>4.9822799657625563</v>
      </c>
      <c r="P21" s="85">
        <f t="shared" si="10"/>
        <v>1.3513086985173588</v>
      </c>
      <c r="Q21" s="86"/>
      <c r="R21" s="86">
        <f t="shared" si="11"/>
        <v>0</v>
      </c>
      <c r="S21" s="86">
        <f t="shared" si="15"/>
        <v>0</v>
      </c>
      <c r="T21" s="87">
        <f t="shared" si="12"/>
        <v>9287.9578831021699</v>
      </c>
      <c r="U21" s="10">
        <f t="shared" si="13"/>
        <v>0.92879578831021703</v>
      </c>
      <c r="V21" s="103">
        <f t="shared" si="14"/>
        <v>7.1430537143549189E-2</v>
      </c>
    </row>
    <row r="22" spans="1:22" x14ac:dyDescent="0.25">
      <c r="A22" s="33" t="s">
        <v>156</v>
      </c>
      <c r="B22" s="77">
        <f t="shared" si="4"/>
        <v>43783.572916666664</v>
      </c>
      <c r="C22" s="49">
        <v>1</v>
      </c>
      <c r="D22" s="90">
        <v>752.5</v>
      </c>
      <c r="E22" s="91">
        <v>211.31</v>
      </c>
      <c r="F22" s="80">
        <f t="shared" si="5"/>
        <v>6.4452994000464758E-3</v>
      </c>
      <c r="G22" s="80">
        <f t="shared" si="6"/>
        <v>6.5105603593496684E-3</v>
      </c>
      <c r="H22" s="111">
        <v>0.57291666666666663</v>
      </c>
      <c r="I22" s="81">
        <f>jar_information!M7</f>
        <v>43780.666666666664</v>
      </c>
      <c r="J22" s="82">
        <f t="shared" si="2"/>
        <v>2.90625</v>
      </c>
      <c r="K22" s="82">
        <f t="shared" si="7"/>
        <v>69.75</v>
      </c>
      <c r="L22" s="83">
        <f>jar_information!G7</f>
        <v>1089.8750280625609</v>
      </c>
      <c r="M22" s="82">
        <f t="shared" si="8"/>
        <v>7.0245708644972593</v>
      </c>
      <c r="N22" s="82">
        <f t="shared" si="9"/>
        <v>12.854964682029985</v>
      </c>
      <c r="O22" s="84">
        <f t="shared" si="3"/>
        <v>3.5058994587354504</v>
      </c>
      <c r="P22" s="85">
        <f t="shared" si="10"/>
        <v>0.94126000978606517</v>
      </c>
      <c r="Q22" s="86"/>
      <c r="R22" s="86">
        <f t="shared" si="11"/>
        <v>0</v>
      </c>
      <c r="S22" s="86">
        <f t="shared" si="15"/>
        <v>0</v>
      </c>
      <c r="T22" s="87">
        <f t="shared" si="12"/>
        <v>6445.299400046476</v>
      </c>
      <c r="U22" s="10">
        <f t="shared" si="13"/>
        <v>0.64452994000464758</v>
      </c>
      <c r="V22" s="103">
        <f t="shared" si="14"/>
        <v>5.0263791523088894E-2</v>
      </c>
    </row>
    <row r="23" spans="1:22" x14ac:dyDescent="0.25">
      <c r="A23" s="33" t="s">
        <v>157</v>
      </c>
      <c r="B23" s="77">
        <f t="shared" si="4"/>
        <v>43783.572916666664</v>
      </c>
      <c r="C23" s="49">
        <v>1</v>
      </c>
      <c r="D23" s="90">
        <v>749.32</v>
      </c>
      <c r="E23" s="91">
        <v>221.32</v>
      </c>
      <c r="F23" s="80">
        <f t="shared" si="5"/>
        <v>6.417493635739748E-3</v>
      </c>
      <c r="G23" s="80">
        <f t="shared" si="6"/>
        <v>6.8368042236114498E-3</v>
      </c>
      <c r="H23" s="111">
        <v>0.57291666666666663</v>
      </c>
      <c r="I23" s="81">
        <f>jar_information!M8</f>
        <v>43780.666666666664</v>
      </c>
      <c r="J23" s="82">
        <f t="shared" si="2"/>
        <v>2.90625</v>
      </c>
      <c r="K23" s="82">
        <f t="shared" si="7"/>
        <v>69.75</v>
      </c>
      <c r="L23" s="83">
        <f>jar_information!G8</f>
        <v>1089.8750280625609</v>
      </c>
      <c r="M23" s="82">
        <f t="shared" si="8"/>
        <v>6.9942660563431636</v>
      </c>
      <c r="N23" s="82">
        <f t="shared" si="9"/>
        <v>12.799506883107989</v>
      </c>
      <c r="O23" s="84">
        <f t="shared" si="3"/>
        <v>3.4907746044839967</v>
      </c>
      <c r="P23" s="85">
        <f t="shared" si="10"/>
        <v>0.9371993056420076</v>
      </c>
      <c r="Q23" s="86"/>
      <c r="R23" s="86">
        <f t="shared" si="11"/>
        <v>0</v>
      </c>
      <c r="S23" s="86">
        <f t="shared" si="15"/>
        <v>0</v>
      </c>
      <c r="T23" s="87">
        <f t="shared" si="12"/>
        <v>6417.4936357397482</v>
      </c>
      <c r="U23" s="10">
        <f t="shared" si="13"/>
        <v>0.64174936357397483</v>
      </c>
      <c r="V23" s="103">
        <f t="shared" si="14"/>
        <v>5.0046947734537585E-2</v>
      </c>
    </row>
    <row r="24" spans="1:22" x14ac:dyDescent="0.25">
      <c r="A24" s="33" t="s">
        <v>158</v>
      </c>
      <c r="B24" s="77">
        <f t="shared" si="4"/>
        <v>43783.572916666664</v>
      </c>
      <c r="C24" s="49">
        <v>0.4</v>
      </c>
      <c r="D24" s="90">
        <v>762.22</v>
      </c>
      <c r="E24" s="91">
        <v>206.92</v>
      </c>
      <c r="F24" s="80">
        <f t="shared" si="5"/>
        <v>1.6325726510384577E-2</v>
      </c>
      <c r="G24" s="80">
        <f t="shared" si="6"/>
        <v>1.5918705952292944E-2</v>
      </c>
      <c r="H24" s="111">
        <v>0.57291666666666663</v>
      </c>
      <c r="I24" s="81">
        <f>jar_information!M9</f>
        <v>43780.666666666664</v>
      </c>
      <c r="J24" s="82">
        <f t="shared" si="2"/>
        <v>2.90625</v>
      </c>
      <c r="K24" s="82">
        <f t="shared" si="7"/>
        <v>69.75</v>
      </c>
      <c r="L24" s="83">
        <f>jar_information!G9</f>
        <v>1079.8108667673887</v>
      </c>
      <c r="M24" s="82">
        <f t="shared" si="8"/>
        <v>17.628696893785705</v>
      </c>
      <c r="N24" s="82">
        <f t="shared" si="9"/>
        <v>32.260515315627842</v>
      </c>
      <c r="O24" s="84">
        <f t="shared" si="3"/>
        <v>8.7983223588075923</v>
      </c>
      <c r="P24" s="85">
        <f t="shared" si="10"/>
        <v>2.3782288821887936</v>
      </c>
      <c r="Q24" s="86"/>
      <c r="R24" s="86">
        <f t="shared" si="11"/>
        <v>0</v>
      </c>
      <c r="S24" s="86">
        <f t="shared" si="15"/>
        <v>0</v>
      </c>
      <c r="T24" s="87">
        <f t="shared" si="12"/>
        <v>16325.726510384577</v>
      </c>
      <c r="U24" s="10">
        <f>M24/L24*100</f>
        <v>1.6325726510384577</v>
      </c>
      <c r="V24" s="103">
        <f t="shared" si="14"/>
        <v>0.12614082234849594</v>
      </c>
    </row>
    <row r="25" spans="1:22" x14ac:dyDescent="0.25">
      <c r="A25" s="33" t="s">
        <v>159</v>
      </c>
      <c r="B25" s="77">
        <f t="shared" si="4"/>
        <v>43783.572916666664</v>
      </c>
      <c r="C25" s="49">
        <v>0.4</v>
      </c>
      <c r="D25" s="90">
        <v>704.38</v>
      </c>
      <c r="E25" s="91">
        <v>193.09</v>
      </c>
      <c r="F25" s="80">
        <f t="shared" si="5"/>
        <v>1.5061351190022061E-2</v>
      </c>
      <c r="G25" s="80">
        <f t="shared" si="6"/>
        <v>1.479184465290722E-2</v>
      </c>
      <c r="H25" s="111">
        <v>0.57291666666666663</v>
      </c>
      <c r="I25" s="81">
        <f>jar_information!M10</f>
        <v>43780.666666666664</v>
      </c>
      <c r="J25" s="82">
        <f t="shared" si="2"/>
        <v>2.90625</v>
      </c>
      <c r="K25" s="82">
        <f t="shared" si="7"/>
        <v>69.75</v>
      </c>
      <c r="L25" s="83">
        <f>jar_information!G10</f>
        <v>1094.9298783058375</v>
      </c>
      <c r="M25" s="82">
        <f t="shared" si="8"/>
        <v>16.491123425612336</v>
      </c>
      <c r="N25" s="82">
        <f t="shared" si="9"/>
        <v>30.178755868870578</v>
      </c>
      <c r="O25" s="84">
        <f t="shared" si="3"/>
        <v>8.2305697824192485</v>
      </c>
      <c r="P25" s="85">
        <f t="shared" si="10"/>
        <v>2.2022624343415291</v>
      </c>
      <c r="Q25" s="86"/>
      <c r="R25" s="86">
        <f t="shared" si="11"/>
        <v>0</v>
      </c>
      <c r="S25" s="86">
        <f t="shared" si="15"/>
        <v>0</v>
      </c>
      <c r="T25" s="87">
        <f t="shared" si="12"/>
        <v>15061.351190022062</v>
      </c>
      <c r="U25" s="10">
        <f t="shared" si="13"/>
        <v>1.5061351190022061</v>
      </c>
      <c r="V25" s="103">
        <f t="shared" si="14"/>
        <v>0.11800100046479209</v>
      </c>
    </row>
    <row r="26" spans="1:22" x14ac:dyDescent="0.25">
      <c r="A26" s="33" t="s">
        <v>160</v>
      </c>
      <c r="B26" s="77">
        <f t="shared" si="4"/>
        <v>43783.572916666664</v>
      </c>
      <c r="C26" s="49">
        <v>0.4</v>
      </c>
      <c r="D26" s="90">
        <v>814.72</v>
      </c>
      <c r="E26" s="91">
        <v>219.89</v>
      </c>
      <c r="F26" s="80">
        <f t="shared" si="5"/>
        <v>1.7473370084365076E-2</v>
      </c>
      <c r="G26" s="80">
        <f t="shared" si="6"/>
        <v>1.6975494893220845E-2</v>
      </c>
      <c r="H26" s="111">
        <v>0.57291666666666663</v>
      </c>
      <c r="I26" s="81">
        <f>jar_information!M11</f>
        <v>43780.666666666664</v>
      </c>
      <c r="J26" s="82">
        <f t="shared" si="2"/>
        <v>2.90625</v>
      </c>
      <c r="K26" s="82">
        <f t="shared" si="7"/>
        <v>69.75</v>
      </c>
      <c r="L26" s="83">
        <f>jar_information!G11</f>
        <v>1089.8750280625609</v>
      </c>
      <c r="M26" s="82">
        <f t="shared" si="8"/>
        <v>19.043789711044898</v>
      </c>
      <c r="N26" s="82">
        <f t="shared" si="9"/>
        <v>34.850135171212166</v>
      </c>
      <c r="O26" s="84">
        <f t="shared" si="3"/>
        <v>9.5045823194215</v>
      </c>
      <c r="P26" s="85">
        <f t="shared" si="10"/>
        <v>2.551779750757027</v>
      </c>
      <c r="Q26" s="86"/>
      <c r="R26" s="86">
        <f t="shared" si="11"/>
        <v>0</v>
      </c>
      <c r="S26" s="86">
        <f t="shared" si="15"/>
        <v>0</v>
      </c>
      <c r="T26" s="87">
        <f t="shared" si="12"/>
        <v>17473.370084365077</v>
      </c>
      <c r="U26" s="10">
        <f t="shared" si="13"/>
        <v>1.7473370084365076</v>
      </c>
      <c r="V26" s="103">
        <f t="shared" si="14"/>
        <v>0.13626641318167024</v>
      </c>
    </row>
    <row r="27" spans="1:22" x14ac:dyDescent="0.25">
      <c r="A27" s="33" t="s">
        <v>161</v>
      </c>
      <c r="B27" s="77">
        <f t="shared" si="4"/>
        <v>43783.572916666664</v>
      </c>
      <c r="C27" s="49">
        <v>0.4</v>
      </c>
      <c r="D27" s="90">
        <v>798.49</v>
      </c>
      <c r="E27" s="91">
        <v>231.23</v>
      </c>
      <c r="F27" s="80">
        <f t="shared" si="5"/>
        <v>1.7118584270923106E-2</v>
      </c>
      <c r="G27" s="80">
        <f t="shared" si="6"/>
        <v>1.7899472271025191E-2</v>
      </c>
      <c r="H27" s="111">
        <v>0.57291666666666663</v>
      </c>
      <c r="I27" s="81">
        <f>jar_information!M12</f>
        <v>43780.666666666664</v>
      </c>
      <c r="J27" s="82">
        <f t="shared" si="2"/>
        <v>2.90625</v>
      </c>
      <c r="K27" s="82">
        <f t="shared" si="7"/>
        <v>69.75</v>
      </c>
      <c r="L27" s="83">
        <f>jar_information!G12</f>
        <v>1074.8014191661935</v>
      </c>
      <c r="M27" s="82">
        <f t="shared" si="8"/>
        <v>18.399078668504231</v>
      </c>
      <c r="N27" s="82">
        <f t="shared" si="9"/>
        <v>33.670313963362744</v>
      </c>
      <c r="O27" s="84">
        <f t="shared" si="3"/>
        <v>9.1828128990989288</v>
      </c>
      <c r="P27" s="85">
        <f t="shared" si="10"/>
        <v>2.4905896562780918</v>
      </c>
      <c r="Q27" s="86"/>
      <c r="R27" s="86">
        <f t="shared" si="11"/>
        <v>0</v>
      </c>
      <c r="S27" s="86">
        <f t="shared" si="15"/>
        <v>0</v>
      </c>
      <c r="T27" s="87">
        <f t="shared" si="12"/>
        <v>17118.584270923107</v>
      </c>
      <c r="U27" s="10">
        <f t="shared" si="13"/>
        <v>1.7118584270923105</v>
      </c>
      <c r="V27" s="103">
        <f t="shared" si="14"/>
        <v>0.13165323152830005</v>
      </c>
    </row>
    <row r="28" spans="1:22" x14ac:dyDescent="0.25">
      <c r="A28" s="33" t="s">
        <v>162</v>
      </c>
      <c r="B28" s="77">
        <f t="shared" si="4"/>
        <v>43783.572916666664</v>
      </c>
      <c r="C28" s="49">
        <v>0.4</v>
      </c>
      <c r="D28" s="90">
        <v>700.28</v>
      </c>
      <c r="E28" s="91">
        <v>196.96</v>
      </c>
      <c r="F28" s="80">
        <f t="shared" si="5"/>
        <v>1.4971725691863584E-2</v>
      </c>
      <c r="G28" s="80">
        <f t="shared" si="6"/>
        <v>1.5107170265967435E-2</v>
      </c>
      <c r="H28" s="111">
        <v>0.57291666666666663</v>
      </c>
      <c r="I28" s="81">
        <f>jar_information!M13</f>
        <v>43780.666666666664</v>
      </c>
      <c r="J28" s="82">
        <f t="shared" si="2"/>
        <v>2.90625</v>
      </c>
      <c r="K28" s="82">
        <f t="shared" si="7"/>
        <v>69.75</v>
      </c>
      <c r="L28" s="83">
        <f>jar_information!G13</f>
        <v>1089.8750280625609</v>
      </c>
      <c r="M28" s="82">
        <f t="shared" si="8"/>
        <v>16.317309958564788</v>
      </c>
      <c r="N28" s="82">
        <f t="shared" si="9"/>
        <v>29.860677224173564</v>
      </c>
      <c r="O28" s="84">
        <f t="shared" si="3"/>
        <v>8.1438210611382438</v>
      </c>
      <c r="P28" s="85">
        <f t="shared" si="10"/>
        <v>2.1864440728907311</v>
      </c>
      <c r="Q28" s="86"/>
      <c r="R28" s="86">
        <f t="shared" si="11"/>
        <v>0</v>
      </c>
      <c r="S28" s="86">
        <f t="shared" si="15"/>
        <v>0</v>
      </c>
      <c r="T28" s="87">
        <f t="shared" si="12"/>
        <v>14971.725691863583</v>
      </c>
      <c r="U28" s="10">
        <f t="shared" si="13"/>
        <v>1.4971725691863584</v>
      </c>
      <c r="V28" s="103">
        <f t="shared" si="14"/>
        <v>0.11675729119911461</v>
      </c>
    </row>
    <row r="29" spans="1:22" x14ac:dyDescent="0.25">
      <c r="A29" s="33" t="s">
        <v>163</v>
      </c>
      <c r="B29" s="77">
        <f t="shared" si="4"/>
        <v>43783.572916666664</v>
      </c>
      <c r="C29" s="49">
        <v>0.4</v>
      </c>
      <c r="D29" s="90">
        <v>671.74</v>
      </c>
      <c r="E29" s="91">
        <v>201.15</v>
      </c>
      <c r="F29" s="80">
        <f t="shared" si="5"/>
        <v>1.4347844785170184E-2</v>
      </c>
      <c r="G29" s="80">
        <f t="shared" si="6"/>
        <v>1.5448569314732884E-2</v>
      </c>
      <c r="H29" s="111">
        <v>0.57291666666666663</v>
      </c>
      <c r="I29" s="81">
        <f>jar_information!M14</f>
        <v>43780.666666666664</v>
      </c>
      <c r="J29" s="82">
        <f t="shared" si="2"/>
        <v>2.90625</v>
      </c>
      <c r="K29" s="82">
        <f t="shared" si="7"/>
        <v>69.75</v>
      </c>
      <c r="L29" s="83">
        <f>jar_information!G14</f>
        <v>1089.8750280625609</v>
      </c>
      <c r="M29" s="82">
        <f t="shared" si="8"/>
        <v>15.637357737874623</v>
      </c>
      <c r="N29" s="82">
        <f t="shared" si="9"/>
        <v>28.616364660310563</v>
      </c>
      <c r="O29" s="84">
        <f t="shared" si="3"/>
        <v>7.8044630891756075</v>
      </c>
      <c r="P29" s="85">
        <f t="shared" si="10"/>
        <v>2.095333619847179</v>
      </c>
      <c r="Q29" s="86"/>
      <c r="R29" s="86">
        <f t="shared" si="11"/>
        <v>0</v>
      </c>
      <c r="S29" s="86">
        <f t="shared" si="15"/>
        <v>0</v>
      </c>
      <c r="T29" s="87">
        <f t="shared" si="12"/>
        <v>14347.844785170184</v>
      </c>
      <c r="U29" s="10">
        <f t="shared" si="13"/>
        <v>1.4347844785170185</v>
      </c>
      <c r="V29" s="103">
        <f t="shared" si="14"/>
        <v>0.11189194393083308</v>
      </c>
    </row>
  </sheetData>
  <conditionalFormatting sqref="O18:O29">
    <cfRule type="cellIs" dxfId="9" priority="1" operator="greaterThan">
      <formula>4</formula>
    </cfRule>
    <cfRule type="cellIs" dxfId="8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A13" zoomScaleNormal="100" workbookViewId="0">
      <selection activeCell="W21" sqref="W21"/>
    </sheetView>
  </sheetViews>
  <sheetFormatPr baseColWidth="10" defaultRowHeight="15" x14ac:dyDescent="0.25"/>
  <cols>
    <col min="1" max="1" width="13" customWidth="1"/>
    <col min="2" max="2" width="15.140625" bestFit="1" customWidth="1"/>
    <col min="3" max="3" width="12.140625" bestFit="1" customWidth="1"/>
    <col min="4" max="4" width="24.42578125" bestFit="1" customWidth="1"/>
    <col min="9" max="9" width="15.140625" bestFit="1" customWidth="1"/>
  </cols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43784</v>
      </c>
      <c r="C3" s="58">
        <v>2992</v>
      </c>
      <c r="D3" s="47">
        <v>1686.7</v>
      </c>
      <c r="E3" s="59">
        <v>440.7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43784</v>
      </c>
      <c r="C4" s="58">
        <v>2992</v>
      </c>
      <c r="D4" s="59">
        <v>1475.2</v>
      </c>
      <c r="E4" s="59">
        <v>421.86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43784</v>
      </c>
      <c r="C5" s="58">
        <v>2992</v>
      </c>
      <c r="D5" s="47">
        <v>1322.2</v>
      </c>
      <c r="E5" s="59">
        <v>381.86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43784</v>
      </c>
      <c r="C6" s="58">
        <v>2992</v>
      </c>
      <c r="D6" s="59">
        <v>1140.7</v>
      </c>
      <c r="E6" s="59">
        <v>333.56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43784</v>
      </c>
      <c r="C7" s="58">
        <v>2992</v>
      </c>
      <c r="D7" s="47">
        <v>1057</v>
      </c>
      <c r="E7" s="59">
        <v>285.35000000000002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43784</v>
      </c>
      <c r="C8" s="58">
        <v>2992</v>
      </c>
      <c r="D8" s="59">
        <v>820.93</v>
      </c>
      <c r="E8" s="59">
        <v>237.52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43784</v>
      </c>
      <c r="C9" s="58">
        <v>2992</v>
      </c>
      <c r="D9" s="47">
        <v>733.62</v>
      </c>
      <c r="E9" s="59">
        <v>203.97</v>
      </c>
      <c r="F9" s="60">
        <f t="shared" si="0"/>
        <v>5.984</v>
      </c>
      <c r="G9" s="63" t="s">
        <v>75</v>
      </c>
      <c r="H9" s="63"/>
      <c r="I9" s="64">
        <f>SLOPE(F3:F15,D3:D15)</f>
        <v>8.9298129921542083E-3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43784</v>
      </c>
      <c r="C10" s="58">
        <v>2992</v>
      </c>
      <c r="D10" s="47">
        <v>526.05999999999995</v>
      </c>
      <c r="E10" s="59">
        <v>156.58000000000001</v>
      </c>
      <c r="F10" s="60">
        <f t="shared" si="0"/>
        <v>4.1887999999999996</v>
      </c>
      <c r="G10" s="63" t="s">
        <v>76</v>
      </c>
      <c r="H10" s="63"/>
      <c r="I10" s="64">
        <f>INTERCEPT(F3:F15,D3:D15)</f>
        <v>-0.14569109868476637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43784</v>
      </c>
      <c r="C11" s="58">
        <v>2992</v>
      </c>
      <c r="D11" s="47">
        <v>357.16</v>
      </c>
      <c r="E11" s="59">
        <v>106.43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43784</v>
      </c>
      <c r="C12" s="58">
        <v>2992</v>
      </c>
      <c r="D12" s="65">
        <v>142.62</v>
      </c>
      <c r="E12" s="65">
        <v>42.92</v>
      </c>
      <c r="F12" s="60">
        <f t="shared" si="0"/>
        <v>1.1968000000000001</v>
      </c>
      <c r="G12" s="66" t="s">
        <v>77</v>
      </c>
      <c r="H12" s="66"/>
      <c r="I12" s="67">
        <f>SLOPE(F3:F15,E3:E15)</f>
        <v>3.2416614305787836E-2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43784</v>
      </c>
      <c r="C13" s="58">
        <v>2992</v>
      </c>
      <c r="D13" s="65">
        <v>67.626999999999995</v>
      </c>
      <c r="E13" s="65">
        <v>21.817</v>
      </c>
      <c r="F13" s="60">
        <f t="shared" si="0"/>
        <v>0.59840000000000004</v>
      </c>
      <c r="G13" s="68" t="s">
        <v>78</v>
      </c>
      <c r="H13" s="68"/>
      <c r="I13" s="67">
        <f>INTERCEPT(F3:F15,E3:E15)</f>
        <v>-0.3091125056250581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43784</v>
      </c>
      <c r="C14" s="58">
        <v>2992</v>
      </c>
      <c r="D14" s="65">
        <v>29.347000000000001</v>
      </c>
      <c r="E14" s="65">
        <v>11.141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x14ac:dyDescent="0.25">
      <c r="A15" s="65">
        <v>0</v>
      </c>
      <c r="B15" s="57">
        <v>43784</v>
      </c>
      <c r="C15" s="58">
        <v>2992</v>
      </c>
      <c r="D15" s="65">
        <v>0</v>
      </c>
      <c r="E15" s="65">
        <v>0</v>
      </c>
      <c r="F15" s="60">
        <f t="shared" ref="F15" si="1">A15/1000*C15</f>
        <v>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22" ht="18" x14ac:dyDescent="0.35">
      <c r="A16" s="69" t="s">
        <v>79</v>
      </c>
      <c r="B16" s="69" t="s">
        <v>80</v>
      </c>
      <c r="C16" s="69" t="s">
        <v>81</v>
      </c>
      <c r="D16" s="69" t="s">
        <v>67</v>
      </c>
      <c r="E16" s="69" t="s">
        <v>68</v>
      </c>
      <c r="F16" s="70" t="s">
        <v>82</v>
      </c>
      <c r="G16" s="70" t="s">
        <v>83</v>
      </c>
      <c r="H16" s="70" t="s">
        <v>104</v>
      </c>
      <c r="I16" s="72" t="s">
        <v>84</v>
      </c>
      <c r="J16" s="69" t="s">
        <v>85</v>
      </c>
      <c r="K16" s="69" t="s">
        <v>85</v>
      </c>
      <c r="L16" s="69" t="s">
        <v>86</v>
      </c>
      <c r="M16" s="69" t="s">
        <v>87</v>
      </c>
      <c r="N16" s="69" t="s">
        <v>88</v>
      </c>
      <c r="O16" s="69" t="s">
        <v>89</v>
      </c>
      <c r="P16" s="73" t="s">
        <v>90</v>
      </c>
      <c r="Q16" s="73" t="s">
        <v>91</v>
      </c>
      <c r="R16" s="73" t="s">
        <v>91</v>
      </c>
      <c r="S16" s="73" t="s">
        <v>91</v>
      </c>
      <c r="T16" s="73" t="s">
        <v>92</v>
      </c>
      <c r="U16" s="69" t="s">
        <v>93</v>
      </c>
      <c r="V16" s="69" t="s">
        <v>119</v>
      </c>
    </row>
    <row r="17" spans="1:23" ht="18.75" thickBot="1" x14ac:dyDescent="0.4">
      <c r="A17" s="74" t="s">
        <v>94</v>
      </c>
      <c r="B17" s="74" t="s">
        <v>95</v>
      </c>
      <c r="C17" s="74" t="s">
        <v>70</v>
      </c>
      <c r="D17" s="56" t="s">
        <v>73</v>
      </c>
      <c r="E17" s="56" t="s">
        <v>73</v>
      </c>
      <c r="F17" s="75" t="s">
        <v>96</v>
      </c>
      <c r="G17" s="75" t="s">
        <v>97</v>
      </c>
      <c r="H17" s="75"/>
      <c r="I17" s="76" t="s">
        <v>98</v>
      </c>
      <c r="J17" s="74" t="s">
        <v>99</v>
      </c>
      <c r="K17" s="74" t="s">
        <v>98</v>
      </c>
      <c r="L17" s="74" t="s">
        <v>70</v>
      </c>
      <c r="M17" s="74" t="s">
        <v>70</v>
      </c>
      <c r="N17" s="74" t="s">
        <v>100</v>
      </c>
      <c r="O17" s="74" t="s">
        <v>100</v>
      </c>
      <c r="P17" s="74" t="s">
        <v>100</v>
      </c>
      <c r="Q17" s="74" t="s">
        <v>101</v>
      </c>
      <c r="R17" s="74" t="s">
        <v>100</v>
      </c>
      <c r="S17" s="74" t="s">
        <v>102</v>
      </c>
      <c r="V17" s="104" t="s">
        <v>118</v>
      </c>
    </row>
    <row r="18" spans="1:23" x14ac:dyDescent="0.25">
      <c r="A18" s="33" t="s">
        <v>152</v>
      </c>
      <c r="B18" s="77">
        <f>$B$3+H18</f>
        <v>43784.625</v>
      </c>
      <c r="C18" s="49">
        <v>1</v>
      </c>
      <c r="D18" s="78">
        <v>1499.7</v>
      </c>
      <c r="E18" s="79">
        <v>404.52</v>
      </c>
      <c r="F18" s="80">
        <f>((I$9*D18)+I$10)/C18/1000</f>
        <v>1.3246349445648899E-2</v>
      </c>
      <c r="G18" s="80">
        <f>((I$12*E18)+I$13)/C18/1000</f>
        <v>1.2804056313352238E-2</v>
      </c>
      <c r="H18" s="111">
        <v>0.625</v>
      </c>
      <c r="I18" s="81">
        <f>jar_information!M3</f>
        <v>43780.666666666664</v>
      </c>
      <c r="J18" s="82">
        <f t="shared" ref="J18:J29" si="2">B18-I18</f>
        <v>3.9583333333357587</v>
      </c>
      <c r="K18" s="82">
        <f>J18*24</f>
        <v>95.000000000058208</v>
      </c>
      <c r="L18" s="83">
        <f>jar_information!G3</f>
        <v>1089.8750280625609</v>
      </c>
      <c r="M18" s="82">
        <f>F18*L18</f>
        <v>14.436865473803081</v>
      </c>
      <c r="N18" s="82">
        <f>M18*1.83</f>
        <v>26.41946381705964</v>
      </c>
      <c r="O18" s="84">
        <f t="shared" ref="O18:O29" si="3">N18*(12/(12+(16*2)))</f>
        <v>7.2053083137435374</v>
      </c>
      <c r="P18" s="85">
        <f>O18*(400/(400+L18))</f>
        <v>1.9344732082967651</v>
      </c>
      <c r="Q18" s="86"/>
      <c r="R18" s="86">
        <f>Q18/314.7</f>
        <v>0</v>
      </c>
      <c r="S18" s="86">
        <f>R18/P18*100</f>
        <v>0</v>
      </c>
      <c r="T18" s="87">
        <f>F18*1000000</f>
        <v>13246.349445648899</v>
      </c>
      <c r="U18" s="10">
        <f>M18/L18*100</f>
        <v>1.3246349445648899</v>
      </c>
      <c r="V18" s="103">
        <f>O18/K18</f>
        <v>7.584535067093813E-2</v>
      </c>
      <c r="W18" t="s">
        <v>165</v>
      </c>
    </row>
    <row r="19" spans="1:23" x14ac:dyDescent="0.25">
      <c r="A19" s="33" t="s">
        <v>153</v>
      </c>
      <c r="B19" s="77">
        <f t="shared" ref="B19:B29" si="4">$B$3+H19</f>
        <v>43784.625</v>
      </c>
      <c r="C19" s="49">
        <v>1</v>
      </c>
      <c r="D19" s="88">
        <v>1640.1</v>
      </c>
      <c r="E19" s="89">
        <v>432.58</v>
      </c>
      <c r="F19" s="80">
        <f t="shared" ref="F19:F29" si="5">((I$9*D19)+I$10)/C19/1000</f>
        <v>1.4500095189747351E-2</v>
      </c>
      <c r="G19" s="80">
        <f t="shared" ref="G19:G29" si="6">((I$12*E19)+I$13)/C19/1000</f>
        <v>1.3713666510772644E-2</v>
      </c>
      <c r="H19" s="111">
        <v>0.625</v>
      </c>
      <c r="I19" s="81">
        <f>jar_information!M4</f>
        <v>43780.666666666664</v>
      </c>
      <c r="J19" s="82">
        <f t="shared" si="2"/>
        <v>3.9583333333357587</v>
      </c>
      <c r="K19" s="82">
        <f t="shared" ref="K19:K29" si="7">J19*24</f>
        <v>95.000000000058208</v>
      </c>
      <c r="L19" s="83">
        <f>jar_information!G4</f>
        <v>1074.8014191661935</v>
      </c>
      <c r="M19" s="82">
        <f t="shared" ref="M19:M29" si="8">F19*L19</f>
        <v>15.584722887985349</v>
      </c>
      <c r="N19" s="82">
        <f t="shared" ref="N19:N29" si="9">M19*1.83</f>
        <v>28.52004288501319</v>
      </c>
      <c r="O19" s="84">
        <f t="shared" si="3"/>
        <v>7.7781935140945055</v>
      </c>
      <c r="P19" s="85">
        <f t="shared" ref="P19:P29" si="10">O19*(400/(400+L19))</f>
        <v>2.1096246350215888</v>
      </c>
      <c r="Q19" s="86"/>
      <c r="R19" s="86">
        <f t="shared" ref="R19:R29" si="11">Q19/314.7</f>
        <v>0</v>
      </c>
      <c r="S19" s="86">
        <f>R19/P19*100</f>
        <v>0</v>
      </c>
      <c r="T19" s="87">
        <f t="shared" ref="T19:T29" si="12">F19*1000000</f>
        <v>14500.095189747351</v>
      </c>
      <c r="U19" s="10">
        <f t="shared" ref="U19:U29" si="13">M19/L19*100</f>
        <v>1.4500095189747351</v>
      </c>
      <c r="V19" s="103">
        <f t="shared" ref="V19:V29" si="14">O19/K19</f>
        <v>8.1875721200944634E-2</v>
      </c>
      <c r="W19" t="s">
        <v>165</v>
      </c>
    </row>
    <row r="20" spans="1:23" x14ac:dyDescent="0.25">
      <c r="A20" s="33" t="s">
        <v>154</v>
      </c>
      <c r="B20" s="77">
        <f t="shared" si="4"/>
        <v>43784.625</v>
      </c>
      <c r="C20" s="49">
        <v>1</v>
      </c>
      <c r="D20" s="90">
        <v>1286.5999999999999</v>
      </c>
      <c r="E20" s="91">
        <v>350.09</v>
      </c>
      <c r="F20" s="80">
        <f t="shared" si="5"/>
        <v>1.1343406297020839E-2</v>
      </c>
      <c r="G20" s="80">
        <f t="shared" si="6"/>
        <v>1.1039619996688206E-2</v>
      </c>
      <c r="H20" s="111">
        <v>0.625</v>
      </c>
      <c r="I20" s="81">
        <f>jar_information!M5</f>
        <v>43780.666666666664</v>
      </c>
      <c r="J20" s="82">
        <f t="shared" si="2"/>
        <v>3.9583333333357587</v>
      </c>
      <c r="K20" s="82">
        <f t="shared" si="7"/>
        <v>95.000000000058208</v>
      </c>
      <c r="L20" s="83">
        <f>jar_information!G5</f>
        <v>1089.8750280625609</v>
      </c>
      <c r="M20" s="82">
        <f t="shared" si="8"/>
        <v>12.362895256290617</v>
      </c>
      <c r="N20" s="82">
        <f t="shared" si="9"/>
        <v>22.624098319011829</v>
      </c>
      <c r="O20" s="84">
        <f t="shared" si="3"/>
        <v>6.1702086324577712</v>
      </c>
      <c r="P20" s="85">
        <f t="shared" si="10"/>
        <v>1.6565707904995317</v>
      </c>
      <c r="Q20" s="86"/>
      <c r="R20" s="86">
        <f t="shared" si="11"/>
        <v>0</v>
      </c>
      <c r="S20" s="86">
        <f t="shared" ref="S20:S29" si="15">R20/P20*100</f>
        <v>0</v>
      </c>
      <c r="T20" s="87">
        <f t="shared" si="12"/>
        <v>11343.40629702084</v>
      </c>
      <c r="U20" s="10">
        <f t="shared" si="13"/>
        <v>1.1343406297020839</v>
      </c>
      <c r="V20" s="103">
        <f t="shared" si="14"/>
        <v>6.4949564552147274E-2</v>
      </c>
      <c r="W20" t="s">
        <v>165</v>
      </c>
    </row>
    <row r="21" spans="1:23" x14ac:dyDescent="0.25">
      <c r="A21" s="33" t="s">
        <v>155</v>
      </c>
      <c r="B21" s="77">
        <f t="shared" si="4"/>
        <v>43784.625</v>
      </c>
      <c r="C21" s="49">
        <v>1</v>
      </c>
      <c r="D21" s="90">
        <v>1384.1</v>
      </c>
      <c r="E21" s="91">
        <v>371.66</v>
      </c>
      <c r="F21" s="80">
        <f t="shared" si="5"/>
        <v>1.2214063063755873E-2</v>
      </c>
      <c r="G21" s="80">
        <f t="shared" si="6"/>
        <v>1.173884636726405E-2</v>
      </c>
      <c r="H21" s="111">
        <v>0.625</v>
      </c>
      <c r="I21" s="81">
        <f>jar_information!M6</f>
        <v>43780.666666666664</v>
      </c>
      <c r="J21" s="82">
        <f t="shared" si="2"/>
        <v>3.9583333333357587</v>
      </c>
      <c r="K21" s="82">
        <f t="shared" si="7"/>
        <v>95.000000000058208</v>
      </c>
      <c r="L21" s="83">
        <f>jar_information!G6</f>
        <v>1074.8014191661935</v>
      </c>
      <c r="M21" s="82">
        <f t="shared" si="8"/>
        <v>13.127692314710197</v>
      </c>
      <c r="N21" s="82">
        <f t="shared" si="9"/>
        <v>24.02367693591966</v>
      </c>
      <c r="O21" s="84">
        <f t="shared" si="3"/>
        <v>6.5519118916144521</v>
      </c>
      <c r="P21" s="85">
        <f t="shared" si="10"/>
        <v>1.7770289088326747</v>
      </c>
      <c r="Q21" s="86"/>
      <c r="R21" s="86">
        <f t="shared" si="11"/>
        <v>0</v>
      </c>
      <c r="S21" s="86">
        <f t="shared" si="15"/>
        <v>0</v>
      </c>
      <c r="T21" s="87">
        <f t="shared" si="12"/>
        <v>12214.063063755873</v>
      </c>
      <c r="U21" s="10">
        <f t="shared" si="13"/>
        <v>1.2214063063755873</v>
      </c>
      <c r="V21" s="103">
        <f t="shared" si="14"/>
        <v>6.8967493595899348E-2</v>
      </c>
      <c r="W21" t="s">
        <v>165</v>
      </c>
    </row>
    <row r="22" spans="1:23" x14ac:dyDescent="0.25">
      <c r="A22" s="33" t="s">
        <v>156</v>
      </c>
      <c r="B22" s="77">
        <f t="shared" si="4"/>
        <v>43784.625</v>
      </c>
      <c r="C22" s="49">
        <v>1</v>
      </c>
      <c r="D22" s="90">
        <v>970.62</v>
      </c>
      <c r="E22" s="91">
        <v>262.14999999999998</v>
      </c>
      <c r="F22" s="80">
        <f t="shared" si="5"/>
        <v>8.5217639877599519E-3</v>
      </c>
      <c r="G22" s="80">
        <f t="shared" si="6"/>
        <v>8.1889029346372232E-3</v>
      </c>
      <c r="H22" s="111">
        <v>0.625</v>
      </c>
      <c r="I22" s="81">
        <f>jar_information!M7</f>
        <v>43780.666666666664</v>
      </c>
      <c r="J22" s="82">
        <f t="shared" si="2"/>
        <v>3.9583333333357587</v>
      </c>
      <c r="K22" s="82">
        <f t="shared" si="7"/>
        <v>95.000000000058208</v>
      </c>
      <c r="L22" s="83">
        <f>jar_information!G7</f>
        <v>1089.8750280625609</v>
      </c>
      <c r="M22" s="82">
        <f t="shared" si="8"/>
        <v>9.2876577653023986</v>
      </c>
      <c r="N22" s="82">
        <f t="shared" si="9"/>
        <v>16.99641371050339</v>
      </c>
      <c r="O22" s="84">
        <f t="shared" si="3"/>
        <v>4.6353855574100153</v>
      </c>
      <c r="P22" s="85">
        <f t="shared" si="10"/>
        <v>1.2445031885494151</v>
      </c>
      <c r="Q22" s="86"/>
      <c r="R22" s="86">
        <f t="shared" si="11"/>
        <v>0</v>
      </c>
      <c r="S22" s="86">
        <f t="shared" si="15"/>
        <v>0</v>
      </c>
      <c r="T22" s="87">
        <f t="shared" si="12"/>
        <v>8521.7639877599522</v>
      </c>
      <c r="U22" s="10">
        <f t="shared" si="13"/>
        <v>0.85217639877599516</v>
      </c>
      <c r="V22" s="103">
        <f t="shared" si="14"/>
        <v>4.8793532183233422E-2</v>
      </c>
      <c r="W22" t="s">
        <v>165</v>
      </c>
    </row>
    <row r="23" spans="1:23" x14ac:dyDescent="0.25">
      <c r="A23" s="33" t="s">
        <v>157</v>
      </c>
      <c r="B23" s="77">
        <f t="shared" si="4"/>
        <v>43784.625</v>
      </c>
      <c r="C23" s="49">
        <v>1</v>
      </c>
      <c r="D23" s="90">
        <v>969.14</v>
      </c>
      <c r="E23" s="91">
        <v>267.27</v>
      </c>
      <c r="F23" s="80">
        <f t="shared" si="5"/>
        <v>8.5085478645315626E-3</v>
      </c>
      <c r="G23" s="80">
        <f t="shared" si="6"/>
        <v>8.3548759998828565E-3</v>
      </c>
      <c r="H23" s="111">
        <v>0.625</v>
      </c>
      <c r="I23" s="81">
        <f>jar_information!M8</f>
        <v>43780.666666666664</v>
      </c>
      <c r="J23" s="82">
        <f t="shared" si="2"/>
        <v>3.9583333333357587</v>
      </c>
      <c r="K23" s="82">
        <f t="shared" si="7"/>
        <v>95.000000000058208</v>
      </c>
      <c r="L23" s="83">
        <f>jar_information!G8</f>
        <v>1089.8750280625609</v>
      </c>
      <c r="M23" s="82">
        <f t="shared" si="8"/>
        <v>9.2732538426279785</v>
      </c>
      <c r="N23" s="82">
        <f t="shared" si="9"/>
        <v>16.9700545320092</v>
      </c>
      <c r="O23" s="84">
        <f t="shared" si="3"/>
        <v>4.6281966905479637</v>
      </c>
      <c r="P23" s="85">
        <f t="shared" si="10"/>
        <v>1.2425731295238871</v>
      </c>
      <c r="Q23" s="86"/>
      <c r="R23" s="86">
        <f t="shared" si="11"/>
        <v>0</v>
      </c>
      <c r="S23" s="86">
        <f t="shared" si="15"/>
        <v>0</v>
      </c>
      <c r="T23" s="87">
        <f t="shared" si="12"/>
        <v>8508.5478645315634</v>
      </c>
      <c r="U23" s="10">
        <f t="shared" si="13"/>
        <v>0.85085478645315626</v>
      </c>
      <c r="V23" s="103">
        <f t="shared" si="14"/>
        <v>4.871785990047503E-2</v>
      </c>
      <c r="W23" t="s">
        <v>165</v>
      </c>
    </row>
    <row r="24" spans="1:23" x14ac:dyDescent="0.25">
      <c r="A24" s="33" t="s">
        <v>158</v>
      </c>
      <c r="B24" s="77">
        <f t="shared" si="4"/>
        <v>43784.625</v>
      </c>
      <c r="C24" s="49">
        <v>0.4</v>
      </c>
      <c r="D24" s="90">
        <v>865.71</v>
      </c>
      <c r="E24" s="91">
        <v>245.89</v>
      </c>
      <c r="F24" s="80">
        <f t="shared" si="5"/>
        <v>1.896234326688263E-2</v>
      </c>
      <c r="G24" s="80">
        <f t="shared" si="6"/>
        <v>1.915452196506278E-2</v>
      </c>
      <c r="H24" s="111">
        <v>0.625</v>
      </c>
      <c r="I24" s="81">
        <f>jar_information!M9</f>
        <v>43780.666666666664</v>
      </c>
      <c r="J24" s="82">
        <f t="shared" si="2"/>
        <v>3.9583333333357587</v>
      </c>
      <c r="K24" s="82">
        <f t="shared" si="7"/>
        <v>95.000000000058208</v>
      </c>
      <c r="L24" s="83">
        <f>jar_information!G9</f>
        <v>1079.8108667673887</v>
      </c>
      <c r="M24" s="82">
        <f t="shared" si="8"/>
        <v>20.475744318953289</v>
      </c>
      <c r="N24" s="82">
        <f t="shared" si="9"/>
        <v>37.470612103684523</v>
      </c>
      <c r="O24" s="84">
        <f t="shared" si="3"/>
        <v>10.219257846459415</v>
      </c>
      <c r="P24" s="85">
        <f t="shared" si="10"/>
        <v>2.7623145838314156</v>
      </c>
      <c r="Q24" s="86"/>
      <c r="R24" s="86">
        <f t="shared" si="11"/>
        <v>0</v>
      </c>
      <c r="S24" s="86">
        <f t="shared" si="15"/>
        <v>0</v>
      </c>
      <c r="T24" s="87">
        <f t="shared" si="12"/>
        <v>18962.343266882632</v>
      </c>
      <c r="U24" s="10">
        <f t="shared" si="13"/>
        <v>1.8962343266882631</v>
      </c>
      <c r="V24" s="103">
        <f t="shared" si="14"/>
        <v>0.10757113522582268</v>
      </c>
      <c r="W24" t="s">
        <v>165</v>
      </c>
    </row>
    <row r="25" spans="1:23" x14ac:dyDescent="0.25">
      <c r="A25" s="33" t="s">
        <v>159</v>
      </c>
      <c r="B25" s="77">
        <f t="shared" si="4"/>
        <v>43784.625</v>
      </c>
      <c r="C25" s="49">
        <v>0.4</v>
      </c>
      <c r="D25" s="90">
        <v>697.97</v>
      </c>
      <c r="E25" s="91">
        <v>199.97</v>
      </c>
      <c r="F25" s="80">
        <f t="shared" si="5"/>
        <v>1.5217626188622765E-2</v>
      </c>
      <c r="G25" s="80">
        <f t="shared" si="6"/>
        <v>1.5433094642758338E-2</v>
      </c>
      <c r="H25" s="111">
        <v>0.625</v>
      </c>
      <c r="I25" s="81">
        <f>jar_information!M10</f>
        <v>43780.666666666664</v>
      </c>
      <c r="J25" s="82">
        <f t="shared" si="2"/>
        <v>3.9583333333357587</v>
      </c>
      <c r="K25" s="82">
        <f t="shared" si="7"/>
        <v>95.000000000058208</v>
      </c>
      <c r="L25" s="83">
        <f>jar_information!G10</f>
        <v>1094.9298783058375</v>
      </c>
      <c r="M25" s="82">
        <f t="shared" si="8"/>
        <v>16.662233590812448</v>
      </c>
      <c r="N25" s="82">
        <f t="shared" si="9"/>
        <v>30.491887471186782</v>
      </c>
      <c r="O25" s="84">
        <f t="shared" si="3"/>
        <v>8.315969310323668</v>
      </c>
      <c r="P25" s="85">
        <f t="shared" si="10"/>
        <v>2.2251128781365788</v>
      </c>
      <c r="Q25" s="86"/>
      <c r="R25" s="86">
        <f t="shared" si="11"/>
        <v>0</v>
      </c>
      <c r="S25" s="86">
        <f t="shared" si="15"/>
        <v>0</v>
      </c>
      <c r="T25" s="87">
        <f t="shared" si="12"/>
        <v>15217.626188622764</v>
      </c>
      <c r="U25" s="10">
        <f t="shared" si="13"/>
        <v>1.5217626188622764</v>
      </c>
      <c r="V25" s="103">
        <f t="shared" si="14"/>
        <v>8.7536519055984974E-2</v>
      </c>
      <c r="W25" t="s">
        <v>165</v>
      </c>
    </row>
    <row r="26" spans="1:23" x14ac:dyDescent="0.25">
      <c r="A26" s="33" t="s">
        <v>160</v>
      </c>
      <c r="B26" s="77">
        <f t="shared" si="4"/>
        <v>43784.625</v>
      </c>
      <c r="C26" s="49">
        <v>0.4</v>
      </c>
      <c r="D26" s="90">
        <v>907.71</v>
      </c>
      <c r="E26" s="91">
        <v>273.87</v>
      </c>
      <c r="F26" s="80">
        <f t="shared" si="5"/>
        <v>1.9899973631058825E-2</v>
      </c>
      <c r="G26" s="80">
        <f t="shared" si="6"/>
        <v>2.1422064135752646E-2</v>
      </c>
      <c r="H26" s="111">
        <v>0.625</v>
      </c>
      <c r="I26" s="81">
        <f>jar_information!M11</f>
        <v>43780.666666666664</v>
      </c>
      <c r="J26" s="82">
        <f t="shared" si="2"/>
        <v>3.9583333333357587</v>
      </c>
      <c r="K26" s="82">
        <f t="shared" si="7"/>
        <v>95.000000000058208</v>
      </c>
      <c r="L26" s="83">
        <f>jar_information!G11</f>
        <v>1089.8750280625609</v>
      </c>
      <c r="M26" s="82">
        <f t="shared" si="8"/>
        <v>21.688484319594458</v>
      </c>
      <c r="N26" s="82">
        <f t="shared" si="9"/>
        <v>39.689926304857863</v>
      </c>
      <c r="O26" s="84">
        <f t="shared" si="3"/>
        <v>10.824525355870325</v>
      </c>
      <c r="P26" s="85">
        <f t="shared" si="10"/>
        <v>2.9061565975628381</v>
      </c>
      <c r="Q26" s="86"/>
      <c r="R26" s="86">
        <f t="shared" si="11"/>
        <v>0</v>
      </c>
      <c r="S26" s="86">
        <f t="shared" si="15"/>
        <v>0</v>
      </c>
      <c r="T26" s="87">
        <f t="shared" si="12"/>
        <v>19899.973631058823</v>
      </c>
      <c r="U26" s="10">
        <f t="shared" si="13"/>
        <v>1.9899973631058825</v>
      </c>
      <c r="V26" s="103">
        <f t="shared" si="14"/>
        <v>0.11394237216698623</v>
      </c>
      <c r="W26" t="s">
        <v>165</v>
      </c>
    </row>
    <row r="27" spans="1:23" x14ac:dyDescent="0.25">
      <c r="A27" s="33" t="s">
        <v>161</v>
      </c>
      <c r="B27" s="77">
        <f t="shared" si="4"/>
        <v>43784.625</v>
      </c>
      <c r="C27" s="49">
        <v>0.4</v>
      </c>
      <c r="D27" s="90">
        <v>934.79</v>
      </c>
      <c r="E27" s="91">
        <v>279.62</v>
      </c>
      <c r="F27" s="80">
        <f t="shared" si="5"/>
        <v>2.0504521970627663E-2</v>
      </c>
      <c r="G27" s="80">
        <f t="shared" si="6"/>
        <v>2.1888052966398338E-2</v>
      </c>
      <c r="H27" s="111">
        <v>0.625</v>
      </c>
      <c r="I27" s="81">
        <f>jar_information!M12</f>
        <v>43780.666666666664</v>
      </c>
      <c r="J27" s="82">
        <f t="shared" si="2"/>
        <v>3.9583333333357587</v>
      </c>
      <c r="K27" s="82">
        <f t="shared" si="7"/>
        <v>95.000000000058208</v>
      </c>
      <c r="L27" s="83">
        <f>jar_information!G12</f>
        <v>1074.8014191661935</v>
      </c>
      <c r="M27" s="82">
        <f t="shared" si="8"/>
        <v>22.038289313355005</v>
      </c>
      <c r="N27" s="82">
        <f t="shared" si="9"/>
        <v>40.330069443439662</v>
      </c>
      <c r="O27" s="84">
        <f t="shared" si="3"/>
        <v>10.999109848210816</v>
      </c>
      <c r="P27" s="85">
        <f t="shared" si="10"/>
        <v>2.9832110832736705</v>
      </c>
      <c r="Q27" s="86"/>
      <c r="R27" s="86">
        <f t="shared" si="11"/>
        <v>0</v>
      </c>
      <c r="S27" s="86">
        <f t="shared" si="15"/>
        <v>0</v>
      </c>
      <c r="T27" s="87">
        <f t="shared" si="12"/>
        <v>20504.521970627662</v>
      </c>
      <c r="U27" s="10">
        <f t="shared" si="13"/>
        <v>2.0504521970627665</v>
      </c>
      <c r="V27" s="103">
        <f t="shared" si="14"/>
        <v>0.11578010366530607</v>
      </c>
      <c r="W27" t="s">
        <v>165</v>
      </c>
    </row>
    <row r="28" spans="1:23" x14ac:dyDescent="0.25">
      <c r="A28" s="33" t="s">
        <v>162</v>
      </c>
      <c r="B28" s="77">
        <f t="shared" si="4"/>
        <v>43784.625</v>
      </c>
      <c r="C28" s="49">
        <v>0.4</v>
      </c>
      <c r="D28" s="90">
        <v>815.87</v>
      </c>
      <c r="E28" s="91">
        <v>224.37</v>
      </c>
      <c r="F28" s="80">
        <f t="shared" si="5"/>
        <v>1.7849688568060216E-2</v>
      </c>
      <c r="G28" s="80">
        <f t="shared" si="6"/>
        <v>1.7410508115411397E-2</v>
      </c>
      <c r="H28" s="111">
        <v>0.625</v>
      </c>
      <c r="I28" s="81">
        <f>jar_information!M13</f>
        <v>43780.666666666664</v>
      </c>
      <c r="J28" s="82">
        <f t="shared" si="2"/>
        <v>3.9583333333357587</v>
      </c>
      <c r="K28" s="82">
        <f t="shared" si="7"/>
        <v>95.000000000058208</v>
      </c>
      <c r="L28" s="83">
        <f>jar_information!G13</f>
        <v>1089.8750280625609</v>
      </c>
      <c r="M28" s="82">
        <f t="shared" si="8"/>
        <v>19.453929829022599</v>
      </c>
      <c r="N28" s="82">
        <f t="shared" si="9"/>
        <v>35.600691587111356</v>
      </c>
      <c r="O28" s="84">
        <f t="shared" si="3"/>
        <v>9.7092795237576421</v>
      </c>
      <c r="P28" s="85">
        <f t="shared" si="10"/>
        <v>2.6067366298188448</v>
      </c>
      <c r="Q28" s="86"/>
      <c r="R28" s="86">
        <f t="shared" si="11"/>
        <v>0</v>
      </c>
      <c r="S28" s="86">
        <f t="shared" si="15"/>
        <v>0</v>
      </c>
      <c r="T28" s="87">
        <f t="shared" si="12"/>
        <v>17849.688568060217</v>
      </c>
      <c r="U28" s="10">
        <f t="shared" si="13"/>
        <v>1.7849688568060216</v>
      </c>
      <c r="V28" s="103">
        <f t="shared" si="14"/>
        <v>0.10220294235528098</v>
      </c>
      <c r="W28" t="s">
        <v>165</v>
      </c>
    </row>
    <row r="29" spans="1:23" x14ac:dyDescent="0.25">
      <c r="A29" s="33" t="s">
        <v>163</v>
      </c>
      <c r="B29" s="77">
        <f t="shared" si="4"/>
        <v>43784.625</v>
      </c>
      <c r="C29" s="49">
        <v>0.4</v>
      </c>
      <c r="D29" s="90">
        <v>800.7</v>
      </c>
      <c r="E29" s="91">
        <v>219.26</v>
      </c>
      <c r="F29" s="80">
        <f t="shared" si="5"/>
        <v>1.7511025410332771E-2</v>
      </c>
      <c r="G29" s="80">
        <f t="shared" si="6"/>
        <v>1.6996385867654958E-2</v>
      </c>
      <c r="H29" s="111">
        <v>0.625</v>
      </c>
      <c r="I29" s="81">
        <f>jar_information!M14</f>
        <v>43780.666666666664</v>
      </c>
      <c r="J29" s="82">
        <f t="shared" si="2"/>
        <v>3.9583333333357587</v>
      </c>
      <c r="K29" s="82">
        <f t="shared" si="7"/>
        <v>95.000000000058208</v>
      </c>
      <c r="L29" s="83">
        <f>jar_information!G14</f>
        <v>1089.8750280625609</v>
      </c>
      <c r="M29" s="82">
        <f t="shared" si="8"/>
        <v>19.084829310490644</v>
      </c>
      <c r="N29" s="82">
        <f t="shared" si="9"/>
        <v>34.925237638197878</v>
      </c>
      <c r="O29" s="84">
        <f t="shared" si="3"/>
        <v>9.5250648104176019</v>
      </c>
      <c r="P29" s="85">
        <f t="shared" si="10"/>
        <v>2.5572788672897033</v>
      </c>
      <c r="Q29" s="86"/>
      <c r="R29" s="86">
        <f t="shared" si="11"/>
        <v>0</v>
      </c>
      <c r="S29" s="86">
        <f t="shared" si="15"/>
        <v>0</v>
      </c>
      <c r="T29" s="87">
        <f t="shared" si="12"/>
        <v>17511.025410332772</v>
      </c>
      <c r="U29" s="10">
        <f t="shared" si="13"/>
        <v>1.751102541033277</v>
      </c>
      <c r="V29" s="103">
        <f t="shared" si="14"/>
        <v>0.10026384010959753</v>
      </c>
      <c r="W29" t="s">
        <v>165</v>
      </c>
    </row>
    <row r="31" spans="1:23" x14ac:dyDescent="0.25">
      <c r="A31" s="33" t="s">
        <v>166</v>
      </c>
      <c r="B31" s="33" t="s">
        <v>152</v>
      </c>
      <c r="C31" s="118" t="s">
        <v>196</v>
      </c>
      <c r="D31" s="120" t="str">
        <f>CONCATENATE(A31,B31,C31)</f>
        <v>27_HEW22-1_dry_15112019</v>
      </c>
      <c r="E31" s="54">
        <v>1</v>
      </c>
      <c r="F31" t="s">
        <v>195</v>
      </c>
    </row>
    <row r="32" spans="1:23" x14ac:dyDescent="0.25">
      <c r="A32" s="33" t="s">
        <v>167</v>
      </c>
      <c r="B32" s="33" t="s">
        <v>153</v>
      </c>
      <c r="C32" s="118" t="s">
        <v>196</v>
      </c>
      <c r="D32" s="120" t="str">
        <f t="shared" ref="D32:D43" si="16">CONCATENATE(A32,B32,C32)</f>
        <v>28_HEW22-2_dry_15112019</v>
      </c>
      <c r="E32" s="54">
        <v>2</v>
      </c>
    </row>
    <row r="33" spans="1:6" x14ac:dyDescent="0.25">
      <c r="A33" s="33" t="s">
        <v>168</v>
      </c>
      <c r="B33" s="33" t="s">
        <v>154</v>
      </c>
      <c r="C33" s="118" t="s">
        <v>196</v>
      </c>
      <c r="D33" s="120" t="str">
        <f t="shared" si="16"/>
        <v>29_HEW41-1_dry_15112019</v>
      </c>
      <c r="E33" s="54">
        <v>3</v>
      </c>
    </row>
    <row r="34" spans="1:6" x14ac:dyDescent="0.25">
      <c r="A34" s="33" t="s">
        <v>169</v>
      </c>
      <c r="B34" s="33" t="s">
        <v>155</v>
      </c>
      <c r="C34" s="118" t="s">
        <v>196</v>
      </c>
      <c r="D34" s="120" t="str">
        <f t="shared" si="16"/>
        <v>30_HEW41-2_dry_15112019</v>
      </c>
      <c r="E34" s="54">
        <v>4</v>
      </c>
    </row>
    <row r="35" spans="1:6" x14ac:dyDescent="0.25">
      <c r="A35" s="33" t="s">
        <v>170</v>
      </c>
      <c r="B35" s="33" t="s">
        <v>156</v>
      </c>
      <c r="C35" s="118" t="s">
        <v>196</v>
      </c>
      <c r="D35" s="120" t="str">
        <f t="shared" si="16"/>
        <v>31_HEW42-1_dry_15112019</v>
      </c>
      <c r="E35" s="54">
        <v>5</v>
      </c>
    </row>
    <row r="36" spans="1:6" x14ac:dyDescent="0.25">
      <c r="A36" s="33" t="s">
        <v>171</v>
      </c>
      <c r="B36" s="33" t="s">
        <v>157</v>
      </c>
      <c r="C36" s="118" t="s">
        <v>196</v>
      </c>
      <c r="D36" s="120" t="str">
        <f t="shared" si="16"/>
        <v>32_HEW42-2_dry_15112019</v>
      </c>
      <c r="E36" s="54">
        <v>6</v>
      </c>
    </row>
    <row r="37" spans="1:6" x14ac:dyDescent="0.25">
      <c r="A37" s="33" t="s">
        <v>172</v>
      </c>
      <c r="B37" s="33" t="s">
        <v>158</v>
      </c>
      <c r="C37" s="118" t="s">
        <v>196</v>
      </c>
      <c r="D37" s="120" t="str">
        <f t="shared" si="16"/>
        <v>33_HEG10-1_dry_15112019</v>
      </c>
      <c r="E37" s="54">
        <v>7</v>
      </c>
      <c r="F37" t="s">
        <v>195</v>
      </c>
    </row>
    <row r="38" spans="1:6" x14ac:dyDescent="0.25">
      <c r="A38" s="33" t="s">
        <v>173</v>
      </c>
      <c r="B38" s="33" t="s">
        <v>159</v>
      </c>
      <c r="C38" s="118" t="s">
        <v>196</v>
      </c>
      <c r="D38" s="120" t="str">
        <f t="shared" si="16"/>
        <v>34_HEG10-2_dry_15112019</v>
      </c>
      <c r="E38" s="54">
        <v>8</v>
      </c>
      <c r="F38" t="s">
        <v>195</v>
      </c>
    </row>
    <row r="39" spans="1:6" x14ac:dyDescent="0.25">
      <c r="A39" s="33" t="s">
        <v>174</v>
      </c>
      <c r="B39" s="33" t="s">
        <v>160</v>
      </c>
      <c r="C39" s="118" t="s">
        <v>196</v>
      </c>
      <c r="D39" s="120" t="str">
        <f t="shared" si="16"/>
        <v>35_HEG32-1_dry_15112019</v>
      </c>
      <c r="E39" s="54">
        <v>9</v>
      </c>
      <c r="F39" t="s">
        <v>195</v>
      </c>
    </row>
    <row r="40" spans="1:6" x14ac:dyDescent="0.25">
      <c r="A40" s="33" t="s">
        <v>175</v>
      </c>
      <c r="B40" s="33" t="s">
        <v>161</v>
      </c>
      <c r="C40" s="118" t="s">
        <v>196</v>
      </c>
      <c r="D40" s="120" t="str">
        <f t="shared" si="16"/>
        <v>36_HEG32-2_dry_15112019</v>
      </c>
      <c r="E40" s="54">
        <v>10</v>
      </c>
      <c r="F40" t="s">
        <v>195</v>
      </c>
    </row>
    <row r="41" spans="1:6" x14ac:dyDescent="0.25">
      <c r="A41" s="33" t="s">
        <v>176</v>
      </c>
      <c r="B41" s="33" t="s">
        <v>162</v>
      </c>
      <c r="C41" s="118" t="s">
        <v>196</v>
      </c>
      <c r="D41" s="120" t="str">
        <f t="shared" si="16"/>
        <v>37_HEG48-1_dry_15112019</v>
      </c>
      <c r="E41" s="54">
        <v>11</v>
      </c>
      <c r="F41" t="s">
        <v>195</v>
      </c>
    </row>
    <row r="42" spans="1:6" x14ac:dyDescent="0.25">
      <c r="A42" s="33" t="s">
        <v>177</v>
      </c>
      <c r="B42" s="33" t="s">
        <v>163</v>
      </c>
      <c r="C42" s="118" t="s">
        <v>196</v>
      </c>
      <c r="D42" s="120" t="str">
        <f t="shared" si="16"/>
        <v>38_HEG48-2_dry_15112019</v>
      </c>
      <c r="E42" s="54">
        <v>12</v>
      </c>
      <c r="F42" t="s">
        <v>195</v>
      </c>
    </row>
    <row r="43" spans="1:6" x14ac:dyDescent="0.25">
      <c r="A43" s="33" t="s">
        <v>180</v>
      </c>
      <c r="B43" s="33" t="s">
        <v>192</v>
      </c>
      <c r="C43" s="118" t="s">
        <v>196</v>
      </c>
      <c r="D43" s="120" t="str">
        <f t="shared" si="16"/>
        <v>39_Std_flushed_15112019</v>
      </c>
      <c r="E43" s="54">
        <v>13</v>
      </c>
    </row>
    <row r="44" spans="1:6" x14ac:dyDescent="0.25">
      <c r="A44" s="33" t="s">
        <v>181</v>
      </c>
      <c r="B44" s="33" t="s">
        <v>152</v>
      </c>
      <c r="C44" s="119"/>
    </row>
    <row r="45" spans="1:6" x14ac:dyDescent="0.25">
      <c r="A45" s="33" t="s">
        <v>178</v>
      </c>
      <c r="B45" s="33" t="s">
        <v>153</v>
      </c>
      <c r="C45" s="119"/>
    </row>
    <row r="46" spans="1:6" x14ac:dyDescent="0.25">
      <c r="A46" s="33" t="s">
        <v>179</v>
      </c>
      <c r="B46" s="33" t="s">
        <v>154</v>
      </c>
      <c r="C46" s="119"/>
    </row>
    <row r="47" spans="1:6" x14ac:dyDescent="0.25">
      <c r="A47" s="33" t="s">
        <v>182</v>
      </c>
      <c r="B47" s="33" t="s">
        <v>155</v>
      </c>
      <c r="C47" s="119"/>
    </row>
    <row r="48" spans="1:6" x14ac:dyDescent="0.25">
      <c r="A48" s="33" t="s">
        <v>183</v>
      </c>
      <c r="B48" s="33" t="s">
        <v>156</v>
      </c>
      <c r="C48" s="119"/>
    </row>
    <row r="49" spans="1:3" x14ac:dyDescent="0.25">
      <c r="A49" s="33" t="s">
        <v>184</v>
      </c>
      <c r="B49" s="33" t="s">
        <v>157</v>
      </c>
      <c r="C49" s="119"/>
    </row>
    <row r="50" spans="1:3" x14ac:dyDescent="0.25">
      <c r="A50" s="33" t="s">
        <v>185</v>
      </c>
      <c r="B50" s="33" t="s">
        <v>158</v>
      </c>
      <c r="C50" s="119"/>
    </row>
    <row r="51" spans="1:3" x14ac:dyDescent="0.25">
      <c r="A51" s="33" t="s">
        <v>186</v>
      </c>
      <c r="B51" s="33" t="s">
        <v>159</v>
      </c>
      <c r="C51" s="119"/>
    </row>
    <row r="52" spans="1:3" x14ac:dyDescent="0.25">
      <c r="A52" s="33" t="s">
        <v>187</v>
      </c>
      <c r="B52" s="33" t="s">
        <v>160</v>
      </c>
      <c r="C52" s="119"/>
    </row>
    <row r="53" spans="1:3" x14ac:dyDescent="0.25">
      <c r="A53" s="33" t="s">
        <v>188</v>
      </c>
      <c r="B53" s="33" t="s">
        <v>161</v>
      </c>
      <c r="C53" s="119"/>
    </row>
    <row r="54" spans="1:3" x14ac:dyDescent="0.25">
      <c r="A54" s="33" t="s">
        <v>189</v>
      </c>
      <c r="B54" s="33" t="s">
        <v>162</v>
      </c>
      <c r="C54" s="119"/>
    </row>
    <row r="55" spans="1:3" x14ac:dyDescent="0.25">
      <c r="A55" s="33" t="s">
        <v>190</v>
      </c>
      <c r="B55" s="33" t="s">
        <v>163</v>
      </c>
      <c r="C55" s="119"/>
    </row>
    <row r="56" spans="1:3" x14ac:dyDescent="0.25">
      <c r="A56" s="33" t="s">
        <v>191</v>
      </c>
      <c r="B56" s="33" t="s">
        <v>194</v>
      </c>
      <c r="C56" s="119"/>
    </row>
    <row r="57" spans="1:3" x14ac:dyDescent="0.25">
      <c r="A57" s="33" t="s">
        <v>193</v>
      </c>
      <c r="B57" s="33" t="s">
        <v>192</v>
      </c>
      <c r="C57" s="119"/>
    </row>
  </sheetData>
  <conditionalFormatting sqref="O18:O29">
    <cfRule type="cellIs" dxfId="7" priority="1" operator="greaterThan">
      <formula>4</formula>
    </cfRule>
    <cfRule type="cellIs" dxfId="6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I14" sqref="I14"/>
    </sheetView>
  </sheetViews>
  <sheetFormatPr baseColWidth="10" defaultRowHeight="15" x14ac:dyDescent="0.25"/>
  <cols>
    <col min="1" max="1" width="13.42578125" customWidth="1"/>
    <col min="2" max="2" width="15.140625" bestFit="1" customWidth="1"/>
    <col min="9" max="9" width="15.140625" bestFit="1" customWidth="1"/>
  </cols>
  <sheetData>
    <row r="1" spans="1:26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6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6" x14ac:dyDescent="0.25">
      <c r="A3" s="49">
        <v>5</v>
      </c>
      <c r="B3" s="57">
        <v>43787</v>
      </c>
      <c r="C3" s="58">
        <v>2992</v>
      </c>
      <c r="D3" s="47">
        <v>1657.7</v>
      </c>
      <c r="E3" s="59">
        <v>463.23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6" x14ac:dyDescent="0.25">
      <c r="A4" s="49">
        <v>4.4000000000000004</v>
      </c>
      <c r="B4" s="57">
        <v>43787</v>
      </c>
      <c r="C4" s="58">
        <v>2992</v>
      </c>
      <c r="D4" s="59">
        <v>1534</v>
      </c>
      <c r="E4" s="59">
        <v>411.26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6" x14ac:dyDescent="0.25">
      <c r="A5" s="49">
        <v>4</v>
      </c>
      <c r="B5" s="57">
        <v>43787</v>
      </c>
      <c r="C5" s="58">
        <v>2992</v>
      </c>
      <c r="D5" s="47">
        <v>1392.1</v>
      </c>
      <c r="E5" s="59">
        <v>362.87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6" x14ac:dyDescent="0.25">
      <c r="A6" s="49">
        <v>3.4</v>
      </c>
      <c r="B6" s="57">
        <v>43787</v>
      </c>
      <c r="C6" s="58">
        <v>2992</v>
      </c>
      <c r="D6" s="59">
        <v>1178</v>
      </c>
      <c r="E6" s="59">
        <v>331.86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6" x14ac:dyDescent="0.25">
      <c r="A7" s="49">
        <v>3</v>
      </c>
      <c r="B7" s="57">
        <v>43787</v>
      </c>
      <c r="C7" s="58">
        <v>2992</v>
      </c>
      <c r="D7" s="47">
        <v>1069.4000000000001</v>
      </c>
      <c r="E7" s="59">
        <v>286.85000000000002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6" x14ac:dyDescent="0.25">
      <c r="A8" s="49">
        <v>2.4</v>
      </c>
      <c r="B8" s="57">
        <v>43787</v>
      </c>
      <c r="C8" s="58">
        <v>2992</v>
      </c>
      <c r="D8" s="59">
        <v>886.4</v>
      </c>
      <c r="E8" s="59">
        <v>247.92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6" x14ac:dyDescent="0.25">
      <c r="A9" s="49">
        <v>2</v>
      </c>
      <c r="B9" s="57">
        <v>43787</v>
      </c>
      <c r="C9" s="58">
        <v>2992</v>
      </c>
      <c r="D9" s="47">
        <v>747.19</v>
      </c>
      <c r="E9" s="59">
        <v>211.32</v>
      </c>
      <c r="F9" s="60">
        <f t="shared" si="0"/>
        <v>5.984</v>
      </c>
      <c r="G9" s="63" t="s">
        <v>75</v>
      </c>
      <c r="H9" s="63"/>
      <c r="I9" s="64">
        <f>SLOPE(F3:F15,D3:D15)</f>
        <v>8.7619981276340925E-3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6" x14ac:dyDescent="0.25">
      <c r="A10" s="49">
        <v>1.4</v>
      </c>
      <c r="B10" s="57">
        <v>43787</v>
      </c>
      <c r="C10" s="58">
        <v>2992</v>
      </c>
      <c r="D10" s="47">
        <v>535.1</v>
      </c>
      <c r="E10" s="59">
        <v>152.19</v>
      </c>
      <c r="F10" s="60">
        <f t="shared" si="0"/>
        <v>4.1887999999999996</v>
      </c>
      <c r="G10" s="63" t="s">
        <v>76</v>
      </c>
      <c r="H10" s="63"/>
      <c r="I10" s="64">
        <f>INTERCEPT(F3:F15,D3:D15)</f>
        <v>-0.20583336534770158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6" x14ac:dyDescent="0.25">
      <c r="A11" s="49">
        <v>1</v>
      </c>
      <c r="B11" s="57">
        <v>43787</v>
      </c>
      <c r="C11" s="58">
        <v>2992</v>
      </c>
      <c r="D11" s="47">
        <v>385.66</v>
      </c>
      <c r="E11" s="59">
        <v>108.64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6" x14ac:dyDescent="0.25">
      <c r="A12" s="65">
        <v>0.4</v>
      </c>
      <c r="B12" s="57">
        <v>43787</v>
      </c>
      <c r="C12" s="58">
        <v>2992</v>
      </c>
      <c r="D12" s="65">
        <v>141.09</v>
      </c>
      <c r="E12" s="65">
        <v>43.515000000000001</v>
      </c>
      <c r="F12" s="60">
        <f t="shared" si="0"/>
        <v>1.1968000000000001</v>
      </c>
      <c r="G12" s="66" t="s">
        <v>77</v>
      </c>
      <c r="H12" s="66"/>
      <c r="I12" s="67">
        <f>SLOPE(F3:F15,E3:E15)</f>
        <v>3.2440842285070499E-2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6" x14ac:dyDescent="0.25">
      <c r="A13" s="65">
        <v>0.2</v>
      </c>
      <c r="B13" s="57">
        <v>43787</v>
      </c>
      <c r="C13" s="58">
        <v>2992</v>
      </c>
      <c r="D13" s="65">
        <v>72.233999999999995</v>
      </c>
      <c r="E13" s="65">
        <v>23.704000000000001</v>
      </c>
      <c r="F13" s="60">
        <f t="shared" si="0"/>
        <v>0.59840000000000004</v>
      </c>
      <c r="G13" s="68" t="s">
        <v>78</v>
      </c>
      <c r="H13" s="68"/>
      <c r="I13" s="67">
        <f>INTERCEPT(F3:F15,E3:E15)</f>
        <v>-0.34201604297208554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6" x14ac:dyDescent="0.25">
      <c r="A14" s="65">
        <v>0.1</v>
      </c>
      <c r="B14" s="57">
        <v>43787</v>
      </c>
      <c r="C14" s="58">
        <v>2992</v>
      </c>
      <c r="D14" s="65">
        <v>28.774000000000001</v>
      </c>
      <c r="E14" s="65">
        <v>11.56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W14" s="112" t="s">
        <v>149</v>
      </c>
      <c r="X14" s="112" t="s">
        <v>150</v>
      </c>
      <c r="Y14" s="112" t="s">
        <v>149</v>
      </c>
      <c r="Z14" s="112" t="s">
        <v>150</v>
      </c>
    </row>
    <row r="15" spans="1:26" x14ac:dyDescent="0.25">
      <c r="A15" s="65">
        <v>0</v>
      </c>
      <c r="B15" s="57">
        <v>43787</v>
      </c>
      <c r="C15" s="58">
        <v>2992</v>
      </c>
      <c r="D15" s="65">
        <v>0</v>
      </c>
      <c r="E15" s="65">
        <v>0</v>
      </c>
      <c r="F15" s="60">
        <f t="shared" ref="F15" si="1">A15/1000*C15</f>
        <v>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W15" s="117"/>
      <c r="X15" s="117"/>
      <c r="Y15" s="117"/>
      <c r="Z15" s="117"/>
    </row>
    <row r="16" spans="1:26" ht="18" x14ac:dyDescent="0.35">
      <c r="A16" s="69" t="s">
        <v>79</v>
      </c>
      <c r="B16" s="69" t="s">
        <v>80</v>
      </c>
      <c r="C16" s="69" t="s">
        <v>81</v>
      </c>
      <c r="D16" s="69" t="s">
        <v>67</v>
      </c>
      <c r="E16" s="69" t="s">
        <v>68</v>
      </c>
      <c r="F16" s="70" t="s">
        <v>82</v>
      </c>
      <c r="G16" s="70" t="s">
        <v>83</v>
      </c>
      <c r="H16" s="70" t="s">
        <v>146</v>
      </c>
      <c r="I16" s="72" t="s">
        <v>84</v>
      </c>
      <c r="J16" s="69" t="s">
        <v>85</v>
      </c>
      <c r="K16" s="69" t="s">
        <v>85</v>
      </c>
      <c r="L16" s="69" t="s">
        <v>86</v>
      </c>
      <c r="M16" s="69" t="s">
        <v>87</v>
      </c>
      <c r="N16" s="69" t="s">
        <v>88</v>
      </c>
      <c r="O16" s="69" t="s">
        <v>89</v>
      </c>
      <c r="P16" s="73" t="s">
        <v>90</v>
      </c>
      <c r="Q16" s="73" t="s">
        <v>91</v>
      </c>
      <c r="R16" s="73" t="s">
        <v>91</v>
      </c>
      <c r="S16" s="73" t="s">
        <v>91</v>
      </c>
      <c r="T16" s="73" t="s">
        <v>92</v>
      </c>
      <c r="U16" s="69" t="s">
        <v>93</v>
      </c>
      <c r="V16" s="69" t="s">
        <v>119</v>
      </c>
      <c r="W16" s="69" t="s">
        <v>89</v>
      </c>
      <c r="X16" s="69" t="s">
        <v>89</v>
      </c>
      <c r="Y16" s="73" t="s">
        <v>90</v>
      </c>
      <c r="Z16" s="73" t="s">
        <v>90</v>
      </c>
    </row>
    <row r="17" spans="1:26" ht="18.75" thickBot="1" x14ac:dyDescent="0.4">
      <c r="A17" s="74" t="s">
        <v>94</v>
      </c>
      <c r="B17" s="74" t="s">
        <v>95</v>
      </c>
      <c r="C17" s="74" t="s">
        <v>70</v>
      </c>
      <c r="D17" s="56" t="s">
        <v>73</v>
      </c>
      <c r="E17" s="56" t="s">
        <v>73</v>
      </c>
      <c r="F17" s="75" t="s">
        <v>96</v>
      </c>
      <c r="G17" s="75" t="s">
        <v>97</v>
      </c>
      <c r="H17" s="75"/>
      <c r="I17" s="76" t="s">
        <v>98</v>
      </c>
      <c r="J17" s="74" t="s">
        <v>99</v>
      </c>
      <c r="K17" s="74" t="s">
        <v>98</v>
      </c>
      <c r="L17" s="74" t="s">
        <v>70</v>
      </c>
      <c r="M17" s="74" t="s">
        <v>70</v>
      </c>
      <c r="N17" s="74" t="s">
        <v>100</v>
      </c>
      <c r="O17" s="74" t="s">
        <v>100</v>
      </c>
      <c r="P17" s="74" t="s">
        <v>100</v>
      </c>
      <c r="Q17" s="74" t="s">
        <v>101</v>
      </c>
      <c r="R17" s="74" t="s">
        <v>100</v>
      </c>
      <c r="S17" s="74" t="s">
        <v>102</v>
      </c>
      <c r="V17" s="104" t="s">
        <v>118</v>
      </c>
    </row>
    <row r="18" spans="1:26" x14ac:dyDescent="0.25">
      <c r="A18" s="33" t="s">
        <v>152</v>
      </c>
      <c r="B18" s="77">
        <f t="shared" ref="B18:B29" si="2">B3+H18</f>
        <v>43787.416666666664</v>
      </c>
      <c r="C18" s="49">
        <v>1</v>
      </c>
      <c r="D18" s="78">
        <v>576.67999999999995</v>
      </c>
      <c r="E18" s="79">
        <v>173.89</v>
      </c>
      <c r="F18" s="80">
        <f>((I$9*D18)+I$10)/C18/1000</f>
        <v>4.8470357148963257E-3</v>
      </c>
      <c r="G18" s="80">
        <f>((I$12*E18)+I$13)/C18/1000</f>
        <v>5.2991220219788231E-3</v>
      </c>
      <c r="H18" s="111">
        <v>0.41666666666666669</v>
      </c>
      <c r="I18" s="81">
        <f>jar_information!L3</f>
        <v>43784.625</v>
      </c>
      <c r="J18" s="82">
        <f t="shared" ref="J18:J29" si="3">B18-I18</f>
        <v>2.7916666666642413</v>
      </c>
      <c r="K18" s="82">
        <f>J18*24</f>
        <v>66.999999999941792</v>
      </c>
      <c r="L18" s="83">
        <f>jar_information!G3</f>
        <v>1089.8750280625609</v>
      </c>
      <c r="M18" s="82">
        <f>F18*L18</f>
        <v>5.2826631857928676</v>
      </c>
      <c r="N18" s="82">
        <f>M18*1.83</f>
        <v>9.667273630000949</v>
      </c>
      <c r="O18" s="84">
        <f t="shared" ref="O18:O29" si="4">N18*(12/(12+(16*2)))</f>
        <v>2.6365291718184403</v>
      </c>
      <c r="P18" s="85">
        <f>O18*(400/(400+L18))</f>
        <v>0.70785243652200625</v>
      </c>
      <c r="Q18" s="86"/>
      <c r="R18" s="86">
        <f>Q18/314.7</f>
        <v>0</v>
      </c>
      <c r="S18" s="86">
        <f>R18/P18*100</f>
        <v>0</v>
      </c>
      <c r="T18" s="87">
        <f>F18*1000000</f>
        <v>4847.0357148963258</v>
      </c>
      <c r="U18" s="10">
        <f>M18/L18*100</f>
        <v>0.48470357148963256</v>
      </c>
      <c r="V18" s="103">
        <f>O18/K18</f>
        <v>3.9351181668966131E-2</v>
      </c>
      <c r="W18" s="113">
        <f t="shared" ref="W18:W23" si="5">V18*24*5</f>
        <v>4.7221418002759359</v>
      </c>
      <c r="X18" s="113">
        <f t="shared" ref="X18:X23" si="6">V18*24*7</f>
        <v>6.6109985203863104</v>
      </c>
      <c r="Y18" s="114">
        <f t="shared" ref="Y18:Y23" si="7">W18*(400/(400+L18))</f>
        <v>1.2677954086972321</v>
      </c>
      <c r="Z18" s="114">
        <f t="shared" ref="Z18:Z23" si="8">X18*(400/(400+L18))</f>
        <v>1.7749135721761249</v>
      </c>
    </row>
    <row r="19" spans="1:26" x14ac:dyDescent="0.25">
      <c r="A19" s="33" t="s">
        <v>153</v>
      </c>
      <c r="B19" s="77">
        <f t="shared" si="2"/>
        <v>43787.416666666664</v>
      </c>
      <c r="C19" s="49">
        <v>1</v>
      </c>
      <c r="D19" s="88">
        <v>653.85</v>
      </c>
      <c r="E19" s="89">
        <v>186.79</v>
      </c>
      <c r="F19" s="80">
        <f t="shared" ref="F19:F29" si="9">((I$9*D19)+I$10)/C19/1000</f>
        <v>5.5231991104058497E-3</v>
      </c>
      <c r="G19" s="80">
        <f t="shared" ref="G19:G29" si="10">((I$12*E19)+I$13)/C19/1000</f>
        <v>5.7176088874562334E-3</v>
      </c>
      <c r="H19" s="111">
        <v>0.41666666666666669</v>
      </c>
      <c r="I19" s="81">
        <f>jar_information!L4</f>
        <v>43784.625</v>
      </c>
      <c r="J19" s="82">
        <f t="shared" si="3"/>
        <v>2.7916666666642413</v>
      </c>
      <c r="K19" s="82">
        <f t="shared" ref="K19:K29" si="11">J19*24</f>
        <v>66.999999999941792</v>
      </c>
      <c r="L19" s="83">
        <f>jar_information!G4</f>
        <v>1074.8014191661935</v>
      </c>
      <c r="M19" s="82">
        <f t="shared" ref="M19:M29" si="12">F19*L19</f>
        <v>5.9363422422016647</v>
      </c>
      <c r="N19" s="82">
        <f t="shared" ref="N19:N29" si="13">M19*1.83</f>
        <v>10.863506303229046</v>
      </c>
      <c r="O19" s="84">
        <f t="shared" si="4"/>
        <v>2.9627744463351942</v>
      </c>
      <c r="P19" s="85">
        <f t="shared" ref="P19:P29" si="14">O19*(400/(400+L19))</f>
        <v>0.80357244245405024</v>
      </c>
      <c r="Q19" s="86"/>
      <c r="R19" s="86">
        <f t="shared" ref="R19:R29" si="15">Q19/314.7</f>
        <v>0</v>
      </c>
      <c r="S19" s="86">
        <f>R19/P19*100</f>
        <v>0</v>
      </c>
      <c r="T19" s="87">
        <f t="shared" ref="T19:T29" si="16">F19*1000000</f>
        <v>5523.1991104058498</v>
      </c>
      <c r="U19" s="10">
        <f t="shared" ref="U19:U29" si="17">M19/L19*100</f>
        <v>0.55231991104058498</v>
      </c>
      <c r="V19" s="103">
        <f t="shared" ref="V19:V29" si="18">O19/K19</f>
        <v>4.4220514124444298E-2</v>
      </c>
      <c r="W19" s="113">
        <f t="shared" si="5"/>
        <v>5.306461694933315</v>
      </c>
      <c r="X19" s="113">
        <f t="shared" si="6"/>
        <v>7.429046372906642</v>
      </c>
      <c r="Y19" s="114">
        <f t="shared" si="7"/>
        <v>1.4392342252920864</v>
      </c>
      <c r="Z19" s="114">
        <f t="shared" si="8"/>
        <v>2.0149279154089212</v>
      </c>
    </row>
    <row r="20" spans="1:26" x14ac:dyDescent="0.25">
      <c r="A20" s="33" t="s">
        <v>154</v>
      </c>
      <c r="B20" s="77">
        <f t="shared" si="2"/>
        <v>43787.416666666664</v>
      </c>
      <c r="C20" s="49">
        <v>1</v>
      </c>
      <c r="D20" s="90">
        <v>670.54</v>
      </c>
      <c r="E20" s="91">
        <v>182.84</v>
      </c>
      <c r="F20" s="80">
        <f t="shared" si="9"/>
        <v>5.6694368591560631E-3</v>
      </c>
      <c r="G20" s="80">
        <f t="shared" si="10"/>
        <v>5.5894675604302047E-3</v>
      </c>
      <c r="H20" s="111">
        <v>0.41666666666666669</v>
      </c>
      <c r="I20" s="81">
        <f>jar_information!L5</f>
        <v>43784.625</v>
      </c>
      <c r="J20" s="82">
        <f t="shared" si="3"/>
        <v>2.7916666666642413</v>
      </c>
      <c r="K20" s="82">
        <f t="shared" si="11"/>
        <v>66.999999999941792</v>
      </c>
      <c r="L20" s="83">
        <f>jar_information!G5</f>
        <v>1089.8750280625609</v>
      </c>
      <c r="M20" s="82">
        <f t="shared" si="12"/>
        <v>6.1789776559716314</v>
      </c>
      <c r="N20" s="82">
        <f t="shared" si="13"/>
        <v>11.307529110428085</v>
      </c>
      <c r="O20" s="84">
        <f t="shared" si="4"/>
        <v>3.0838715755712958</v>
      </c>
      <c r="P20" s="85">
        <f t="shared" si="14"/>
        <v>0.82795443040120598</v>
      </c>
      <c r="Q20" s="86"/>
      <c r="R20" s="86">
        <f t="shared" si="15"/>
        <v>0</v>
      </c>
      <c r="S20" s="86">
        <f t="shared" ref="S20:S29" si="19">R20/P20*100</f>
        <v>0</v>
      </c>
      <c r="T20" s="87">
        <f t="shared" si="16"/>
        <v>5669.4368591560633</v>
      </c>
      <c r="U20" s="10">
        <f t="shared" si="17"/>
        <v>0.56694368591560629</v>
      </c>
      <c r="V20" s="103">
        <f t="shared" si="18"/>
        <v>4.6027933963790672E-2</v>
      </c>
      <c r="W20" s="113">
        <f t="shared" si="5"/>
        <v>5.5233520756548806</v>
      </c>
      <c r="X20" s="113">
        <f t="shared" si="6"/>
        <v>7.7326929059168323</v>
      </c>
      <c r="Y20" s="114">
        <f t="shared" si="7"/>
        <v>1.482903457436284</v>
      </c>
      <c r="Z20" s="114">
        <f t="shared" si="8"/>
        <v>2.0760648404107975</v>
      </c>
    </row>
    <row r="21" spans="1:26" x14ac:dyDescent="0.25">
      <c r="A21" s="33" t="s">
        <v>155</v>
      </c>
      <c r="B21" s="77">
        <f t="shared" si="2"/>
        <v>43787.416666666664</v>
      </c>
      <c r="C21" s="49">
        <v>1</v>
      </c>
      <c r="D21" s="90">
        <v>682.86</v>
      </c>
      <c r="E21" s="91">
        <v>199.39</v>
      </c>
      <c r="F21" s="80">
        <f t="shared" si="9"/>
        <v>5.7773846760885142E-3</v>
      </c>
      <c r="G21" s="80">
        <f t="shared" si="10"/>
        <v>6.1263635002481208E-3</v>
      </c>
      <c r="H21" s="111">
        <v>0.41666666666666669</v>
      </c>
      <c r="I21" s="81">
        <f>jar_information!L6</f>
        <v>43784.625</v>
      </c>
      <c r="J21" s="82">
        <f t="shared" si="3"/>
        <v>2.7916666666642413</v>
      </c>
      <c r="K21" s="82">
        <f t="shared" si="11"/>
        <v>66.999999999941792</v>
      </c>
      <c r="L21" s="83">
        <f>jar_information!G6</f>
        <v>1074.8014191661935</v>
      </c>
      <c r="M21" s="82">
        <f t="shared" si="12"/>
        <v>6.2095412489289536</v>
      </c>
      <c r="N21" s="82">
        <f t="shared" si="13"/>
        <v>11.363460485539985</v>
      </c>
      <c r="O21" s="84">
        <f t="shared" si="4"/>
        <v>3.0991255869654504</v>
      </c>
      <c r="P21" s="85">
        <f t="shared" si="14"/>
        <v>0.84055400183099882</v>
      </c>
      <c r="Q21" s="86"/>
      <c r="R21" s="86">
        <f t="shared" si="15"/>
        <v>0</v>
      </c>
      <c r="S21" s="86">
        <f t="shared" si="19"/>
        <v>0</v>
      </c>
      <c r="T21" s="87">
        <f t="shared" si="16"/>
        <v>5777.3846760885144</v>
      </c>
      <c r="U21" s="10">
        <f t="shared" si="17"/>
        <v>0.57773846760885139</v>
      </c>
      <c r="V21" s="103">
        <f t="shared" si="18"/>
        <v>4.6255605775643922E-2</v>
      </c>
      <c r="W21" s="113">
        <f t="shared" si="5"/>
        <v>5.5506726930772707</v>
      </c>
      <c r="X21" s="113">
        <f t="shared" si="6"/>
        <v>7.7709417703081796</v>
      </c>
      <c r="Y21" s="114">
        <f t="shared" si="7"/>
        <v>1.5054698540269773</v>
      </c>
      <c r="Z21" s="114">
        <f t="shared" si="8"/>
        <v>2.1076577956377687</v>
      </c>
    </row>
    <row r="22" spans="1:26" x14ac:dyDescent="0.25">
      <c r="A22" s="33" t="s">
        <v>156</v>
      </c>
      <c r="B22" s="77">
        <f t="shared" si="2"/>
        <v>43787.416666666664</v>
      </c>
      <c r="C22" s="49">
        <v>1</v>
      </c>
      <c r="D22" s="90">
        <v>436.3</v>
      </c>
      <c r="E22" s="91">
        <v>128.5</v>
      </c>
      <c r="F22" s="80">
        <f t="shared" si="9"/>
        <v>3.6170264177390532E-3</v>
      </c>
      <c r="G22" s="80">
        <f t="shared" si="10"/>
        <v>3.8266321906594738E-3</v>
      </c>
      <c r="H22" s="111">
        <v>0.41666666666666669</v>
      </c>
      <c r="I22" s="81">
        <f>jar_information!L7</f>
        <v>43784.625</v>
      </c>
      <c r="J22" s="82">
        <f t="shared" si="3"/>
        <v>2.7916666666642413</v>
      </c>
      <c r="K22" s="82">
        <f t="shared" si="11"/>
        <v>66.999999999941792</v>
      </c>
      <c r="L22" s="83">
        <f>jar_information!G7</f>
        <v>1089.8750280625609</v>
      </c>
      <c r="M22" s="82">
        <f t="shared" si="12"/>
        <v>3.9421067685363744</v>
      </c>
      <c r="N22" s="82">
        <f t="shared" si="13"/>
        <v>7.2140553864215651</v>
      </c>
      <c r="O22" s="84">
        <f t="shared" si="4"/>
        <v>1.9674696508422449</v>
      </c>
      <c r="P22" s="85">
        <f t="shared" si="14"/>
        <v>0.528224076190001</v>
      </c>
      <c r="Q22" s="86"/>
      <c r="R22" s="86">
        <f t="shared" si="15"/>
        <v>0</v>
      </c>
      <c r="S22" s="86">
        <f t="shared" si="19"/>
        <v>0</v>
      </c>
      <c r="T22" s="87">
        <f t="shared" si="16"/>
        <v>3617.0264177390532</v>
      </c>
      <c r="U22" s="10">
        <f t="shared" si="17"/>
        <v>0.36170264177390532</v>
      </c>
      <c r="V22" s="103">
        <f t="shared" si="18"/>
        <v>2.936521866931275E-2</v>
      </c>
      <c r="W22" s="113">
        <f t="shared" si="5"/>
        <v>3.52382624031753</v>
      </c>
      <c r="X22" s="113">
        <f t="shared" si="6"/>
        <v>4.9333567364445425</v>
      </c>
      <c r="Y22" s="114">
        <f t="shared" si="7"/>
        <v>0.94607297228142073</v>
      </c>
      <c r="Z22" s="114">
        <f t="shared" si="8"/>
        <v>1.3245021611939891</v>
      </c>
    </row>
    <row r="23" spans="1:26" x14ac:dyDescent="0.25">
      <c r="A23" s="33" t="s">
        <v>157</v>
      </c>
      <c r="B23" s="77">
        <f t="shared" si="2"/>
        <v>43787.416666666664</v>
      </c>
      <c r="C23" s="49">
        <v>1</v>
      </c>
      <c r="D23" s="90">
        <v>445.26</v>
      </c>
      <c r="E23" s="91">
        <v>133.36000000000001</v>
      </c>
      <c r="F23" s="80">
        <f t="shared" si="9"/>
        <v>3.6955339209626542E-3</v>
      </c>
      <c r="G23" s="80">
        <f t="shared" si="10"/>
        <v>3.9842946841649168E-3</v>
      </c>
      <c r="H23" s="111">
        <v>0.41666666666666669</v>
      </c>
      <c r="I23" s="81">
        <f>jar_information!L8</f>
        <v>43784.625</v>
      </c>
      <c r="J23" s="82">
        <f t="shared" si="3"/>
        <v>2.7916666666642413</v>
      </c>
      <c r="K23" s="82">
        <f t="shared" si="11"/>
        <v>66.999999999941792</v>
      </c>
      <c r="L23" s="83">
        <f>jar_information!G8</f>
        <v>1089.8750280625609</v>
      </c>
      <c r="M23" s="82">
        <f t="shared" si="12"/>
        <v>4.0276701358153186</v>
      </c>
      <c r="N23" s="82">
        <f t="shared" si="13"/>
        <v>7.3706363485420336</v>
      </c>
      <c r="O23" s="84">
        <f t="shared" si="4"/>
        <v>2.0101735496023725</v>
      </c>
      <c r="P23" s="85">
        <f t="shared" si="14"/>
        <v>0.5396891717062765</v>
      </c>
      <c r="Q23" s="86"/>
      <c r="R23" s="86">
        <f t="shared" si="15"/>
        <v>0</v>
      </c>
      <c r="S23" s="86">
        <f t="shared" si="19"/>
        <v>0</v>
      </c>
      <c r="T23" s="87">
        <f t="shared" si="16"/>
        <v>3695.5339209626541</v>
      </c>
      <c r="U23" s="10">
        <f t="shared" si="17"/>
        <v>0.36955339209626542</v>
      </c>
      <c r="V23" s="103">
        <f t="shared" si="18"/>
        <v>3.0002590292598788E-2</v>
      </c>
      <c r="W23" s="113">
        <f t="shared" si="5"/>
        <v>3.6003108351118547</v>
      </c>
      <c r="X23" s="113">
        <f t="shared" si="6"/>
        <v>5.0404351691565967</v>
      </c>
      <c r="Y23" s="114">
        <f t="shared" si="7"/>
        <v>0.96660747171357386</v>
      </c>
      <c r="Z23" s="114">
        <f t="shared" si="8"/>
        <v>1.3532504603990034</v>
      </c>
    </row>
    <row r="24" spans="1:26" x14ac:dyDescent="0.25">
      <c r="A24" s="33" t="s">
        <v>158</v>
      </c>
      <c r="B24" s="77">
        <f t="shared" si="2"/>
        <v>43787.416666666664</v>
      </c>
      <c r="C24" s="49">
        <v>1</v>
      </c>
      <c r="D24" s="90">
        <v>779.4</v>
      </c>
      <c r="E24" s="91">
        <v>224.24</v>
      </c>
      <c r="F24" s="80">
        <f t="shared" si="9"/>
        <v>6.62326797533031E-3</v>
      </c>
      <c r="G24" s="80">
        <f t="shared" si="10"/>
        <v>6.9325184310321235E-3</v>
      </c>
      <c r="H24" s="111">
        <v>0.41666666666666669</v>
      </c>
      <c r="I24" s="81">
        <f>jar_information!L9</f>
        <v>43784.625</v>
      </c>
      <c r="J24" s="82">
        <f t="shared" si="3"/>
        <v>2.7916666666642413</v>
      </c>
      <c r="K24" s="82">
        <f t="shared" si="11"/>
        <v>66.999999999941792</v>
      </c>
      <c r="L24" s="83">
        <f>jar_information!G9</f>
        <v>1079.8108667673887</v>
      </c>
      <c r="M24" s="82">
        <f t="shared" si="12"/>
        <v>7.1518767332741096</v>
      </c>
      <c r="N24" s="82">
        <f t="shared" si="13"/>
        <v>13.087934421891621</v>
      </c>
      <c r="O24" s="84">
        <f t="shared" si="4"/>
        <v>3.5694366605158963</v>
      </c>
      <c r="P24" s="85">
        <f t="shared" si="14"/>
        <v>0.96483590996010049</v>
      </c>
      <c r="Q24" s="86"/>
      <c r="R24" s="86">
        <f t="shared" si="15"/>
        <v>0</v>
      </c>
      <c r="S24" s="86">
        <f t="shared" si="19"/>
        <v>0</v>
      </c>
      <c r="T24" s="87">
        <f t="shared" si="16"/>
        <v>6623.26797533031</v>
      </c>
      <c r="U24" s="10">
        <f t="shared" si="17"/>
        <v>0.66232679753303103</v>
      </c>
      <c r="V24" s="103">
        <f t="shared" si="18"/>
        <v>5.3275174037596976E-2</v>
      </c>
      <c r="W24" s="113">
        <f>V24*24*5</f>
        <v>6.3930208845116372</v>
      </c>
      <c r="X24" s="113">
        <f>V24*24*7</f>
        <v>8.9502292383162931</v>
      </c>
      <c r="Y24" s="114">
        <f>W24*(400/(400+L24))</f>
        <v>1.7280643163479499</v>
      </c>
      <c r="Z24" s="114">
        <f t="shared" ref="Z24:Z29" si="20">X24*(400/(400+L24))</f>
        <v>2.41929004288713</v>
      </c>
    </row>
    <row r="25" spans="1:26" x14ac:dyDescent="0.25">
      <c r="A25" s="33" t="s">
        <v>159</v>
      </c>
      <c r="B25" s="77">
        <f t="shared" si="2"/>
        <v>43787.416666666664</v>
      </c>
      <c r="C25" s="49">
        <v>1</v>
      </c>
      <c r="D25" s="90">
        <v>684.03</v>
      </c>
      <c r="E25" s="91">
        <v>212.56</v>
      </c>
      <c r="F25" s="80">
        <f t="shared" si="9"/>
        <v>5.7876362138978461E-3</v>
      </c>
      <c r="G25" s="80">
        <f t="shared" si="10"/>
        <v>6.5536093931424996E-3</v>
      </c>
      <c r="H25" s="111">
        <v>0.41666666666666669</v>
      </c>
      <c r="I25" s="81">
        <f>jar_information!L10</f>
        <v>43784.625</v>
      </c>
      <c r="J25" s="82">
        <f t="shared" si="3"/>
        <v>2.7916666666642413</v>
      </c>
      <c r="K25" s="82">
        <f t="shared" si="11"/>
        <v>66.999999999941792</v>
      </c>
      <c r="L25" s="83">
        <f>jar_information!G10</f>
        <v>1094.9298783058375</v>
      </c>
      <c r="M25" s="82">
        <f t="shared" si="12"/>
        <v>6.3370558153616265</v>
      </c>
      <c r="N25" s="82">
        <f t="shared" si="13"/>
        <v>11.596812142111776</v>
      </c>
      <c r="O25" s="84">
        <f t="shared" si="4"/>
        <v>3.1627669478486662</v>
      </c>
      <c r="P25" s="85">
        <f t="shared" si="14"/>
        <v>0.84626496366048753</v>
      </c>
      <c r="Q25" s="86"/>
      <c r="R25" s="86">
        <f t="shared" si="15"/>
        <v>0</v>
      </c>
      <c r="S25" s="86">
        <f t="shared" si="19"/>
        <v>0</v>
      </c>
      <c r="T25" s="87">
        <f t="shared" si="16"/>
        <v>5787.6362138978466</v>
      </c>
      <c r="U25" s="10">
        <f t="shared" si="17"/>
        <v>0.57876362138978465</v>
      </c>
      <c r="V25" s="103">
        <f t="shared" si="18"/>
        <v>4.720547683360319E-2</v>
      </c>
      <c r="W25" s="113">
        <f t="shared" ref="W25:W29" si="21">V25*24*5</f>
        <v>5.6646572200323835</v>
      </c>
      <c r="X25" s="113">
        <f t="shared" ref="X25:X29" si="22">V25*24*7</f>
        <v>7.9305201080453358</v>
      </c>
      <c r="Y25" s="114">
        <f t="shared" ref="Y25:Y29" si="23">W25*(400/(400+L25))</f>
        <v>1.5156984423783095</v>
      </c>
      <c r="Z25" s="114">
        <f t="shared" si="20"/>
        <v>2.1219778193296328</v>
      </c>
    </row>
    <row r="26" spans="1:26" x14ac:dyDescent="0.25">
      <c r="A26" s="33" t="s">
        <v>160</v>
      </c>
      <c r="B26" s="77">
        <f t="shared" si="2"/>
        <v>43787.416666666664</v>
      </c>
      <c r="C26" s="49">
        <v>1</v>
      </c>
      <c r="D26" s="90">
        <v>882.39</v>
      </c>
      <c r="E26" s="91">
        <v>265.01</v>
      </c>
      <c r="F26" s="80">
        <f t="shared" si="9"/>
        <v>7.5256661624953456E-3</v>
      </c>
      <c r="G26" s="80">
        <f t="shared" si="10"/>
        <v>8.2551315709944468E-3</v>
      </c>
      <c r="H26" s="111">
        <v>0.41666666666666669</v>
      </c>
      <c r="I26" s="81">
        <f>jar_information!L11</f>
        <v>43784.625</v>
      </c>
      <c r="J26" s="82">
        <f t="shared" si="3"/>
        <v>2.7916666666642413</v>
      </c>
      <c r="K26" s="82">
        <f t="shared" si="11"/>
        <v>66.999999999941792</v>
      </c>
      <c r="L26" s="83">
        <f>jar_information!G11</f>
        <v>1089.8750280625609</v>
      </c>
      <c r="M26" s="82">
        <f t="shared" si="12"/>
        <v>8.20203562003908</v>
      </c>
      <c r="N26" s="82">
        <f t="shared" si="13"/>
        <v>15.009725184671517</v>
      </c>
      <c r="O26" s="84">
        <f t="shared" si="4"/>
        <v>4.0935614140013223</v>
      </c>
      <c r="P26" s="85">
        <f t="shared" si="14"/>
        <v>1.0990348416872535</v>
      </c>
      <c r="Q26" s="86"/>
      <c r="R26" s="86">
        <f t="shared" si="15"/>
        <v>0</v>
      </c>
      <c r="S26" s="86">
        <f t="shared" si="19"/>
        <v>0</v>
      </c>
      <c r="T26" s="87">
        <f t="shared" si="16"/>
        <v>7525.6661624953458</v>
      </c>
      <c r="U26" s="10">
        <f t="shared" si="17"/>
        <v>0.75256661624953458</v>
      </c>
      <c r="V26" s="103">
        <f t="shared" si="18"/>
        <v>6.1097931552311621E-2</v>
      </c>
      <c r="W26" s="113">
        <f t="shared" si="21"/>
        <v>7.331751786277394</v>
      </c>
      <c r="X26" s="113">
        <f t="shared" si="22"/>
        <v>10.264452500788352</v>
      </c>
      <c r="Y26" s="114">
        <f t="shared" si="23"/>
        <v>1.9684206119788803</v>
      </c>
      <c r="Z26" s="114">
        <f t="shared" si="20"/>
        <v>2.7557888567704327</v>
      </c>
    </row>
    <row r="27" spans="1:26" x14ac:dyDescent="0.25">
      <c r="A27" s="33" t="s">
        <v>161</v>
      </c>
      <c r="B27" s="77">
        <f t="shared" si="2"/>
        <v>43787.416666666664</v>
      </c>
      <c r="C27" s="49">
        <v>1</v>
      </c>
      <c r="D27" s="90">
        <v>818.96</v>
      </c>
      <c r="E27" s="91">
        <v>245.88</v>
      </c>
      <c r="F27" s="80">
        <f t="shared" si="9"/>
        <v>6.9698926212595153E-3</v>
      </c>
      <c r="G27" s="80">
        <f t="shared" si="10"/>
        <v>7.6345382580810493E-3</v>
      </c>
      <c r="H27" s="111">
        <v>0.41666666666666669</v>
      </c>
      <c r="I27" s="81">
        <f>jar_information!L12</f>
        <v>43784.625</v>
      </c>
      <c r="J27" s="82">
        <f t="shared" si="3"/>
        <v>2.7916666666642413</v>
      </c>
      <c r="K27" s="82">
        <f t="shared" si="11"/>
        <v>66.999999999941792</v>
      </c>
      <c r="L27" s="83">
        <f>jar_information!G12</f>
        <v>1074.8014191661935</v>
      </c>
      <c r="M27" s="82">
        <f t="shared" si="12"/>
        <v>7.4912504807657072</v>
      </c>
      <c r="N27" s="82">
        <f t="shared" si="13"/>
        <v>13.708988379801244</v>
      </c>
      <c r="O27" s="84">
        <f t="shared" si="4"/>
        <v>3.7388150126730664</v>
      </c>
      <c r="P27" s="85">
        <f t="shared" si="14"/>
        <v>1.0140524586115127</v>
      </c>
      <c r="Q27" s="86"/>
      <c r="R27" s="86">
        <f t="shared" si="15"/>
        <v>0</v>
      </c>
      <c r="S27" s="86">
        <f t="shared" si="19"/>
        <v>0</v>
      </c>
      <c r="T27" s="87">
        <f t="shared" si="16"/>
        <v>6969.8926212595152</v>
      </c>
      <c r="U27" s="10">
        <f t="shared" si="17"/>
        <v>0.69698926212595158</v>
      </c>
      <c r="V27" s="103">
        <f t="shared" si="18"/>
        <v>5.5803209144422605E-2</v>
      </c>
      <c r="W27" s="113">
        <f t="shared" si="21"/>
        <v>6.6963850973307126</v>
      </c>
      <c r="X27" s="113">
        <f t="shared" si="22"/>
        <v>9.3749391362629986</v>
      </c>
      <c r="Y27" s="114">
        <f t="shared" si="23"/>
        <v>1.8162133587087648</v>
      </c>
      <c r="Z27" s="114">
        <f t="shared" si="20"/>
        <v>2.5426987021922711</v>
      </c>
    </row>
    <row r="28" spans="1:26" x14ac:dyDescent="0.25">
      <c r="A28" s="33" t="s">
        <v>162</v>
      </c>
      <c r="B28" s="77">
        <f t="shared" si="2"/>
        <v>43787.416666666664</v>
      </c>
      <c r="C28" s="49">
        <v>1</v>
      </c>
      <c r="D28" s="90">
        <v>960.63</v>
      </c>
      <c r="E28" s="91">
        <v>272.67</v>
      </c>
      <c r="F28" s="80">
        <f t="shared" si="9"/>
        <v>8.2112048960014377E-3</v>
      </c>
      <c r="G28" s="80">
        <f t="shared" si="10"/>
        <v>8.5036284228980873E-3</v>
      </c>
      <c r="H28" s="111">
        <v>0.41666666666666669</v>
      </c>
      <c r="I28" s="81">
        <f>jar_information!L13</f>
        <v>43784.625</v>
      </c>
      <c r="J28" s="82">
        <f t="shared" si="3"/>
        <v>2.7916666666642413</v>
      </c>
      <c r="K28" s="82">
        <f t="shared" si="11"/>
        <v>66.999999999941792</v>
      </c>
      <c r="L28" s="83">
        <f>jar_information!G13</f>
        <v>1089.8750280625609</v>
      </c>
      <c r="M28" s="82">
        <f t="shared" si="12"/>
        <v>8.9491871664570048</v>
      </c>
      <c r="N28" s="82">
        <f t="shared" si="13"/>
        <v>16.377012514616318</v>
      </c>
      <c r="O28" s="84">
        <f t="shared" si="4"/>
        <v>4.4664579585317226</v>
      </c>
      <c r="P28" s="85">
        <f t="shared" si="14"/>
        <v>1.1991496936061601</v>
      </c>
      <c r="Q28" s="86"/>
      <c r="R28" s="86">
        <f t="shared" si="15"/>
        <v>0</v>
      </c>
      <c r="S28" s="86">
        <f t="shared" si="19"/>
        <v>0</v>
      </c>
      <c r="T28" s="87">
        <f t="shared" si="16"/>
        <v>8211.2048960014381</v>
      </c>
      <c r="U28" s="10">
        <f t="shared" si="17"/>
        <v>0.82112048960014372</v>
      </c>
      <c r="V28" s="103">
        <f t="shared" si="18"/>
        <v>6.6663551619934369E-2</v>
      </c>
      <c r="W28" s="113">
        <f t="shared" si="21"/>
        <v>7.9996261943921247</v>
      </c>
      <c r="X28" s="113">
        <f t="shared" si="22"/>
        <v>11.199476672148974</v>
      </c>
      <c r="Y28" s="114">
        <f t="shared" si="23"/>
        <v>2.1477307945203616</v>
      </c>
      <c r="Z28" s="114">
        <f t="shared" si="20"/>
        <v>3.0068231123285059</v>
      </c>
    </row>
    <row r="29" spans="1:26" x14ac:dyDescent="0.25">
      <c r="A29" s="33" t="s">
        <v>163</v>
      </c>
      <c r="B29" s="77">
        <f t="shared" si="2"/>
        <v>43787.416666666664</v>
      </c>
      <c r="C29" s="49">
        <v>1</v>
      </c>
      <c r="D29" s="90">
        <v>861.39</v>
      </c>
      <c r="E29" s="91">
        <v>236.03</v>
      </c>
      <c r="F29" s="80">
        <f t="shared" si="9"/>
        <v>7.3416642018150294E-3</v>
      </c>
      <c r="G29" s="80">
        <f t="shared" si="10"/>
        <v>7.3149959615731045E-3</v>
      </c>
      <c r="H29" s="111">
        <v>0.41666666666666669</v>
      </c>
      <c r="I29" s="81">
        <f>jar_information!L14</f>
        <v>43784.625</v>
      </c>
      <c r="J29" s="82">
        <f t="shared" si="3"/>
        <v>2.7916666666642413</v>
      </c>
      <c r="K29" s="82">
        <f t="shared" si="11"/>
        <v>66.999999999941792</v>
      </c>
      <c r="L29" s="83">
        <f>jar_information!G14</f>
        <v>1089.8750280625609</v>
      </c>
      <c r="M29" s="82">
        <f t="shared" si="12"/>
        <v>8.0014964779790532</v>
      </c>
      <c r="N29" s="82">
        <f t="shared" si="13"/>
        <v>14.642738554701667</v>
      </c>
      <c r="O29" s="84">
        <f t="shared" si="4"/>
        <v>3.9934741512822725</v>
      </c>
      <c r="P29" s="85">
        <f t="shared" si="14"/>
        <v>1.0721635240709824</v>
      </c>
      <c r="Q29" s="86"/>
      <c r="R29" s="86">
        <f t="shared" si="15"/>
        <v>0</v>
      </c>
      <c r="S29" s="86">
        <f t="shared" si="19"/>
        <v>0</v>
      </c>
      <c r="T29" s="87">
        <f t="shared" si="16"/>
        <v>7341.6642018150296</v>
      </c>
      <c r="U29" s="10">
        <f t="shared" si="17"/>
        <v>0.73416642018150291</v>
      </c>
      <c r="V29" s="103">
        <f t="shared" si="18"/>
        <v>5.9604091810234953E-2</v>
      </c>
      <c r="W29" s="113">
        <f t="shared" si="21"/>
        <v>7.1524910172281944</v>
      </c>
      <c r="X29" s="113">
        <f t="shared" si="22"/>
        <v>10.013487424119472</v>
      </c>
      <c r="Y29" s="114">
        <f t="shared" si="23"/>
        <v>1.9202928789347711</v>
      </c>
      <c r="Z29" s="114">
        <f t="shared" si="20"/>
        <v>2.6884100305086793</v>
      </c>
    </row>
    <row r="31" spans="1:26" x14ac:dyDescent="0.25">
      <c r="K31" s="82"/>
    </row>
    <row r="32" spans="1:26" x14ac:dyDescent="0.25">
      <c r="K32" s="82"/>
    </row>
    <row r="33" spans="11:11" x14ac:dyDescent="0.25">
      <c r="K33" s="82"/>
    </row>
  </sheetData>
  <conditionalFormatting sqref="O18:O29">
    <cfRule type="cellIs" dxfId="5" priority="1" operator="greaterThan">
      <formula>4</formula>
    </cfRule>
    <cfRule type="cellIs" dxfId="4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sqref="A1:V28"/>
    </sheetView>
  </sheetViews>
  <sheetFormatPr baseColWidth="10" defaultRowHeight="15" x14ac:dyDescent="0.25"/>
  <cols>
    <col min="2" max="2" width="15.140625" bestFit="1" customWidth="1"/>
  </cols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43790</v>
      </c>
      <c r="C3" s="58">
        <v>2992</v>
      </c>
      <c r="D3" s="47">
        <v>1738.8</v>
      </c>
      <c r="E3" s="59">
        <v>470.82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43791</v>
      </c>
      <c r="C4" s="58">
        <v>2992</v>
      </c>
      <c r="D4" s="59">
        <v>1575.7</v>
      </c>
      <c r="E4" s="59">
        <v>415.91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43791</v>
      </c>
      <c r="C5" s="58">
        <v>2992</v>
      </c>
      <c r="D5" s="47">
        <v>1422.8</v>
      </c>
      <c r="E5" s="59">
        <v>397.68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43791</v>
      </c>
      <c r="C6" s="58">
        <v>2992</v>
      </c>
      <c r="D6" s="59">
        <v>1240.0999999999999</v>
      </c>
      <c r="E6" s="59">
        <v>344.17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43791</v>
      </c>
      <c r="C7" s="58">
        <v>2992</v>
      </c>
      <c r="D7" s="47">
        <v>1117.0999999999999</v>
      </c>
      <c r="E7" s="59">
        <v>301.76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43791</v>
      </c>
      <c r="C8" s="58">
        <v>2992</v>
      </c>
      <c r="D8" s="59">
        <v>868.69</v>
      </c>
      <c r="E8" s="59">
        <v>259.60000000000002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43791</v>
      </c>
      <c r="C9" s="58">
        <v>2992</v>
      </c>
      <c r="D9" s="47">
        <v>718.01</v>
      </c>
      <c r="E9" s="59">
        <v>213.22</v>
      </c>
      <c r="F9" s="60">
        <f t="shared" si="0"/>
        <v>5.984</v>
      </c>
      <c r="G9" s="63" t="s">
        <v>75</v>
      </c>
      <c r="H9" s="63"/>
      <c r="I9" s="64">
        <f>SLOPE(F3:F14,D3:D14)</f>
        <v>8.4451813765764692E-3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43791</v>
      </c>
      <c r="C10" s="58">
        <v>2992</v>
      </c>
      <c r="D10" s="47">
        <v>494.83</v>
      </c>
      <c r="E10" s="59">
        <v>140.24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-9.9751670282658189E-2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43791</v>
      </c>
      <c r="C11" s="58">
        <v>2992</v>
      </c>
      <c r="D11" s="47">
        <v>379.81</v>
      </c>
      <c r="E11" s="59">
        <v>104.69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43791</v>
      </c>
      <c r="C12" s="58">
        <v>2992</v>
      </c>
      <c r="D12" s="65">
        <v>151.01</v>
      </c>
      <c r="E12" s="65">
        <v>48.212000000000003</v>
      </c>
      <c r="F12" s="60">
        <f t="shared" si="0"/>
        <v>1.1968000000000001</v>
      </c>
      <c r="G12" s="66" t="s">
        <v>77</v>
      </c>
      <c r="H12" s="66"/>
      <c r="I12" s="67">
        <f>SLOPE(F3:F14,E3:E14)</f>
        <v>3.1425019433869598E-2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43791</v>
      </c>
      <c r="C13" s="58">
        <v>2992</v>
      </c>
      <c r="D13" s="65">
        <v>72.843999999999994</v>
      </c>
      <c r="E13" s="65">
        <v>23.887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-0.34986845707897629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43791</v>
      </c>
      <c r="C14" s="58">
        <v>2992</v>
      </c>
      <c r="D14" s="65">
        <v>34.023000000000003</v>
      </c>
      <c r="E14" s="65">
        <v>12.666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8" x14ac:dyDescent="0.35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146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8.75" thickBot="1" x14ac:dyDescent="0.4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2" x14ac:dyDescent="0.25">
      <c r="A17" s="33" t="s">
        <v>152</v>
      </c>
      <c r="B17" s="77">
        <f>$B$3+H17</f>
        <v>43790.6875</v>
      </c>
      <c r="C17" s="49">
        <v>1</v>
      </c>
      <c r="D17" s="78">
        <v>807.45</v>
      </c>
      <c r="E17" s="79">
        <v>211.97</v>
      </c>
      <c r="F17" s="80">
        <f>((I$9*D17)+I$10)/C17/1000</f>
        <v>6.7193100322340124E-3</v>
      </c>
      <c r="G17" s="80">
        <f>((I$12*E17)+I$13)/C17/1000</f>
        <v>6.3112929123183619E-3</v>
      </c>
      <c r="H17" s="111">
        <v>0.6875</v>
      </c>
      <c r="I17" s="81">
        <f>jar_information!L3</f>
        <v>43784.625</v>
      </c>
      <c r="J17" s="82">
        <f t="shared" ref="J17:J28" si="1">B17-I17</f>
        <v>6.0625</v>
      </c>
      <c r="K17" s="82">
        <f>J17*24</f>
        <v>145.5</v>
      </c>
      <c r="L17" s="83">
        <f>jar_information!G3</f>
        <v>1089.8750280625609</v>
      </c>
      <c r="M17" s="82">
        <f>F17*L17</f>
        <v>7.3232082099420914</v>
      </c>
      <c r="N17" s="82">
        <f>M17*1.83</f>
        <v>13.401471024194027</v>
      </c>
      <c r="O17" s="84">
        <f t="shared" ref="O17:O28" si="2">N17*(12/(12+(16*2)))</f>
        <v>3.654946642962007</v>
      </c>
      <c r="P17" s="85">
        <f>O17*(400/(400+L17))</f>
        <v>0.98127603298779054</v>
      </c>
      <c r="Q17" s="86"/>
      <c r="R17" s="86">
        <f>Q17/314.7</f>
        <v>0</v>
      </c>
      <c r="S17" s="86">
        <f>R17/P17*100</f>
        <v>0</v>
      </c>
      <c r="T17" s="87">
        <f>F17*1000000</f>
        <v>6719.3100322340124</v>
      </c>
      <c r="U17" s="10">
        <f>M17/L17*100</f>
        <v>0.67193100322340127</v>
      </c>
      <c r="V17" s="103">
        <f>O17/K17</f>
        <v>2.5119908199051594E-2</v>
      </c>
    </row>
    <row r="18" spans="1:22" x14ac:dyDescent="0.25">
      <c r="A18" s="33" t="s">
        <v>153</v>
      </c>
      <c r="B18" s="77">
        <f t="shared" ref="B18:B28" si="3">$B$3+H18</f>
        <v>43790.6875</v>
      </c>
      <c r="C18" s="49">
        <v>1</v>
      </c>
      <c r="D18" s="88">
        <v>878.93</v>
      </c>
      <c r="E18" s="89">
        <v>231.8</v>
      </c>
      <c r="F18" s="80">
        <f t="shared" ref="F18:F28" si="4">((I$9*D18)+I$10)/C18/1000</f>
        <v>7.3229715970316977E-3</v>
      </c>
      <c r="G18" s="80">
        <f t="shared" ref="G18:G28" si="5">((I$12*E18)+I$13)/C18/1000</f>
        <v>6.9344510476919974E-3</v>
      </c>
      <c r="H18" s="111">
        <v>0.6875</v>
      </c>
      <c r="I18" s="81">
        <f>jar_information!L4</f>
        <v>43784.625</v>
      </c>
      <c r="J18" s="82">
        <f t="shared" si="1"/>
        <v>6.0625</v>
      </c>
      <c r="K18" s="82">
        <f t="shared" ref="K18:K28" si="6">J18*24</f>
        <v>145.5</v>
      </c>
      <c r="L18" s="83">
        <f>jar_information!G4</f>
        <v>1074.8014191661935</v>
      </c>
      <c r="M18" s="82">
        <f t="shared" ref="M18:M28" si="7">F18*L18</f>
        <v>7.8707402650033949</v>
      </c>
      <c r="N18" s="82">
        <f t="shared" ref="N18:N28" si="8">M18*1.83</f>
        <v>14.403454684956213</v>
      </c>
      <c r="O18" s="84">
        <f t="shared" si="2"/>
        <v>3.9282149140789668</v>
      </c>
      <c r="P18" s="85">
        <f t="shared" ref="P18:P28" si="9">O18*(400/(400+L18))</f>
        <v>1.0654220596830879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7322.9715970316975</v>
      </c>
      <c r="U18" s="10">
        <f t="shared" ref="U18:U28" si="12">M18/L18*100</f>
        <v>0.73229715970316978</v>
      </c>
      <c r="V18" s="103">
        <f t="shared" ref="V18:V28" si="13">O18/K18</f>
        <v>2.6998040646590837E-2</v>
      </c>
    </row>
    <row r="19" spans="1:22" x14ac:dyDescent="0.25">
      <c r="A19" s="33" t="s">
        <v>154</v>
      </c>
      <c r="B19" s="77">
        <f t="shared" si="3"/>
        <v>43790.6875</v>
      </c>
      <c r="C19" s="49">
        <v>1</v>
      </c>
      <c r="D19" s="90">
        <v>873.27</v>
      </c>
      <c r="E19" s="91">
        <v>236.14</v>
      </c>
      <c r="F19" s="80">
        <f t="shared" si="4"/>
        <v>7.275171870440275E-3</v>
      </c>
      <c r="G19" s="80">
        <f t="shared" si="5"/>
        <v>7.0708356320349905E-3</v>
      </c>
      <c r="H19" s="111">
        <v>0.6875</v>
      </c>
      <c r="I19" s="81">
        <f>jar_information!L5</f>
        <v>43784.625</v>
      </c>
      <c r="J19" s="82">
        <f t="shared" si="1"/>
        <v>6.0625</v>
      </c>
      <c r="K19" s="82">
        <f t="shared" si="6"/>
        <v>145.5</v>
      </c>
      <c r="L19" s="83">
        <f>jar_information!G5</f>
        <v>1089.8750280625609</v>
      </c>
      <c r="M19" s="82">
        <f t="shared" si="7"/>
        <v>7.9290281464560479</v>
      </c>
      <c r="N19" s="82">
        <f t="shared" si="8"/>
        <v>14.510121508014569</v>
      </c>
      <c r="O19" s="84">
        <f t="shared" si="2"/>
        <v>3.9573058658221547</v>
      </c>
      <c r="P19" s="85">
        <f t="shared" si="9"/>
        <v>1.0624531027862787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7275.1718704402747</v>
      </c>
      <c r="U19" s="10">
        <f t="shared" si="12"/>
        <v>0.72751718704402746</v>
      </c>
      <c r="V19" s="103">
        <f t="shared" si="13"/>
        <v>2.7197978459258795E-2</v>
      </c>
    </row>
    <row r="20" spans="1:22" x14ac:dyDescent="0.25">
      <c r="A20" s="33" t="s">
        <v>155</v>
      </c>
      <c r="B20" s="77">
        <f t="shared" si="3"/>
        <v>43790.6875</v>
      </c>
      <c r="C20" s="49">
        <v>1</v>
      </c>
      <c r="D20" s="90">
        <v>990.35</v>
      </c>
      <c r="E20" s="91">
        <v>283.97000000000003</v>
      </c>
      <c r="F20" s="80">
        <f t="shared" si="4"/>
        <v>8.2639337060098472E-3</v>
      </c>
      <c r="G20" s="80">
        <f t="shared" si="5"/>
        <v>8.573894311556975E-3</v>
      </c>
      <c r="H20" s="111">
        <v>0.6875</v>
      </c>
      <c r="I20" s="81">
        <f>jar_information!L6</f>
        <v>43784.625</v>
      </c>
      <c r="J20" s="82">
        <f t="shared" si="1"/>
        <v>6.0625</v>
      </c>
      <c r="K20" s="82">
        <f t="shared" si="6"/>
        <v>145.5</v>
      </c>
      <c r="L20" s="83">
        <f>jar_information!G6</f>
        <v>1074.8014191661935</v>
      </c>
      <c r="M20" s="82">
        <f t="shared" si="7"/>
        <v>8.8820876751147235</v>
      </c>
      <c r="N20" s="82">
        <f t="shared" si="8"/>
        <v>16.254220445459946</v>
      </c>
      <c r="O20" s="84">
        <f t="shared" si="2"/>
        <v>4.4329692123981665</v>
      </c>
      <c r="P20" s="85">
        <f t="shared" si="9"/>
        <v>1.2023230123834376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8263.9337060098478</v>
      </c>
      <c r="U20" s="10">
        <f t="shared" si="12"/>
        <v>0.82639337060098472</v>
      </c>
      <c r="V20" s="103">
        <f t="shared" si="13"/>
        <v>3.0467142353252003E-2</v>
      </c>
    </row>
    <row r="21" spans="1:22" x14ac:dyDescent="0.25">
      <c r="A21" s="33" t="s">
        <v>156</v>
      </c>
      <c r="B21" s="77">
        <f t="shared" si="3"/>
        <v>43790.6875</v>
      </c>
      <c r="C21" s="49">
        <v>1</v>
      </c>
      <c r="D21" s="90">
        <v>674.43</v>
      </c>
      <c r="E21" s="91">
        <v>189.03</v>
      </c>
      <c r="F21" s="80">
        <f t="shared" si="4"/>
        <v>5.5959320055218092E-3</v>
      </c>
      <c r="G21" s="80">
        <f t="shared" si="5"/>
        <v>5.5904029665053943E-3</v>
      </c>
      <c r="H21" s="111">
        <v>0.6875</v>
      </c>
      <c r="I21" s="81">
        <f>jar_information!L7</f>
        <v>43784.625</v>
      </c>
      <c r="J21" s="82">
        <f t="shared" si="1"/>
        <v>6.0625</v>
      </c>
      <c r="K21" s="82">
        <f t="shared" si="6"/>
        <v>145.5</v>
      </c>
      <c r="L21" s="83">
        <f>jar_information!G7</f>
        <v>1089.8750280625609</v>
      </c>
      <c r="M21" s="82">
        <f t="shared" si="7"/>
        <v>6.0988665515542646</v>
      </c>
      <c r="N21" s="82">
        <f t="shared" si="8"/>
        <v>11.160925789344304</v>
      </c>
      <c r="O21" s="84">
        <f t="shared" si="2"/>
        <v>3.0438888516393554</v>
      </c>
      <c r="P21" s="85">
        <f t="shared" si="9"/>
        <v>0.81721991289367135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5595.9320055218095</v>
      </c>
      <c r="U21" s="10">
        <f t="shared" si="12"/>
        <v>0.55959320055218087</v>
      </c>
      <c r="V21" s="103">
        <f t="shared" si="13"/>
        <v>2.0920198293053988E-2</v>
      </c>
    </row>
    <row r="22" spans="1:22" x14ac:dyDescent="0.25">
      <c r="A22" s="33" t="s">
        <v>157</v>
      </c>
      <c r="B22" s="77">
        <f t="shared" si="3"/>
        <v>43790.6875</v>
      </c>
      <c r="C22" s="49">
        <v>1</v>
      </c>
      <c r="D22" s="90">
        <v>669.47</v>
      </c>
      <c r="E22" s="91">
        <v>189.28</v>
      </c>
      <c r="F22" s="80">
        <f t="shared" si="4"/>
        <v>5.5540439058939907E-3</v>
      </c>
      <c r="G22" s="80">
        <f t="shared" si="5"/>
        <v>5.5982592213638608E-3</v>
      </c>
      <c r="H22" s="111">
        <v>0.6875</v>
      </c>
      <c r="I22" s="81">
        <f>jar_information!L8</f>
        <v>43784.625</v>
      </c>
      <c r="J22" s="82">
        <f t="shared" si="1"/>
        <v>6.0625</v>
      </c>
      <c r="K22" s="82">
        <f t="shared" si="6"/>
        <v>145.5</v>
      </c>
      <c r="L22" s="83">
        <f>jar_information!G8</f>
        <v>1089.8750280625609</v>
      </c>
      <c r="M22" s="82">
        <f t="shared" si="7"/>
        <v>6.0532137577969083</v>
      </c>
      <c r="N22" s="82">
        <f t="shared" si="8"/>
        <v>11.077381176768343</v>
      </c>
      <c r="O22" s="84">
        <f t="shared" si="2"/>
        <v>3.0211039573004568</v>
      </c>
      <c r="P22" s="85">
        <f t="shared" si="9"/>
        <v>0.8111026496575654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5554.043905893991</v>
      </c>
      <c r="U22" s="10">
        <f t="shared" si="12"/>
        <v>0.55540439058939906</v>
      </c>
      <c r="V22" s="103">
        <f t="shared" si="13"/>
        <v>2.0763601081102794E-2</v>
      </c>
    </row>
    <row r="23" spans="1:22" x14ac:dyDescent="0.25">
      <c r="A23" s="33" t="s">
        <v>158</v>
      </c>
      <c r="B23" s="77">
        <f t="shared" si="3"/>
        <v>43790.6875</v>
      </c>
      <c r="C23" s="49">
        <v>1</v>
      </c>
      <c r="D23" s="90">
        <v>1146.3</v>
      </c>
      <c r="E23" s="91">
        <v>315.89999999999998</v>
      </c>
      <c r="F23" s="80">
        <f t="shared" si="4"/>
        <v>9.5809597416869462E-3</v>
      </c>
      <c r="G23" s="80">
        <f t="shared" si="5"/>
        <v>9.5772951820804284E-3</v>
      </c>
      <c r="H23" s="111">
        <v>0.6875</v>
      </c>
      <c r="I23" s="81">
        <f>jar_information!L9</f>
        <v>43784.625</v>
      </c>
      <c r="J23" s="82">
        <f t="shared" si="1"/>
        <v>6.0625</v>
      </c>
      <c r="K23" s="82">
        <f t="shared" si="6"/>
        <v>145.5</v>
      </c>
      <c r="L23" s="83">
        <f>jar_information!G9</f>
        <v>1079.8108667673887</v>
      </c>
      <c r="M23" s="82">
        <f t="shared" si="7"/>
        <v>10.345624443134438</v>
      </c>
      <c r="N23" s="82">
        <f t="shared" si="8"/>
        <v>18.932492730936023</v>
      </c>
      <c r="O23" s="84">
        <f t="shared" si="2"/>
        <v>5.1634071084370969</v>
      </c>
      <c r="P23" s="85">
        <f t="shared" si="9"/>
        <v>1.395693794225592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9580.9597416869456</v>
      </c>
      <c r="U23" s="10">
        <f t="shared" si="12"/>
        <v>0.95809597416869463</v>
      </c>
      <c r="V23" s="103">
        <f t="shared" si="13"/>
        <v>3.5487334078605479E-2</v>
      </c>
    </row>
    <row r="24" spans="1:22" x14ac:dyDescent="0.25">
      <c r="A24" s="33" t="s">
        <v>159</v>
      </c>
      <c r="B24" s="77">
        <f t="shared" si="3"/>
        <v>43790.6875</v>
      </c>
      <c r="C24" s="49">
        <v>1</v>
      </c>
      <c r="D24" s="90">
        <v>997.38</v>
      </c>
      <c r="E24" s="91">
        <v>286.14999999999998</v>
      </c>
      <c r="F24" s="80">
        <f t="shared" si="4"/>
        <v>8.3233033310871826E-3</v>
      </c>
      <c r="G24" s="80">
        <f t="shared" si="5"/>
        <v>8.6424008539228089E-3</v>
      </c>
      <c r="H24" s="111">
        <v>0.6875</v>
      </c>
      <c r="I24" s="81">
        <f>jar_information!L10</f>
        <v>43784.625</v>
      </c>
      <c r="J24" s="82">
        <f t="shared" si="1"/>
        <v>6.0625</v>
      </c>
      <c r="K24" s="82">
        <f t="shared" si="6"/>
        <v>145.5</v>
      </c>
      <c r="L24" s="83">
        <f>jar_information!G10</f>
        <v>1094.9298783058375</v>
      </c>
      <c r="M24" s="82">
        <f t="shared" si="7"/>
        <v>9.1134335034098601</v>
      </c>
      <c r="N24" s="82">
        <f t="shared" si="8"/>
        <v>16.677583311240046</v>
      </c>
      <c r="O24" s="84">
        <f t="shared" si="2"/>
        <v>4.5484318121563758</v>
      </c>
      <c r="P24" s="85">
        <f t="shared" si="9"/>
        <v>1.2170288060095467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8323.3033310871833</v>
      </c>
      <c r="U24" s="10">
        <f t="shared" si="12"/>
        <v>0.83233033310871829</v>
      </c>
      <c r="V24" s="103">
        <f t="shared" si="13"/>
        <v>3.1260699739906361E-2</v>
      </c>
    </row>
    <row r="25" spans="1:22" x14ac:dyDescent="0.25">
      <c r="A25" s="33" t="s">
        <v>160</v>
      </c>
      <c r="B25" s="77">
        <f t="shared" si="3"/>
        <v>43790.6875</v>
      </c>
      <c r="C25" s="49">
        <v>1</v>
      </c>
      <c r="D25" s="90">
        <v>1467.4</v>
      </c>
      <c r="E25" s="91">
        <v>378.71</v>
      </c>
      <c r="F25" s="80">
        <f t="shared" si="4"/>
        <v>1.2292707481705654E-2</v>
      </c>
      <c r="G25" s="80">
        <f t="shared" si="5"/>
        <v>1.1551100652721779E-2</v>
      </c>
      <c r="H25" s="111">
        <v>0.6875</v>
      </c>
      <c r="I25" s="81">
        <f>jar_information!L11</f>
        <v>43784.625</v>
      </c>
      <c r="J25" s="82">
        <f t="shared" si="1"/>
        <v>6.0625</v>
      </c>
      <c r="K25" s="82">
        <f t="shared" si="6"/>
        <v>145.5</v>
      </c>
      <c r="L25" s="83">
        <f>jar_information!G11</f>
        <v>1089.8750280625609</v>
      </c>
      <c r="M25" s="82">
        <f t="shared" si="7"/>
        <v>13.397514911588802</v>
      </c>
      <c r="N25" s="82">
        <f t="shared" si="8"/>
        <v>24.517452288207508</v>
      </c>
      <c r="O25" s="84">
        <f t="shared" si="2"/>
        <v>6.6865778967838656</v>
      </c>
      <c r="P25" s="85">
        <f t="shared" si="9"/>
        <v>1.7952050395741224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12292.707481705655</v>
      </c>
      <c r="U25" s="10">
        <f t="shared" si="12"/>
        <v>1.2292707481705654</v>
      </c>
      <c r="V25" s="103">
        <f t="shared" si="13"/>
        <v>4.5955861833566085E-2</v>
      </c>
    </row>
    <row r="26" spans="1:22" x14ac:dyDescent="0.25">
      <c r="A26" s="33" t="s">
        <v>161</v>
      </c>
      <c r="B26" s="77">
        <f t="shared" si="3"/>
        <v>43790.6875</v>
      </c>
      <c r="C26" s="49">
        <v>1</v>
      </c>
      <c r="D26" s="90">
        <v>1278.0999999999999</v>
      </c>
      <c r="E26" s="91">
        <v>343.99</v>
      </c>
      <c r="F26" s="80">
        <f t="shared" si="4"/>
        <v>1.0694034647119726E-2</v>
      </c>
      <c r="G26" s="80">
        <f t="shared" si="5"/>
        <v>1.0460023977977826E-2</v>
      </c>
      <c r="H26" s="111">
        <v>0.6875</v>
      </c>
      <c r="I26" s="81">
        <f>jar_information!L12</f>
        <v>43784.625</v>
      </c>
      <c r="J26" s="82">
        <f t="shared" si="1"/>
        <v>6.0625</v>
      </c>
      <c r="K26" s="82">
        <f t="shared" si="6"/>
        <v>145.5</v>
      </c>
      <c r="L26" s="83">
        <f>jar_information!G12</f>
        <v>1074.8014191661935</v>
      </c>
      <c r="M26" s="82">
        <f t="shared" si="7"/>
        <v>11.493963615336725</v>
      </c>
      <c r="N26" s="82">
        <f t="shared" si="8"/>
        <v>21.033953416066208</v>
      </c>
      <c r="O26" s="84">
        <f t="shared" si="2"/>
        <v>5.736532749836238</v>
      </c>
      <c r="P26" s="85">
        <f t="shared" si="9"/>
        <v>1.5558793679706369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10694.034647119726</v>
      </c>
      <c r="U26" s="10">
        <f t="shared" si="12"/>
        <v>1.0694034647119726</v>
      </c>
      <c r="V26" s="103">
        <f t="shared" si="13"/>
        <v>3.9426341923273114E-2</v>
      </c>
    </row>
    <row r="27" spans="1:22" x14ac:dyDescent="0.25">
      <c r="A27" s="33" t="s">
        <v>162</v>
      </c>
      <c r="B27" s="77">
        <f t="shared" si="3"/>
        <v>43790.6875</v>
      </c>
      <c r="C27" s="49">
        <v>1</v>
      </c>
      <c r="D27" s="90">
        <v>1363.2</v>
      </c>
      <c r="E27" s="91">
        <v>380.87</v>
      </c>
      <c r="F27" s="80">
        <f t="shared" si="4"/>
        <v>1.1412719582266384E-2</v>
      </c>
      <c r="G27" s="80">
        <f t="shared" si="5"/>
        <v>1.1618978694698939E-2</v>
      </c>
      <c r="H27" s="111">
        <v>0.6875</v>
      </c>
      <c r="I27" s="81">
        <f>jar_information!L13</f>
        <v>43784.625</v>
      </c>
      <c r="J27" s="82">
        <f t="shared" si="1"/>
        <v>6.0625</v>
      </c>
      <c r="K27" s="82">
        <f t="shared" si="6"/>
        <v>145.5</v>
      </c>
      <c r="L27" s="83">
        <f>jar_information!G13</f>
        <v>1089.8750280625609</v>
      </c>
      <c r="M27" s="82">
        <f t="shared" si="7"/>
        <v>12.438438074992714</v>
      </c>
      <c r="N27" s="82">
        <f t="shared" si="8"/>
        <v>22.762341677236666</v>
      </c>
      <c r="O27" s="84">
        <f t="shared" si="2"/>
        <v>6.2079113665190899</v>
      </c>
      <c r="P27" s="85">
        <f t="shared" si="9"/>
        <v>1.6666931788478612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11412.719582266385</v>
      </c>
      <c r="U27" s="10">
        <f t="shared" si="12"/>
        <v>1.1412719582266384</v>
      </c>
      <c r="V27" s="103">
        <f t="shared" si="13"/>
        <v>4.2666057501849416E-2</v>
      </c>
    </row>
    <row r="28" spans="1:22" x14ac:dyDescent="0.25">
      <c r="A28" s="33" t="s">
        <v>163</v>
      </c>
      <c r="B28" s="77">
        <f t="shared" si="3"/>
        <v>43790.6875</v>
      </c>
      <c r="C28" s="49">
        <v>1</v>
      </c>
      <c r="D28" s="90">
        <v>1313.9</v>
      </c>
      <c r="E28" s="91">
        <v>361.65</v>
      </c>
      <c r="F28" s="80">
        <f t="shared" si="4"/>
        <v>1.0996372140401167E-2</v>
      </c>
      <c r="G28" s="80">
        <f t="shared" si="5"/>
        <v>1.1014989821179964E-2</v>
      </c>
      <c r="H28" s="111">
        <v>0.6875</v>
      </c>
      <c r="I28" s="81">
        <f>jar_information!L14</f>
        <v>43784.625</v>
      </c>
      <c r="J28" s="82">
        <f t="shared" si="1"/>
        <v>6.0625</v>
      </c>
      <c r="K28" s="82">
        <f t="shared" si="6"/>
        <v>145.5</v>
      </c>
      <c r="L28" s="83">
        <f>jar_information!G14</f>
        <v>1089.8750280625609</v>
      </c>
      <c r="M28" s="82">
        <f t="shared" si="7"/>
        <v>11.984671395106085</v>
      </c>
      <c r="N28" s="82">
        <f t="shared" si="8"/>
        <v>21.931948653044138</v>
      </c>
      <c r="O28" s="84">
        <f t="shared" si="2"/>
        <v>5.9814405417393104</v>
      </c>
      <c r="P28" s="85">
        <f t="shared" si="9"/>
        <v>1.6058905422470497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10996.372140401167</v>
      </c>
      <c r="U28" s="10">
        <f t="shared" si="12"/>
        <v>1.0996372140401167</v>
      </c>
      <c r="V28" s="103">
        <f t="shared" si="13"/>
        <v>4.1109556987899039E-2</v>
      </c>
    </row>
  </sheetData>
  <conditionalFormatting sqref="O17:O28">
    <cfRule type="cellIs" dxfId="3" priority="1" operator="greaterThan">
      <formula>4</formula>
    </cfRule>
    <cfRule type="cellIs" dxfId="2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opLeftCell="A34" workbookViewId="0">
      <selection activeCell="D58" sqref="D58:D69"/>
    </sheetView>
  </sheetViews>
  <sheetFormatPr baseColWidth="10" defaultRowHeight="15" x14ac:dyDescent="0.25"/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43791</v>
      </c>
      <c r="C3" s="58">
        <v>2992</v>
      </c>
      <c r="D3" s="47">
        <v>1729</v>
      </c>
      <c r="E3" s="59">
        <v>455.75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43791</v>
      </c>
      <c r="C4" s="58">
        <v>2992</v>
      </c>
      <c r="D4" s="59">
        <v>1542.4</v>
      </c>
      <c r="E4" s="59">
        <v>406.32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43791</v>
      </c>
      <c r="C5" s="58">
        <v>2992</v>
      </c>
      <c r="D5" s="47">
        <v>1407.2</v>
      </c>
      <c r="E5" s="59">
        <v>369.47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43791</v>
      </c>
      <c r="C6" s="58">
        <v>2992</v>
      </c>
      <c r="D6" s="59">
        <v>1223.4000000000001</v>
      </c>
      <c r="E6" s="59">
        <v>344.4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43791</v>
      </c>
      <c r="C7" s="58">
        <v>2992</v>
      </c>
      <c r="D7" s="47">
        <v>1074.5</v>
      </c>
      <c r="E7" s="59">
        <v>313.14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43791</v>
      </c>
      <c r="C8" s="58">
        <v>2992</v>
      </c>
      <c r="D8" s="59">
        <v>862.57</v>
      </c>
      <c r="E8" s="59">
        <v>258.39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43791</v>
      </c>
      <c r="C9" s="58">
        <v>2992</v>
      </c>
      <c r="D9" s="47">
        <v>726.32</v>
      </c>
      <c r="E9" s="59">
        <v>221.49</v>
      </c>
      <c r="F9" s="60">
        <f t="shared" si="0"/>
        <v>5.984</v>
      </c>
      <c r="G9" s="63" t="s">
        <v>75</v>
      </c>
      <c r="H9" s="63"/>
      <c r="I9" s="64">
        <f>SLOPE(F3:F14,D3:D14)</f>
        <v>8.6056614520134741E-3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43791</v>
      </c>
      <c r="C10" s="58">
        <v>2992</v>
      </c>
      <c r="D10" s="47">
        <v>548.87</v>
      </c>
      <c r="E10" s="59">
        <v>155.56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-0.18779055161285108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43791</v>
      </c>
      <c r="C11" s="58">
        <v>2992</v>
      </c>
      <c r="D11" s="47">
        <v>399.55</v>
      </c>
      <c r="E11" s="59">
        <v>115.64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43791</v>
      </c>
      <c r="C12" s="58">
        <v>2992</v>
      </c>
      <c r="D12" s="65">
        <v>145.75</v>
      </c>
      <c r="E12" s="65">
        <v>43.795000000000002</v>
      </c>
      <c r="F12" s="60">
        <f t="shared" si="0"/>
        <v>1.1968000000000001</v>
      </c>
      <c r="G12" s="66" t="s">
        <v>77</v>
      </c>
      <c r="H12" s="66"/>
      <c r="I12" s="67">
        <f>SLOPE(F3:F14,E3:E14)</f>
        <v>3.2497252008593533E-2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43791</v>
      </c>
      <c r="C13" s="58">
        <v>2992</v>
      </c>
      <c r="D13" s="65">
        <v>64.674999999999997</v>
      </c>
      <c r="E13" s="65">
        <v>23.010999999999999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-0.55538744804284867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43791</v>
      </c>
      <c r="C14" s="58">
        <v>2992</v>
      </c>
      <c r="D14" s="65">
        <v>29.238</v>
      </c>
      <c r="E14" s="65">
        <v>11.61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8" x14ac:dyDescent="0.35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146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8.75" thickBot="1" x14ac:dyDescent="0.4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6" x14ac:dyDescent="0.25">
      <c r="A17" s="33" t="s">
        <v>152</v>
      </c>
      <c r="B17" s="77">
        <f>$B$3+H17</f>
        <v>43791.6875</v>
      </c>
      <c r="C17" s="49">
        <v>1</v>
      </c>
      <c r="D17" s="78">
        <v>963.12</v>
      </c>
      <c r="E17" s="79">
        <v>274.35000000000002</v>
      </c>
      <c r="F17" s="80">
        <f>((I$9*D17)+I$10)/C17/1000</f>
        <v>8.1004941060503662E-3</v>
      </c>
      <c r="G17" s="80">
        <f>((I$12*E17)+I$13)/C17/1000</f>
        <v>8.3602336405147869E-3</v>
      </c>
      <c r="H17" s="111">
        <v>0.6875</v>
      </c>
      <c r="I17" s="81">
        <f>jar_information!L3</f>
        <v>43784.625</v>
      </c>
      <c r="J17" s="82">
        <f t="shared" ref="J17:J28" si="1">B17-I17</f>
        <v>7.0625</v>
      </c>
      <c r="K17" s="82">
        <f>J17*24</f>
        <v>169.5</v>
      </c>
      <c r="L17" s="83">
        <f>jar_information!G3</f>
        <v>1089.8750280625609</v>
      </c>
      <c r="M17" s="82">
        <f>F17*L17</f>
        <v>8.828526241152252</v>
      </c>
      <c r="N17" s="82">
        <f>M17*1.83</f>
        <v>16.15620302130862</v>
      </c>
      <c r="O17" s="84">
        <f t="shared" ref="O17:O28" si="2">N17*(12/(12+(16*2)))</f>
        <v>4.4062371876296238</v>
      </c>
      <c r="P17" s="85">
        <f>O17*(400/(400+L17))</f>
        <v>1.182981687627723</v>
      </c>
      <c r="Q17" s="86"/>
      <c r="R17" s="86">
        <f>Q17/314.7</f>
        <v>0</v>
      </c>
      <c r="S17" s="86">
        <f>R17/P17*100</f>
        <v>0</v>
      </c>
      <c r="T17" s="87">
        <f>F17*1000000</f>
        <v>8100.4941060503661</v>
      </c>
      <c r="U17" s="10">
        <f>M17/L17*100</f>
        <v>0.81004941060503666</v>
      </c>
      <c r="V17" s="103">
        <f>O17/K17</f>
        <v>2.5995499632033178E-2</v>
      </c>
      <c r="W17" t="s">
        <v>211</v>
      </c>
      <c r="Z17" s="33"/>
    </row>
    <row r="18" spans="1:26" x14ac:dyDescent="0.25">
      <c r="A18" s="33" t="s">
        <v>153</v>
      </c>
      <c r="B18" s="77">
        <f t="shared" ref="B18:B28" si="3">$B$3+H18</f>
        <v>43791.6875</v>
      </c>
      <c r="C18" s="49">
        <v>1</v>
      </c>
      <c r="D18" s="88">
        <v>1151.8</v>
      </c>
      <c r="E18" s="89">
        <v>309.8</v>
      </c>
      <c r="F18" s="80">
        <f t="shared" ref="F18:F28" si="4">((I$9*D18)+I$10)/C18/1000</f>
        <v>9.7242103088162682E-3</v>
      </c>
      <c r="G18" s="80">
        <f t="shared" ref="G18:G28" si="5">((I$12*E18)+I$13)/C18/1000</f>
        <v>9.512261224219427E-3</v>
      </c>
      <c r="H18" s="111">
        <v>0.6875</v>
      </c>
      <c r="I18" s="81">
        <f>jar_information!L4</f>
        <v>43784.625</v>
      </c>
      <c r="J18" s="82">
        <f t="shared" si="1"/>
        <v>7.0625</v>
      </c>
      <c r="K18" s="82">
        <f t="shared" ref="K18:K28" si="6">J18*24</f>
        <v>169.5</v>
      </c>
      <c r="L18" s="83">
        <f>jar_information!G4</f>
        <v>1074.8014191661935</v>
      </c>
      <c r="M18" s="82">
        <f t="shared" ref="M18:M28" si="7">F18*L18</f>
        <v>10.451595040186254</v>
      </c>
      <c r="N18" s="82">
        <f t="shared" ref="N18:N28" si="8">M18*1.83</f>
        <v>19.126418923540847</v>
      </c>
      <c r="O18" s="84">
        <f t="shared" si="2"/>
        <v>5.2162960700565941</v>
      </c>
      <c r="P18" s="85">
        <f t="shared" ref="P18:P28" si="9">O18*(400/(400+L18))</f>
        <v>1.4147792380090669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9724.2103088162676</v>
      </c>
      <c r="U18" s="10">
        <f t="shared" ref="U18:U28" si="12">M18/L18*100</f>
        <v>0.97242103088162679</v>
      </c>
      <c r="V18" s="103">
        <f t="shared" ref="V18:V28" si="13">O18/K18</f>
        <v>3.0774608082929759E-2</v>
      </c>
      <c r="W18" t="s">
        <v>211</v>
      </c>
      <c r="Z18" s="33"/>
    </row>
    <row r="19" spans="1:26" x14ac:dyDescent="0.25">
      <c r="A19" s="33" t="s">
        <v>154</v>
      </c>
      <c r="B19" s="77">
        <f t="shared" si="3"/>
        <v>43791.6875</v>
      </c>
      <c r="C19" s="49">
        <v>1</v>
      </c>
      <c r="D19" s="90">
        <v>1071.4000000000001</v>
      </c>
      <c r="E19" s="91">
        <v>290.61</v>
      </c>
      <c r="F19" s="80">
        <f t="shared" si="4"/>
        <v>9.0323151280743853E-3</v>
      </c>
      <c r="G19" s="80">
        <f t="shared" si="5"/>
        <v>8.8886389581745179E-3</v>
      </c>
      <c r="H19" s="111">
        <v>0.6875</v>
      </c>
      <c r="I19" s="81">
        <f>jar_information!L5</f>
        <v>43784.625</v>
      </c>
      <c r="J19" s="82">
        <f t="shared" si="1"/>
        <v>7.0625</v>
      </c>
      <c r="K19" s="82">
        <f t="shared" si="6"/>
        <v>169.5</v>
      </c>
      <c r="L19" s="83">
        <f>jar_information!G5</f>
        <v>1089.8750280625609</v>
      </c>
      <c r="M19" s="82">
        <f t="shared" si="7"/>
        <v>9.8440947036799642</v>
      </c>
      <c r="N19" s="82">
        <f t="shared" si="8"/>
        <v>18.014693307734333</v>
      </c>
      <c r="O19" s="84">
        <f t="shared" si="2"/>
        <v>4.9130981748366356</v>
      </c>
      <c r="P19" s="85">
        <f t="shared" si="9"/>
        <v>1.3190631649758295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9032.3151280743859</v>
      </c>
      <c r="U19" s="10">
        <f t="shared" si="12"/>
        <v>0.90323151280743852</v>
      </c>
      <c r="V19" s="103">
        <f t="shared" si="13"/>
        <v>2.8985829940039148E-2</v>
      </c>
      <c r="W19" t="s">
        <v>211</v>
      </c>
      <c r="Z19" s="33"/>
    </row>
    <row r="20" spans="1:26" x14ac:dyDescent="0.25">
      <c r="A20" s="33" t="s">
        <v>155</v>
      </c>
      <c r="B20" s="77">
        <f t="shared" si="3"/>
        <v>43791.6875</v>
      </c>
      <c r="C20" s="49">
        <v>1</v>
      </c>
      <c r="D20" s="90">
        <v>1236.7</v>
      </c>
      <c r="E20" s="91">
        <v>325.41000000000003</v>
      </c>
      <c r="F20" s="80">
        <f t="shared" si="4"/>
        <v>1.0454830966092211E-2</v>
      </c>
      <c r="G20" s="80">
        <f t="shared" si="5"/>
        <v>1.0019543328073574E-2</v>
      </c>
      <c r="H20" s="111">
        <v>0.6875</v>
      </c>
      <c r="I20" s="81">
        <f>jar_information!L6</f>
        <v>43784.625</v>
      </c>
      <c r="J20" s="82">
        <f t="shared" si="1"/>
        <v>7.0625</v>
      </c>
      <c r="K20" s="82">
        <f t="shared" si="6"/>
        <v>169.5</v>
      </c>
      <c r="L20" s="83">
        <f>jar_information!G6</f>
        <v>1074.8014191661935</v>
      </c>
      <c r="M20" s="82">
        <f t="shared" si="7"/>
        <v>11.236867159498575</v>
      </c>
      <c r="N20" s="82">
        <f t="shared" si="8"/>
        <v>20.563466901882393</v>
      </c>
      <c r="O20" s="84">
        <f t="shared" si="2"/>
        <v>5.6082182459679251</v>
      </c>
      <c r="P20" s="85">
        <f t="shared" si="9"/>
        <v>1.5210775289702763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10454.830966092211</v>
      </c>
      <c r="U20" s="10">
        <f t="shared" si="12"/>
        <v>1.0454830966092212</v>
      </c>
      <c r="V20" s="103">
        <f t="shared" si="13"/>
        <v>3.3086833309545281E-2</v>
      </c>
      <c r="W20" t="s">
        <v>211</v>
      </c>
      <c r="Z20" s="33"/>
    </row>
    <row r="21" spans="1:26" x14ac:dyDescent="0.25">
      <c r="A21" s="33" t="s">
        <v>156</v>
      </c>
      <c r="B21" s="77">
        <f t="shared" si="3"/>
        <v>43791.6875</v>
      </c>
      <c r="C21" s="49">
        <v>1</v>
      </c>
      <c r="D21" s="90">
        <v>784.71</v>
      </c>
      <c r="E21" s="91">
        <v>231.19</v>
      </c>
      <c r="F21" s="80">
        <f t="shared" si="4"/>
        <v>6.5651580463966424E-3</v>
      </c>
      <c r="G21" s="80">
        <f t="shared" si="5"/>
        <v>6.9576522438238907E-3</v>
      </c>
      <c r="H21" s="111">
        <v>0.6875</v>
      </c>
      <c r="I21" s="81">
        <f>jar_information!L7</f>
        <v>43784.625</v>
      </c>
      <c r="J21" s="82">
        <f t="shared" si="1"/>
        <v>7.0625</v>
      </c>
      <c r="K21" s="82">
        <f t="shared" si="6"/>
        <v>169.5</v>
      </c>
      <c r="L21" s="83">
        <f>jar_information!G7</f>
        <v>1089.8750280625609</v>
      </c>
      <c r="M21" s="82">
        <f t="shared" si="7"/>
        <v>7.1552018100516879</v>
      </c>
      <c r="N21" s="82">
        <f t="shared" si="8"/>
        <v>13.09401931239459</v>
      </c>
      <c r="O21" s="84">
        <f t="shared" si="2"/>
        <v>3.571096176107615</v>
      </c>
      <c r="P21" s="85">
        <f t="shared" si="9"/>
        <v>0.95876395237028222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6565.158046396642</v>
      </c>
      <c r="U21" s="10">
        <f t="shared" si="12"/>
        <v>0.65651580463966419</v>
      </c>
      <c r="V21" s="103">
        <f t="shared" si="13"/>
        <v>2.1068414018334012E-2</v>
      </c>
      <c r="W21" t="s">
        <v>211</v>
      </c>
      <c r="Z21" s="33"/>
    </row>
    <row r="22" spans="1:26" x14ac:dyDescent="0.25">
      <c r="A22" s="33" t="s">
        <v>157</v>
      </c>
      <c r="B22" s="77">
        <f t="shared" si="3"/>
        <v>43791.6875</v>
      </c>
      <c r="C22" s="49">
        <v>1</v>
      </c>
      <c r="D22" s="90">
        <v>853.16</v>
      </c>
      <c r="E22" s="91">
        <v>249.27</v>
      </c>
      <c r="F22" s="80">
        <f t="shared" si="4"/>
        <v>7.1542155727869639E-3</v>
      </c>
      <c r="G22" s="80">
        <f t="shared" si="5"/>
        <v>7.5452025601392613E-3</v>
      </c>
      <c r="H22" s="111">
        <v>0.6875</v>
      </c>
      <c r="I22" s="81">
        <f>jar_information!L8</f>
        <v>43784.625</v>
      </c>
      <c r="J22" s="82">
        <f t="shared" si="1"/>
        <v>7.0625</v>
      </c>
      <c r="K22" s="82">
        <f t="shared" si="6"/>
        <v>169.5</v>
      </c>
      <c r="L22" s="83">
        <f>jar_information!G8</f>
        <v>1089.8750280625609</v>
      </c>
      <c r="M22" s="82">
        <f t="shared" si="7"/>
        <v>7.7972008981568024</v>
      </c>
      <c r="N22" s="82">
        <f t="shared" si="8"/>
        <v>14.268877643626949</v>
      </c>
      <c r="O22" s="84">
        <f t="shared" si="2"/>
        <v>3.8915120846255311</v>
      </c>
      <c r="P22" s="85">
        <f t="shared" si="9"/>
        <v>1.0447888611667162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7154.215572786964</v>
      </c>
      <c r="U22" s="10">
        <f t="shared" si="12"/>
        <v>0.71542155727869639</v>
      </c>
      <c r="V22" s="103">
        <f t="shared" si="13"/>
        <v>2.2958773360622603E-2</v>
      </c>
      <c r="W22" t="s">
        <v>211</v>
      </c>
      <c r="Z22" s="33"/>
    </row>
    <row r="23" spans="1:26" x14ac:dyDescent="0.25">
      <c r="A23" s="33" t="s">
        <v>158</v>
      </c>
      <c r="B23" s="77">
        <f t="shared" si="3"/>
        <v>43791.6875</v>
      </c>
      <c r="C23" s="49">
        <v>1</v>
      </c>
      <c r="D23" s="90">
        <v>1472.2</v>
      </c>
      <c r="E23" s="91">
        <v>407.53</v>
      </c>
      <c r="F23" s="80">
        <f t="shared" si="4"/>
        <v>1.2481464238041386E-2</v>
      </c>
      <c r="G23" s="80">
        <f t="shared" si="5"/>
        <v>1.2688217663019273E-2</v>
      </c>
      <c r="H23" s="111">
        <v>0.6875</v>
      </c>
      <c r="I23" s="81">
        <f>jar_information!L9</f>
        <v>43784.625</v>
      </c>
      <c r="J23" s="82">
        <f t="shared" si="1"/>
        <v>7.0625</v>
      </c>
      <c r="K23" s="82">
        <f t="shared" si="6"/>
        <v>169.5</v>
      </c>
      <c r="L23" s="83">
        <f>jar_information!G9</f>
        <v>1079.8108667673887</v>
      </c>
      <c r="M23" s="82">
        <f t="shared" si="7"/>
        <v>13.477620717405633</v>
      </c>
      <c r="N23" s="82">
        <f t="shared" si="8"/>
        <v>24.664045912852309</v>
      </c>
      <c r="O23" s="84">
        <f t="shared" si="2"/>
        <v>6.7265579762324474</v>
      </c>
      <c r="P23" s="85">
        <f t="shared" si="9"/>
        <v>1.8182209976404489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12481.464238041386</v>
      </c>
      <c r="U23" s="10">
        <f t="shared" si="12"/>
        <v>1.2481464238041386</v>
      </c>
      <c r="V23" s="103">
        <f t="shared" si="13"/>
        <v>3.9684707824380223E-2</v>
      </c>
      <c r="W23" t="s">
        <v>211</v>
      </c>
      <c r="Z23" s="33"/>
    </row>
    <row r="24" spans="1:26" x14ac:dyDescent="0.25">
      <c r="A24" s="33" t="s">
        <v>159</v>
      </c>
      <c r="B24" s="77">
        <f t="shared" si="3"/>
        <v>43791.6875</v>
      </c>
      <c r="C24" s="49">
        <v>1</v>
      </c>
      <c r="D24" s="90">
        <v>1200.7</v>
      </c>
      <c r="E24" s="91">
        <v>342.65</v>
      </c>
      <c r="F24" s="80">
        <f t="shared" si="4"/>
        <v>1.0145027153819727E-2</v>
      </c>
      <c r="G24" s="80">
        <f t="shared" si="5"/>
        <v>1.0579795952701724E-2</v>
      </c>
      <c r="H24" s="111">
        <v>0.6875</v>
      </c>
      <c r="I24" s="81">
        <f>jar_information!L10</f>
        <v>43784.625</v>
      </c>
      <c r="J24" s="82">
        <f t="shared" si="1"/>
        <v>7.0625</v>
      </c>
      <c r="K24" s="82">
        <f t="shared" si="6"/>
        <v>169.5</v>
      </c>
      <c r="L24" s="83">
        <f>jar_information!G10</f>
        <v>1094.9298783058375</v>
      </c>
      <c r="M24" s="82">
        <f t="shared" si="7"/>
        <v>11.108093346941251</v>
      </c>
      <c r="N24" s="82">
        <f t="shared" si="8"/>
        <v>20.327810824902489</v>
      </c>
      <c r="O24" s="84">
        <f t="shared" si="2"/>
        <v>5.5439484067915874</v>
      </c>
      <c r="P24" s="85">
        <f t="shared" si="9"/>
        <v>1.4834002550204939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10145.027153819727</v>
      </c>
      <c r="U24" s="10">
        <f t="shared" si="12"/>
        <v>1.0145027153819728</v>
      </c>
      <c r="V24" s="103">
        <f t="shared" si="13"/>
        <v>3.2707660217059516E-2</v>
      </c>
      <c r="W24" t="s">
        <v>211</v>
      </c>
      <c r="Z24" s="33"/>
    </row>
    <row r="25" spans="1:26" x14ac:dyDescent="0.25">
      <c r="A25" s="33" t="s">
        <v>160</v>
      </c>
      <c r="B25" s="77">
        <f t="shared" si="3"/>
        <v>43791.6875</v>
      </c>
      <c r="C25" s="49">
        <v>0.4</v>
      </c>
      <c r="D25" s="90">
        <v>721.14</v>
      </c>
      <c r="E25" s="91">
        <v>197.14</v>
      </c>
      <c r="F25" s="80">
        <f t="shared" si="4"/>
        <v>1.5045240369730364E-2</v>
      </c>
      <c r="G25" s="80">
        <f t="shared" si="5"/>
        <v>1.46278020323282E-2</v>
      </c>
      <c r="H25" s="111">
        <v>0.6875</v>
      </c>
      <c r="I25" s="81">
        <f>jar_information!L11</f>
        <v>43784.625</v>
      </c>
      <c r="J25" s="82">
        <f t="shared" si="1"/>
        <v>7.0625</v>
      </c>
      <c r="K25" s="82">
        <f t="shared" si="6"/>
        <v>169.5</v>
      </c>
      <c r="L25" s="83">
        <f>jar_information!G11</f>
        <v>1089.8750280625609</v>
      </c>
      <c r="M25" s="82">
        <f t="shared" si="7"/>
        <v>16.397431770167856</v>
      </c>
      <c r="N25" s="82">
        <f t="shared" si="8"/>
        <v>30.007300139407178</v>
      </c>
      <c r="O25" s="84">
        <f t="shared" si="2"/>
        <v>8.1838091289292301</v>
      </c>
      <c r="P25" s="85">
        <f t="shared" si="9"/>
        <v>2.1971800251116327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15045.240369730363</v>
      </c>
      <c r="U25" s="10">
        <f t="shared" si="12"/>
        <v>1.5045240369730366</v>
      </c>
      <c r="V25" s="103">
        <f t="shared" si="13"/>
        <v>4.8282059757694576E-2</v>
      </c>
      <c r="W25" t="s">
        <v>211</v>
      </c>
      <c r="Z25" s="33"/>
    </row>
    <row r="26" spans="1:26" x14ac:dyDescent="0.25">
      <c r="A26" s="33" t="s">
        <v>161</v>
      </c>
      <c r="B26" s="77">
        <f t="shared" si="3"/>
        <v>43791.6875</v>
      </c>
      <c r="C26" s="49">
        <v>0.4</v>
      </c>
      <c r="D26" s="90">
        <v>643.85</v>
      </c>
      <c r="E26" s="91">
        <v>178.24</v>
      </c>
      <c r="F26" s="80">
        <f t="shared" si="4"/>
        <v>1.3382411435665058E-2</v>
      </c>
      <c r="G26" s="80">
        <f t="shared" si="5"/>
        <v>1.3092306874922157E-2</v>
      </c>
      <c r="H26" s="111">
        <v>0.6875</v>
      </c>
      <c r="I26" s="81">
        <f>jar_information!L12</f>
        <v>43784.625</v>
      </c>
      <c r="J26" s="82">
        <f t="shared" si="1"/>
        <v>7.0625</v>
      </c>
      <c r="K26" s="82">
        <f t="shared" si="6"/>
        <v>169.5</v>
      </c>
      <c r="L26" s="83">
        <f>jar_information!G12</f>
        <v>1074.8014191661935</v>
      </c>
      <c r="M26" s="82">
        <f t="shared" si="7"/>
        <v>14.383434802918702</v>
      </c>
      <c r="N26" s="82">
        <f t="shared" si="8"/>
        <v>26.321685689341226</v>
      </c>
      <c r="O26" s="84">
        <f t="shared" si="2"/>
        <v>7.178641551638516</v>
      </c>
      <c r="P26" s="85">
        <f t="shared" si="9"/>
        <v>1.9470123796591123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13382.411435665059</v>
      </c>
      <c r="U26" s="10">
        <f t="shared" si="12"/>
        <v>1.3382411435665058</v>
      </c>
      <c r="V26" s="103">
        <f t="shared" si="13"/>
        <v>4.2351867561289183E-2</v>
      </c>
      <c r="W26" t="s">
        <v>211</v>
      </c>
      <c r="Z26" s="33"/>
    </row>
    <row r="27" spans="1:26" x14ac:dyDescent="0.25">
      <c r="A27" s="33" t="s">
        <v>162</v>
      </c>
      <c r="B27" s="77">
        <f t="shared" si="3"/>
        <v>43791.6875</v>
      </c>
      <c r="C27" s="49">
        <v>1</v>
      </c>
      <c r="D27" s="90">
        <v>1639.5</v>
      </c>
      <c r="E27" s="91">
        <v>456.1</v>
      </c>
      <c r="F27" s="80">
        <f t="shared" si="4"/>
        <v>1.392119139896324E-2</v>
      </c>
      <c r="G27" s="80">
        <f t="shared" si="5"/>
        <v>1.4266609193076664E-2</v>
      </c>
      <c r="H27" s="111">
        <v>0.6875</v>
      </c>
      <c r="I27" s="81">
        <f>jar_information!L13</f>
        <v>43784.625</v>
      </c>
      <c r="J27" s="82">
        <f t="shared" si="1"/>
        <v>7.0625</v>
      </c>
      <c r="K27" s="82">
        <f t="shared" si="6"/>
        <v>169.5</v>
      </c>
      <c r="L27" s="83">
        <f>jar_information!G13</f>
        <v>1089.8750280625609</v>
      </c>
      <c r="M27" s="82">
        <f t="shared" si="7"/>
        <v>15.172358866609343</v>
      </c>
      <c r="N27" s="82">
        <f t="shared" si="8"/>
        <v>27.765416725895101</v>
      </c>
      <c r="O27" s="84">
        <f t="shared" si="2"/>
        <v>7.5723863797895721</v>
      </c>
      <c r="P27" s="85">
        <f t="shared" si="9"/>
        <v>2.0330259215463817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13921.191398963241</v>
      </c>
      <c r="U27" s="10">
        <f t="shared" si="12"/>
        <v>1.392119139896324</v>
      </c>
      <c r="V27" s="103">
        <f t="shared" si="13"/>
        <v>4.4674845898463551E-2</v>
      </c>
      <c r="W27" t="s">
        <v>211</v>
      </c>
      <c r="Z27" s="33"/>
    </row>
    <row r="28" spans="1:26" x14ac:dyDescent="0.25">
      <c r="A28" s="33" t="s">
        <v>163</v>
      </c>
      <c r="B28" s="77">
        <f t="shared" si="3"/>
        <v>43791.6875</v>
      </c>
      <c r="C28" s="49">
        <v>1</v>
      </c>
      <c r="D28" s="90">
        <v>1575.7</v>
      </c>
      <c r="E28" s="91">
        <v>439.03</v>
      </c>
      <c r="F28" s="80">
        <f t="shared" si="4"/>
        <v>1.337215019832478E-2</v>
      </c>
      <c r="G28" s="80">
        <f t="shared" si="5"/>
        <v>1.3711881101289968E-2</v>
      </c>
      <c r="H28" s="111">
        <v>0.6875</v>
      </c>
      <c r="I28" s="81">
        <f>jar_information!L14</f>
        <v>43784.625</v>
      </c>
      <c r="J28" s="82">
        <f t="shared" si="1"/>
        <v>7.0625</v>
      </c>
      <c r="K28" s="82">
        <f t="shared" si="6"/>
        <v>169.5</v>
      </c>
      <c r="L28" s="83">
        <f>jar_information!G14</f>
        <v>1089.8750280625609</v>
      </c>
      <c r="M28" s="82">
        <f t="shared" si="7"/>
        <v>14.573972572655999</v>
      </c>
      <c r="N28" s="82">
        <f t="shared" si="8"/>
        <v>26.67036980796048</v>
      </c>
      <c r="O28" s="84">
        <f t="shared" si="2"/>
        <v>7.2737372203528574</v>
      </c>
      <c r="P28" s="85">
        <f t="shared" si="9"/>
        <v>1.9528449254731528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13372.15019832478</v>
      </c>
      <c r="U28" s="10">
        <f t="shared" si="12"/>
        <v>1.3372150198324779</v>
      </c>
      <c r="V28" s="103">
        <f t="shared" si="13"/>
        <v>4.2912903954884112E-2</v>
      </c>
      <c r="W28" t="s">
        <v>211</v>
      </c>
      <c r="Z28" s="33"/>
    </row>
    <row r="30" spans="1:26" x14ac:dyDescent="0.25">
      <c r="A30" s="33" t="s">
        <v>197</v>
      </c>
      <c r="B30" s="33" t="s">
        <v>152</v>
      </c>
      <c r="C30" t="s">
        <v>210</v>
      </c>
      <c r="D30" t="str">
        <f>CONCATENATE(A30,B30,C30)</f>
        <v>1_HEW22-1_dry_22112019</v>
      </c>
    </row>
    <row r="31" spans="1:26" x14ac:dyDescent="0.25">
      <c r="A31" s="33" t="s">
        <v>198</v>
      </c>
      <c r="B31" s="33" t="s">
        <v>153</v>
      </c>
      <c r="C31" t="s">
        <v>210</v>
      </c>
      <c r="D31" t="str">
        <f t="shared" ref="D31:D42" si="15">CONCATENATE(A31,B31,C31)</f>
        <v>2_HEW22-2_dry_22112019</v>
      </c>
    </row>
    <row r="32" spans="1:26" x14ac:dyDescent="0.25">
      <c r="A32" s="33" t="s">
        <v>199</v>
      </c>
      <c r="B32" s="33" t="s">
        <v>154</v>
      </c>
      <c r="C32" t="s">
        <v>210</v>
      </c>
      <c r="D32" t="str">
        <f t="shared" si="15"/>
        <v>3_HEW41-1_dry_22112019</v>
      </c>
    </row>
    <row r="33" spans="1:4" x14ac:dyDescent="0.25">
      <c r="A33" s="33" t="s">
        <v>200</v>
      </c>
      <c r="B33" s="33" t="s">
        <v>155</v>
      </c>
      <c r="C33" t="s">
        <v>210</v>
      </c>
      <c r="D33" t="str">
        <f t="shared" si="15"/>
        <v>4_HEW41-2_dry_22112019</v>
      </c>
    </row>
    <row r="34" spans="1:4" x14ac:dyDescent="0.25">
      <c r="A34" s="33" t="s">
        <v>201</v>
      </c>
      <c r="B34" s="33" t="s">
        <v>156</v>
      </c>
      <c r="C34" t="s">
        <v>210</v>
      </c>
      <c r="D34" t="str">
        <f t="shared" si="15"/>
        <v>5_HEW42-1_dry_22112019</v>
      </c>
    </row>
    <row r="35" spans="1:4" x14ac:dyDescent="0.25">
      <c r="A35" s="33" t="s">
        <v>202</v>
      </c>
      <c r="B35" s="33" t="s">
        <v>157</v>
      </c>
      <c r="C35" t="s">
        <v>210</v>
      </c>
      <c r="D35" t="str">
        <f t="shared" si="15"/>
        <v>6_HEW42-2_dry_22112019</v>
      </c>
    </row>
    <row r="36" spans="1:4" x14ac:dyDescent="0.25">
      <c r="A36" s="33" t="s">
        <v>203</v>
      </c>
      <c r="B36" s="33" t="s">
        <v>158</v>
      </c>
      <c r="C36" t="s">
        <v>210</v>
      </c>
      <c r="D36" t="str">
        <f t="shared" si="15"/>
        <v>7_HEG10-1_dry_22112019</v>
      </c>
    </row>
    <row r="37" spans="1:4" x14ac:dyDescent="0.25">
      <c r="A37" s="33" t="s">
        <v>205</v>
      </c>
      <c r="B37" s="33" t="s">
        <v>159</v>
      </c>
      <c r="C37" t="s">
        <v>210</v>
      </c>
      <c r="D37" t="str">
        <f t="shared" si="15"/>
        <v>8_HEG10-2_dry_22112019</v>
      </c>
    </row>
    <row r="38" spans="1:4" x14ac:dyDescent="0.25">
      <c r="A38" s="33" t="s">
        <v>206</v>
      </c>
      <c r="B38" s="33" t="s">
        <v>160</v>
      </c>
      <c r="C38" t="s">
        <v>210</v>
      </c>
      <c r="D38" t="str">
        <f t="shared" si="15"/>
        <v>9_HEG32-1_dry_22112019</v>
      </c>
    </row>
    <row r="39" spans="1:4" x14ac:dyDescent="0.25">
      <c r="A39" s="33" t="s">
        <v>204</v>
      </c>
      <c r="B39" s="33" t="s">
        <v>161</v>
      </c>
      <c r="C39" t="s">
        <v>210</v>
      </c>
      <c r="D39" t="str">
        <f t="shared" si="15"/>
        <v>10_HEG32-2_dry_22112019</v>
      </c>
    </row>
    <row r="40" spans="1:4" x14ac:dyDescent="0.25">
      <c r="A40" s="33" t="s">
        <v>207</v>
      </c>
      <c r="B40" s="33" t="s">
        <v>162</v>
      </c>
      <c r="C40" t="s">
        <v>210</v>
      </c>
      <c r="D40" t="str">
        <f t="shared" si="15"/>
        <v>11_HEG48-1_dry_22112019</v>
      </c>
    </row>
    <row r="41" spans="1:4" x14ac:dyDescent="0.25">
      <c r="A41" s="33" t="s">
        <v>208</v>
      </c>
      <c r="B41" s="33" t="s">
        <v>163</v>
      </c>
      <c r="C41" t="s">
        <v>210</v>
      </c>
      <c r="D41" t="str">
        <f t="shared" si="15"/>
        <v>12_HEG48-2_dry_22112019</v>
      </c>
    </row>
    <row r="42" spans="1:4" x14ac:dyDescent="0.25">
      <c r="A42" s="33" t="s">
        <v>209</v>
      </c>
      <c r="B42" s="33" t="s">
        <v>192</v>
      </c>
      <c r="C42" t="s">
        <v>210</v>
      </c>
      <c r="D42" t="str">
        <f t="shared" si="15"/>
        <v>13_Std_flushed_22112019</v>
      </c>
    </row>
    <row r="44" spans="1:4" x14ac:dyDescent="0.25">
      <c r="B44" s="33" t="s">
        <v>152</v>
      </c>
      <c r="C44" t="s">
        <v>212</v>
      </c>
      <c r="D44" t="str">
        <f>CONCATENATE(A44,B44,C44)</f>
        <v>HEW22-1_dry_PRE_15112019</v>
      </c>
    </row>
    <row r="45" spans="1:4" x14ac:dyDescent="0.25">
      <c r="B45" s="33" t="s">
        <v>153</v>
      </c>
      <c r="C45" t="s">
        <v>212</v>
      </c>
      <c r="D45" t="str">
        <f t="shared" ref="D45:D56" si="16">CONCATENATE(A45,B45,C45)</f>
        <v>HEW22-2_dry_PRE_15112019</v>
      </c>
    </row>
    <row r="46" spans="1:4" x14ac:dyDescent="0.25">
      <c r="B46" s="33" t="s">
        <v>154</v>
      </c>
      <c r="C46" t="s">
        <v>212</v>
      </c>
      <c r="D46" t="str">
        <f t="shared" si="16"/>
        <v>HEW41-1_dry_PRE_15112019</v>
      </c>
    </row>
    <row r="47" spans="1:4" x14ac:dyDescent="0.25">
      <c r="B47" s="33" t="s">
        <v>155</v>
      </c>
      <c r="C47" t="s">
        <v>212</v>
      </c>
      <c r="D47" t="str">
        <f t="shared" si="16"/>
        <v>HEW41-2_dry_PRE_15112019</v>
      </c>
    </row>
    <row r="48" spans="1:4" x14ac:dyDescent="0.25">
      <c r="B48" s="33" t="s">
        <v>156</v>
      </c>
      <c r="C48" t="s">
        <v>212</v>
      </c>
      <c r="D48" t="str">
        <f t="shared" si="16"/>
        <v>HEW42-1_dry_PRE_15112019</v>
      </c>
    </row>
    <row r="49" spans="2:4" x14ac:dyDescent="0.25">
      <c r="B49" s="33" t="s">
        <v>157</v>
      </c>
      <c r="C49" t="s">
        <v>212</v>
      </c>
      <c r="D49" t="str">
        <f t="shared" si="16"/>
        <v>HEW42-2_dry_PRE_15112019</v>
      </c>
    </row>
    <row r="50" spans="2:4" x14ac:dyDescent="0.25">
      <c r="B50" s="33" t="s">
        <v>158</v>
      </c>
      <c r="C50" t="s">
        <v>212</v>
      </c>
      <c r="D50" t="str">
        <f t="shared" si="16"/>
        <v>HEG10-1_dry_PRE_15112019</v>
      </c>
    </row>
    <row r="51" spans="2:4" x14ac:dyDescent="0.25">
      <c r="B51" s="33" t="s">
        <v>159</v>
      </c>
      <c r="C51" t="s">
        <v>212</v>
      </c>
      <c r="D51" t="str">
        <f t="shared" si="16"/>
        <v>HEG10-2_dry_PRE_15112019</v>
      </c>
    </row>
    <row r="52" spans="2:4" x14ac:dyDescent="0.25">
      <c r="B52" s="33" t="s">
        <v>160</v>
      </c>
      <c r="C52" t="s">
        <v>212</v>
      </c>
      <c r="D52" t="str">
        <f t="shared" si="16"/>
        <v>HEG32-1_dry_PRE_15112019</v>
      </c>
    </row>
    <row r="53" spans="2:4" x14ac:dyDescent="0.25">
      <c r="B53" s="33" t="s">
        <v>161</v>
      </c>
      <c r="C53" t="s">
        <v>212</v>
      </c>
      <c r="D53" t="str">
        <f t="shared" si="16"/>
        <v>HEG32-2_dry_PRE_15112019</v>
      </c>
    </row>
    <row r="54" spans="2:4" x14ac:dyDescent="0.25">
      <c r="B54" s="33" t="s">
        <v>162</v>
      </c>
      <c r="C54" t="s">
        <v>212</v>
      </c>
      <c r="D54" t="str">
        <f t="shared" si="16"/>
        <v>HEG48-1_dry_PRE_15112019</v>
      </c>
    </row>
    <row r="55" spans="2:4" x14ac:dyDescent="0.25">
      <c r="B55" s="33" t="s">
        <v>163</v>
      </c>
      <c r="C55" t="s">
        <v>212</v>
      </c>
      <c r="D55" t="str">
        <f t="shared" si="16"/>
        <v>HEG48-2_dry_PRE_15112019</v>
      </c>
    </row>
    <row r="56" spans="2:4" x14ac:dyDescent="0.25">
      <c r="B56" s="33" t="s">
        <v>192</v>
      </c>
      <c r="C56" t="s">
        <v>210</v>
      </c>
      <c r="D56" t="str">
        <f t="shared" si="16"/>
        <v>Std_flushed_22112019</v>
      </c>
    </row>
    <row r="58" spans="2:4" x14ac:dyDescent="0.25">
      <c r="B58" s="33" t="s">
        <v>152</v>
      </c>
      <c r="C58" t="s">
        <v>213</v>
      </c>
      <c r="D58" t="str">
        <f>CONCATENATE(A58,B58,C58)</f>
        <v>HEW22-1_dry_INC_22112019</v>
      </c>
    </row>
    <row r="59" spans="2:4" x14ac:dyDescent="0.25">
      <c r="B59" s="33" t="s">
        <v>153</v>
      </c>
      <c r="C59" t="s">
        <v>213</v>
      </c>
      <c r="D59" t="str">
        <f t="shared" ref="D59:D70" si="17">CONCATENATE(A59,B59,C59)</f>
        <v>HEW22-2_dry_INC_22112019</v>
      </c>
    </row>
    <row r="60" spans="2:4" x14ac:dyDescent="0.25">
      <c r="B60" s="33" t="s">
        <v>154</v>
      </c>
      <c r="C60" t="s">
        <v>213</v>
      </c>
      <c r="D60" t="str">
        <f t="shared" si="17"/>
        <v>HEW41-1_dry_INC_22112019</v>
      </c>
    </row>
    <row r="61" spans="2:4" x14ac:dyDescent="0.25">
      <c r="B61" s="33" t="s">
        <v>155</v>
      </c>
      <c r="C61" t="s">
        <v>213</v>
      </c>
      <c r="D61" t="str">
        <f t="shared" si="17"/>
        <v>HEW41-2_dry_INC_22112019</v>
      </c>
    </row>
    <row r="62" spans="2:4" x14ac:dyDescent="0.25">
      <c r="B62" s="33" t="s">
        <v>156</v>
      </c>
      <c r="C62" t="s">
        <v>213</v>
      </c>
      <c r="D62" t="str">
        <f t="shared" si="17"/>
        <v>HEW42-1_dry_INC_22112019</v>
      </c>
    </row>
    <row r="63" spans="2:4" x14ac:dyDescent="0.25">
      <c r="B63" s="33" t="s">
        <v>157</v>
      </c>
      <c r="C63" t="s">
        <v>213</v>
      </c>
      <c r="D63" t="str">
        <f t="shared" si="17"/>
        <v>HEW42-2_dry_INC_22112019</v>
      </c>
    </row>
    <row r="64" spans="2:4" x14ac:dyDescent="0.25">
      <c r="B64" s="33" t="s">
        <v>158</v>
      </c>
      <c r="C64" t="s">
        <v>213</v>
      </c>
      <c r="D64" t="str">
        <f t="shared" si="17"/>
        <v>HEG10-1_dry_INC_22112019</v>
      </c>
    </row>
    <row r="65" spans="2:4" x14ac:dyDescent="0.25">
      <c r="B65" s="33" t="s">
        <v>159</v>
      </c>
      <c r="C65" t="s">
        <v>213</v>
      </c>
      <c r="D65" t="str">
        <f t="shared" si="17"/>
        <v>HEG10-2_dry_INC_22112019</v>
      </c>
    </row>
    <row r="66" spans="2:4" x14ac:dyDescent="0.25">
      <c r="B66" s="33" t="s">
        <v>160</v>
      </c>
      <c r="C66" t="s">
        <v>213</v>
      </c>
      <c r="D66" t="str">
        <f t="shared" si="17"/>
        <v>HEG32-1_dry_INC_22112019</v>
      </c>
    </row>
    <row r="67" spans="2:4" x14ac:dyDescent="0.25">
      <c r="B67" s="33" t="s">
        <v>161</v>
      </c>
      <c r="C67" t="s">
        <v>213</v>
      </c>
      <c r="D67" t="str">
        <f t="shared" si="17"/>
        <v>HEG32-2_dry_INC_22112019</v>
      </c>
    </row>
    <row r="68" spans="2:4" x14ac:dyDescent="0.25">
      <c r="B68" s="33" t="s">
        <v>162</v>
      </c>
      <c r="C68" t="s">
        <v>213</v>
      </c>
      <c r="D68" t="str">
        <f t="shared" si="17"/>
        <v>HEG48-1_dry_INC_22112019</v>
      </c>
    </row>
    <row r="69" spans="2:4" x14ac:dyDescent="0.25">
      <c r="B69" s="33" t="s">
        <v>163</v>
      </c>
      <c r="C69" t="s">
        <v>213</v>
      </c>
      <c r="D69" t="str">
        <f t="shared" si="17"/>
        <v>HEG48-2_dry_INC_22112019</v>
      </c>
    </row>
    <row r="70" spans="2:4" x14ac:dyDescent="0.25">
      <c r="B70" s="33" t="s">
        <v>192</v>
      </c>
      <c r="C70" t="s">
        <v>210</v>
      </c>
      <c r="D70" t="str">
        <f t="shared" si="17"/>
        <v>Std_flushed_22112019</v>
      </c>
    </row>
  </sheetData>
  <conditionalFormatting sqref="O17:O28">
    <cfRule type="cellIs" dxfId="1" priority="1" operator="greaterThan">
      <formula>4</formula>
    </cfRule>
    <cfRule type="cellIs" dxfId="0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L3" sqref="L3"/>
    </sheetView>
  </sheetViews>
  <sheetFormatPr baseColWidth="10" defaultColWidth="9.140625" defaultRowHeight="15" x14ac:dyDescent="0.25"/>
  <cols>
    <col min="1" max="1" width="5.5703125" customWidth="1"/>
    <col min="2" max="2" width="12.7109375" customWidth="1"/>
    <col min="3" max="3" width="10.85546875" bestFit="1" customWidth="1"/>
    <col min="4" max="4" width="13.7109375" bestFit="1" customWidth="1"/>
    <col min="5" max="5" width="10.7109375" customWidth="1"/>
    <col min="6" max="6" width="9.85546875" customWidth="1"/>
    <col min="7" max="7" width="15.140625" customWidth="1"/>
    <col min="8" max="8" width="9" customWidth="1"/>
  </cols>
  <sheetData>
    <row r="1" spans="1:13" x14ac:dyDescent="0.25">
      <c r="A1" s="123" t="s">
        <v>5</v>
      </c>
      <c r="B1" s="122" t="s">
        <v>1</v>
      </c>
      <c r="C1" s="122" t="s">
        <v>0</v>
      </c>
      <c r="D1" s="122" t="s">
        <v>2</v>
      </c>
      <c r="E1" s="122" t="s">
        <v>3</v>
      </c>
      <c r="F1" s="122" t="s">
        <v>4</v>
      </c>
      <c r="G1" s="122" t="s">
        <v>126</v>
      </c>
      <c r="H1" s="122" t="s">
        <v>4</v>
      </c>
      <c r="I1" s="122" t="s">
        <v>127</v>
      </c>
      <c r="J1" s="122"/>
      <c r="K1" s="122" t="s">
        <v>129</v>
      </c>
      <c r="L1" s="122" t="s">
        <v>130</v>
      </c>
      <c r="M1" s="122"/>
    </row>
    <row r="2" spans="1:13" x14ac:dyDescent="0.25">
      <c r="A2" s="124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1:13" x14ac:dyDescent="0.25">
      <c r="A3" s="1"/>
      <c r="B3" s="1" t="s">
        <v>120</v>
      </c>
      <c r="C3" s="2">
        <v>10</v>
      </c>
      <c r="D3" s="3"/>
      <c r="E3" s="4">
        <v>489.7</v>
      </c>
      <c r="F3" s="1"/>
      <c r="G3" s="1">
        <v>517.74</v>
      </c>
      <c r="H3" s="1"/>
      <c r="I3" s="1">
        <v>22.6</v>
      </c>
      <c r="J3">
        <f>G3-I3</f>
        <v>495.14</v>
      </c>
      <c r="K3">
        <f>J3-E3</f>
        <v>5.4399999999999977</v>
      </c>
      <c r="L3" s="106">
        <f>(K3/J3)*100</f>
        <v>1.0986791614492868</v>
      </c>
    </row>
    <row r="4" spans="1:13" x14ac:dyDescent="0.25">
      <c r="A4" s="1"/>
      <c r="B4" s="1" t="s">
        <v>121</v>
      </c>
      <c r="C4" s="2">
        <v>10</v>
      </c>
      <c r="D4" s="3"/>
      <c r="E4" s="4">
        <v>554.6</v>
      </c>
      <c r="F4" s="1"/>
      <c r="G4" s="1">
        <v>576.35</v>
      </c>
      <c r="H4" s="1"/>
      <c r="I4" s="1">
        <v>14.4</v>
      </c>
      <c r="J4">
        <f t="shared" ref="J4:J7" si="0">G4-I4</f>
        <v>561.95000000000005</v>
      </c>
      <c r="K4">
        <f t="shared" ref="K4:K7" si="1">J4-E4</f>
        <v>7.3500000000000227</v>
      </c>
      <c r="L4" s="106">
        <f t="shared" ref="L4:L7" si="2">(K4/J4)*100</f>
        <v>1.3079455467568328</v>
      </c>
    </row>
    <row r="5" spans="1:13" x14ac:dyDescent="0.25">
      <c r="A5" s="1"/>
      <c r="B5" s="1" t="s">
        <v>122</v>
      </c>
      <c r="C5" s="2">
        <v>10</v>
      </c>
      <c r="D5" s="3"/>
      <c r="E5" s="4">
        <v>622.70000000000005</v>
      </c>
      <c r="F5" s="1"/>
      <c r="G5" s="1">
        <v>634.29999999999995</v>
      </c>
      <c r="H5" s="1"/>
      <c r="I5" s="1">
        <v>6.4</v>
      </c>
      <c r="J5">
        <f t="shared" si="0"/>
        <v>627.9</v>
      </c>
      <c r="K5">
        <f t="shared" si="1"/>
        <v>5.1999999999999318</v>
      </c>
      <c r="L5" s="106">
        <f t="shared" si="2"/>
        <v>0.8281573498964695</v>
      </c>
    </row>
    <row r="6" spans="1:13" x14ac:dyDescent="0.25">
      <c r="A6" s="1"/>
      <c r="B6" s="1" t="s">
        <v>123</v>
      </c>
      <c r="C6" s="2">
        <v>10</v>
      </c>
      <c r="D6" s="3"/>
      <c r="E6" s="4">
        <v>622.6</v>
      </c>
      <c r="F6" s="1"/>
      <c r="G6" s="1">
        <v>672.4</v>
      </c>
      <c r="H6" s="1"/>
      <c r="I6" s="1">
        <v>35.200000000000003</v>
      </c>
      <c r="J6">
        <f t="shared" si="0"/>
        <v>637.19999999999993</v>
      </c>
      <c r="K6">
        <f t="shared" si="1"/>
        <v>14.599999999999909</v>
      </c>
      <c r="L6" s="106">
        <f t="shared" si="2"/>
        <v>2.2912743251726164</v>
      </c>
    </row>
    <row r="7" spans="1:13" x14ac:dyDescent="0.25">
      <c r="A7" s="1"/>
      <c r="B7" s="1" t="s">
        <v>124</v>
      </c>
      <c r="C7" s="2">
        <v>10</v>
      </c>
      <c r="D7" s="3"/>
      <c r="E7" s="4">
        <v>627.70000000000005</v>
      </c>
      <c r="F7" s="1"/>
      <c r="G7" s="1">
        <v>658.98</v>
      </c>
      <c r="H7" s="1"/>
      <c r="I7" s="1">
        <v>20.75</v>
      </c>
      <c r="J7">
        <f t="shared" si="0"/>
        <v>638.23</v>
      </c>
      <c r="K7">
        <f t="shared" si="1"/>
        <v>10.529999999999973</v>
      </c>
      <c r="L7" s="106">
        <f t="shared" si="2"/>
        <v>1.6498754367547706</v>
      </c>
    </row>
    <row r="8" spans="1:13" x14ac:dyDescent="0.25">
      <c r="A8" s="1"/>
      <c r="B8" s="1" t="s">
        <v>125</v>
      </c>
      <c r="C8" s="2">
        <v>10</v>
      </c>
      <c r="D8" s="3"/>
      <c r="E8" s="4">
        <v>632.40000000000009</v>
      </c>
      <c r="F8" s="1"/>
      <c r="G8" s="1"/>
      <c r="H8" s="1"/>
      <c r="I8" s="1">
        <v>30.7</v>
      </c>
    </row>
    <row r="9" spans="1:13" x14ac:dyDescent="0.25">
      <c r="A9" s="1"/>
      <c r="B9" s="1"/>
      <c r="C9" s="2"/>
      <c r="D9" s="3"/>
      <c r="E9" s="4"/>
      <c r="F9" s="1"/>
      <c r="G9" s="1"/>
      <c r="H9" s="1"/>
      <c r="I9" s="1"/>
    </row>
    <row r="10" spans="1:13" x14ac:dyDescent="0.25">
      <c r="A10" s="1"/>
      <c r="B10" s="1"/>
      <c r="C10" s="2"/>
      <c r="D10" s="3"/>
      <c r="E10" s="4"/>
      <c r="F10" s="1"/>
      <c r="G10" s="1"/>
      <c r="H10" s="1"/>
      <c r="I10" s="1"/>
    </row>
    <row r="11" spans="1:13" x14ac:dyDescent="0.25">
      <c r="A11" s="1"/>
      <c r="B11" s="1"/>
      <c r="C11" s="2"/>
      <c r="D11" s="3"/>
      <c r="E11" s="4"/>
      <c r="F11" s="1"/>
      <c r="G11" s="1"/>
      <c r="H11" s="1"/>
      <c r="I11" s="1"/>
    </row>
    <row r="12" spans="1:13" x14ac:dyDescent="0.25">
      <c r="A12" s="1"/>
      <c r="B12" s="1"/>
      <c r="C12" s="2"/>
      <c r="D12" s="3"/>
      <c r="E12" s="4"/>
      <c r="F12" s="1"/>
      <c r="G12" s="1"/>
      <c r="H12" s="1"/>
      <c r="I12" s="1"/>
    </row>
    <row r="13" spans="1:13" x14ac:dyDescent="0.25">
      <c r="A13" s="1"/>
      <c r="B13" s="1"/>
      <c r="C13" s="2"/>
      <c r="D13" s="3"/>
      <c r="E13" s="4"/>
      <c r="F13" s="1"/>
      <c r="G13" s="1"/>
      <c r="H13" s="1"/>
      <c r="I13" s="1"/>
    </row>
    <row r="14" spans="1:13" x14ac:dyDescent="0.25">
      <c r="A14" s="1"/>
      <c r="B14" s="1"/>
      <c r="C14" s="2"/>
      <c r="D14" s="3"/>
      <c r="E14" s="4"/>
      <c r="F14" s="1"/>
      <c r="G14" s="1"/>
      <c r="H14" s="1"/>
      <c r="I14" s="1"/>
    </row>
    <row r="15" spans="1:13" x14ac:dyDescent="0.25">
      <c r="A15" s="1"/>
      <c r="B15" s="1"/>
      <c r="C15" s="5"/>
      <c r="D15" s="3"/>
      <c r="E15" s="4"/>
      <c r="F15" s="1"/>
      <c r="G15" s="1"/>
      <c r="H15" s="1"/>
      <c r="I15" s="1"/>
    </row>
    <row r="16" spans="1:13" x14ac:dyDescent="0.25">
      <c r="A16" s="1"/>
      <c r="B16" s="1"/>
      <c r="C16" s="5"/>
      <c r="D16" s="3"/>
      <c r="E16" s="1"/>
      <c r="F16" s="1"/>
      <c r="G16" s="1"/>
      <c r="H16" s="1"/>
      <c r="I16" s="1"/>
    </row>
    <row r="17" spans="1:9" x14ac:dyDescent="0.25">
      <c r="A17" s="1"/>
      <c r="B17" s="1"/>
      <c r="C17" s="5"/>
      <c r="D17" s="3"/>
      <c r="E17" s="1"/>
      <c r="F17" s="1"/>
      <c r="G17" s="1"/>
      <c r="H17" s="1"/>
      <c r="I17" s="1"/>
    </row>
    <row r="18" spans="1:9" x14ac:dyDescent="0.25">
      <c r="A18" s="1"/>
      <c r="B18" s="1"/>
      <c r="C18" s="5"/>
      <c r="D18" s="3"/>
      <c r="E18" s="1"/>
      <c r="F18" s="1"/>
      <c r="G18" s="1"/>
      <c r="H18" s="1"/>
      <c r="I18" s="1"/>
    </row>
    <row r="19" spans="1:9" x14ac:dyDescent="0.25">
      <c r="A19" s="1"/>
      <c r="B19" s="1"/>
      <c r="C19" s="5"/>
      <c r="D19" s="3"/>
      <c r="E19" s="1"/>
      <c r="F19" s="1"/>
      <c r="G19" s="1"/>
      <c r="H19" s="1"/>
      <c r="I19" s="1"/>
    </row>
    <row r="20" spans="1:9" x14ac:dyDescent="0.25">
      <c r="A20" s="1"/>
      <c r="B20" s="1"/>
      <c r="C20" s="5"/>
      <c r="D20" s="3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4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4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4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4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4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4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4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4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4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4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4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4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</sheetData>
  <mergeCells count="13">
    <mergeCell ref="A1:A2"/>
    <mergeCell ref="H1:H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I1:I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H26" sqref="H26"/>
    </sheetView>
  </sheetViews>
  <sheetFormatPr baseColWidth="10" defaultColWidth="9.140625" defaultRowHeight="15" x14ac:dyDescent="0.25"/>
  <cols>
    <col min="2" max="2" width="12.85546875" bestFit="1" customWidth="1"/>
    <col min="8" max="8" width="11.42578125" customWidth="1"/>
    <col min="9" max="9" width="10.28515625" customWidth="1"/>
  </cols>
  <sheetData>
    <row r="1" spans="1:19" x14ac:dyDescent="0.25">
      <c r="A1" s="125" t="s">
        <v>5</v>
      </c>
      <c r="B1" s="126" t="s">
        <v>6</v>
      </c>
      <c r="C1" s="125" t="s">
        <v>7</v>
      </c>
      <c r="D1" s="125" t="s">
        <v>8</v>
      </c>
      <c r="E1" s="125" t="s">
        <v>48</v>
      </c>
      <c r="F1" s="125" t="s">
        <v>9</v>
      </c>
      <c r="G1" s="125" t="s">
        <v>10</v>
      </c>
      <c r="H1" s="127" t="s">
        <v>50</v>
      </c>
      <c r="I1" s="127" t="s">
        <v>49</v>
      </c>
      <c r="J1" s="125" t="s">
        <v>11</v>
      </c>
      <c r="K1" s="125" t="s">
        <v>12</v>
      </c>
      <c r="L1" s="125" t="s">
        <v>13</v>
      </c>
      <c r="M1" s="125" t="s">
        <v>14</v>
      </c>
      <c r="N1" s="125" t="s">
        <v>15</v>
      </c>
      <c r="O1" s="125" t="s">
        <v>16</v>
      </c>
      <c r="P1" s="125" t="s">
        <v>17</v>
      </c>
      <c r="Q1" s="125" t="s">
        <v>18</v>
      </c>
      <c r="R1" s="125" t="s">
        <v>19</v>
      </c>
      <c r="S1" s="125" t="s">
        <v>20</v>
      </c>
    </row>
    <row r="2" spans="1:19" x14ac:dyDescent="0.25">
      <c r="A2" s="125"/>
      <c r="B2" s="126"/>
      <c r="C2" s="125"/>
      <c r="D2" s="125"/>
      <c r="E2" s="125"/>
      <c r="F2" s="125"/>
      <c r="G2" s="125"/>
      <c r="H2" s="127"/>
      <c r="I2" s="127"/>
      <c r="J2" s="125"/>
      <c r="K2" s="125"/>
      <c r="L2" s="125"/>
      <c r="M2" s="125"/>
      <c r="N2" s="125"/>
      <c r="O2" s="125"/>
      <c r="P2" s="125"/>
      <c r="Q2" s="125"/>
      <c r="R2" s="125"/>
      <c r="S2" s="125"/>
    </row>
    <row r="3" spans="1:19" x14ac:dyDescent="0.25">
      <c r="A3" s="6"/>
      <c r="B3" s="7"/>
      <c r="E3">
        <f>D3-C3</f>
        <v>0</v>
      </c>
      <c r="G3">
        <f>D3-F3</f>
        <v>0</v>
      </c>
      <c r="H3" s="8" t="e">
        <f>G3/(F3-C3)*100</f>
        <v>#DIV/0!</v>
      </c>
      <c r="I3" s="34" t="e">
        <f t="shared" ref="I3:I20" si="0">(F3-C3)/E3</f>
        <v>#DIV/0!</v>
      </c>
      <c r="J3" s="9"/>
      <c r="K3" s="10"/>
      <c r="L3" s="10">
        <f t="shared" ref="L3:L20" si="1">K3*(F3/100+1)</f>
        <v>0</v>
      </c>
      <c r="M3" s="10">
        <f>J3-K3</f>
        <v>0</v>
      </c>
      <c r="N3" s="10" t="e">
        <f t="shared" ref="N3:N20" si="2">M3*(H3/100+1)</f>
        <v>#DIV/0!</v>
      </c>
      <c r="O3" s="10" t="e">
        <f>N3*10</f>
        <v>#DIV/0!</v>
      </c>
      <c r="P3" s="11"/>
      <c r="Q3" s="10" t="e">
        <f t="shared" ref="Q3:Q20" si="3">P3*(H3/100+1)</f>
        <v>#DIV/0!</v>
      </c>
      <c r="R3" s="10" t="e">
        <f>Q3*10</f>
        <v>#DIV/0!</v>
      </c>
      <c r="S3" s="10" t="e">
        <f>O3/R3</f>
        <v>#DIV/0!</v>
      </c>
    </row>
    <row r="4" spans="1:19" x14ac:dyDescent="0.25">
      <c r="A4" s="6"/>
      <c r="B4" s="7"/>
      <c r="E4">
        <f t="shared" ref="E4:E20" si="4">D4-C4</f>
        <v>0</v>
      </c>
      <c r="G4">
        <f t="shared" ref="G4:G14" si="5">D4-F4</f>
        <v>0</v>
      </c>
      <c r="H4" s="8" t="e">
        <f t="shared" ref="H4:H14" si="6">G4/(F4-C4)*100</f>
        <v>#DIV/0!</v>
      </c>
      <c r="I4" s="34" t="e">
        <f t="shared" si="0"/>
        <v>#DIV/0!</v>
      </c>
      <c r="J4" s="9"/>
      <c r="K4" s="10"/>
      <c r="L4" s="10">
        <f t="shared" si="1"/>
        <v>0</v>
      </c>
      <c r="M4" s="10">
        <f t="shared" ref="M4:M14" si="7">J4-K4</f>
        <v>0</v>
      </c>
      <c r="N4" s="10" t="e">
        <f t="shared" si="2"/>
        <v>#DIV/0!</v>
      </c>
      <c r="O4" s="10" t="e">
        <f t="shared" ref="O4:O14" si="8">N4*10</f>
        <v>#DIV/0!</v>
      </c>
      <c r="P4" s="11"/>
      <c r="Q4" s="10" t="e">
        <f t="shared" si="3"/>
        <v>#DIV/0!</v>
      </c>
      <c r="R4" s="10" t="e">
        <f t="shared" ref="R4:R14" si="9">Q4*10</f>
        <v>#DIV/0!</v>
      </c>
      <c r="S4" s="10" t="e">
        <f t="shared" ref="S4:S14" si="10">O4/R4</f>
        <v>#DIV/0!</v>
      </c>
    </row>
    <row r="5" spans="1:19" x14ac:dyDescent="0.25">
      <c r="A5" s="6"/>
      <c r="B5" s="7"/>
      <c r="E5">
        <f t="shared" si="4"/>
        <v>0</v>
      </c>
      <c r="G5">
        <f t="shared" si="5"/>
        <v>0</v>
      </c>
      <c r="H5" s="8" t="e">
        <f t="shared" si="6"/>
        <v>#DIV/0!</v>
      </c>
      <c r="I5" s="34" t="e">
        <f t="shared" si="0"/>
        <v>#DIV/0!</v>
      </c>
      <c r="J5" s="9"/>
      <c r="K5" s="10"/>
      <c r="L5" s="10">
        <f t="shared" si="1"/>
        <v>0</v>
      </c>
      <c r="M5" s="10">
        <f t="shared" si="7"/>
        <v>0</v>
      </c>
      <c r="N5" s="10" t="e">
        <f t="shared" si="2"/>
        <v>#DIV/0!</v>
      </c>
      <c r="O5" s="10" t="e">
        <f t="shared" si="8"/>
        <v>#DIV/0!</v>
      </c>
      <c r="P5" s="11"/>
      <c r="Q5" s="10" t="e">
        <f t="shared" si="3"/>
        <v>#DIV/0!</v>
      </c>
      <c r="R5" s="10" t="e">
        <f t="shared" si="9"/>
        <v>#DIV/0!</v>
      </c>
      <c r="S5" s="10" t="e">
        <f t="shared" si="10"/>
        <v>#DIV/0!</v>
      </c>
    </row>
    <row r="6" spans="1:19" x14ac:dyDescent="0.25">
      <c r="A6" s="6"/>
      <c r="B6" s="7"/>
      <c r="E6">
        <f t="shared" si="4"/>
        <v>0</v>
      </c>
      <c r="G6">
        <f t="shared" si="5"/>
        <v>0</v>
      </c>
      <c r="H6" s="8" t="e">
        <f t="shared" si="6"/>
        <v>#DIV/0!</v>
      </c>
      <c r="I6" s="34" t="e">
        <f t="shared" si="0"/>
        <v>#DIV/0!</v>
      </c>
      <c r="J6" s="9"/>
      <c r="K6" s="10"/>
      <c r="L6" s="10">
        <f t="shared" si="1"/>
        <v>0</v>
      </c>
      <c r="M6" s="10">
        <f t="shared" si="7"/>
        <v>0</v>
      </c>
      <c r="N6" s="10" t="e">
        <f t="shared" si="2"/>
        <v>#DIV/0!</v>
      </c>
      <c r="O6" s="10" t="e">
        <f t="shared" si="8"/>
        <v>#DIV/0!</v>
      </c>
      <c r="P6" s="11"/>
      <c r="Q6" s="10" t="e">
        <f t="shared" si="3"/>
        <v>#DIV/0!</v>
      </c>
      <c r="R6" s="10" t="e">
        <f t="shared" si="9"/>
        <v>#DIV/0!</v>
      </c>
      <c r="S6" s="10" t="e">
        <f t="shared" si="10"/>
        <v>#DIV/0!</v>
      </c>
    </row>
    <row r="7" spans="1:19" x14ac:dyDescent="0.25">
      <c r="A7" s="6"/>
      <c r="B7" s="7"/>
      <c r="E7">
        <f t="shared" si="4"/>
        <v>0</v>
      </c>
      <c r="G7">
        <f t="shared" si="5"/>
        <v>0</v>
      </c>
      <c r="H7" s="8" t="e">
        <f t="shared" si="6"/>
        <v>#DIV/0!</v>
      </c>
      <c r="I7" s="34" t="e">
        <f t="shared" si="0"/>
        <v>#DIV/0!</v>
      </c>
      <c r="J7" s="9"/>
      <c r="K7" s="10"/>
      <c r="L7" s="10">
        <f t="shared" si="1"/>
        <v>0</v>
      </c>
      <c r="M7" s="10">
        <f t="shared" si="7"/>
        <v>0</v>
      </c>
      <c r="N7" s="10" t="e">
        <f t="shared" si="2"/>
        <v>#DIV/0!</v>
      </c>
      <c r="O7" s="10" t="e">
        <f t="shared" si="8"/>
        <v>#DIV/0!</v>
      </c>
      <c r="P7" s="11"/>
      <c r="Q7" s="10" t="e">
        <f t="shared" si="3"/>
        <v>#DIV/0!</v>
      </c>
      <c r="R7" s="10" t="e">
        <f t="shared" si="9"/>
        <v>#DIV/0!</v>
      </c>
      <c r="S7" s="10" t="e">
        <f t="shared" si="10"/>
        <v>#DIV/0!</v>
      </c>
    </row>
    <row r="8" spans="1:19" x14ac:dyDescent="0.25">
      <c r="A8" s="6"/>
      <c r="B8" s="7"/>
      <c r="E8">
        <f t="shared" si="4"/>
        <v>0</v>
      </c>
      <c r="G8">
        <f t="shared" si="5"/>
        <v>0</v>
      </c>
      <c r="H8" s="8" t="e">
        <f t="shared" si="6"/>
        <v>#DIV/0!</v>
      </c>
      <c r="I8" s="34" t="e">
        <f t="shared" si="0"/>
        <v>#DIV/0!</v>
      </c>
      <c r="J8" s="9"/>
      <c r="K8" s="10"/>
      <c r="L8" s="10">
        <f t="shared" si="1"/>
        <v>0</v>
      </c>
      <c r="M8" s="10">
        <f t="shared" si="7"/>
        <v>0</v>
      </c>
      <c r="N8" s="10" t="e">
        <f t="shared" si="2"/>
        <v>#DIV/0!</v>
      </c>
      <c r="O8" s="10" t="e">
        <f t="shared" si="8"/>
        <v>#DIV/0!</v>
      </c>
      <c r="P8" s="11"/>
      <c r="Q8" s="10" t="e">
        <f t="shared" si="3"/>
        <v>#DIV/0!</v>
      </c>
      <c r="R8" s="10" t="e">
        <f t="shared" si="9"/>
        <v>#DIV/0!</v>
      </c>
      <c r="S8" s="10" t="e">
        <f t="shared" si="10"/>
        <v>#DIV/0!</v>
      </c>
    </row>
    <row r="9" spans="1:19" x14ac:dyDescent="0.25">
      <c r="A9" s="6"/>
      <c r="B9" s="7"/>
      <c r="E9">
        <f t="shared" si="4"/>
        <v>0</v>
      </c>
      <c r="G9">
        <f t="shared" si="5"/>
        <v>0</v>
      </c>
      <c r="H9" s="8" t="e">
        <f t="shared" si="6"/>
        <v>#DIV/0!</v>
      </c>
      <c r="I9" s="34" t="e">
        <f t="shared" si="0"/>
        <v>#DIV/0!</v>
      </c>
      <c r="J9" s="9"/>
      <c r="K9" s="10"/>
      <c r="L9" s="10">
        <f t="shared" si="1"/>
        <v>0</v>
      </c>
      <c r="M9" s="10">
        <f t="shared" si="7"/>
        <v>0</v>
      </c>
      <c r="N9" s="10" t="e">
        <f t="shared" si="2"/>
        <v>#DIV/0!</v>
      </c>
      <c r="O9" s="10" t="e">
        <f t="shared" si="8"/>
        <v>#DIV/0!</v>
      </c>
      <c r="P9" s="11"/>
      <c r="Q9" s="10" t="e">
        <f t="shared" si="3"/>
        <v>#DIV/0!</v>
      </c>
      <c r="R9" s="10" t="e">
        <f t="shared" si="9"/>
        <v>#DIV/0!</v>
      </c>
      <c r="S9" s="10" t="e">
        <f t="shared" si="10"/>
        <v>#DIV/0!</v>
      </c>
    </row>
    <row r="10" spans="1:19" x14ac:dyDescent="0.25">
      <c r="A10" s="6"/>
      <c r="B10" s="7"/>
      <c r="E10">
        <f t="shared" si="4"/>
        <v>0</v>
      </c>
      <c r="G10">
        <f t="shared" si="5"/>
        <v>0</v>
      </c>
      <c r="H10" s="8" t="e">
        <f t="shared" si="6"/>
        <v>#DIV/0!</v>
      </c>
      <c r="I10" s="34" t="e">
        <f t="shared" si="0"/>
        <v>#DIV/0!</v>
      </c>
      <c r="J10" s="9"/>
      <c r="K10" s="10"/>
      <c r="L10" s="10">
        <f t="shared" si="1"/>
        <v>0</v>
      </c>
      <c r="M10" s="10">
        <f t="shared" si="7"/>
        <v>0</v>
      </c>
      <c r="N10" s="10" t="e">
        <f t="shared" si="2"/>
        <v>#DIV/0!</v>
      </c>
      <c r="O10" s="10" t="e">
        <f t="shared" si="8"/>
        <v>#DIV/0!</v>
      </c>
      <c r="P10" s="11"/>
      <c r="Q10" s="10" t="e">
        <f t="shared" si="3"/>
        <v>#DIV/0!</v>
      </c>
      <c r="R10" s="10" t="e">
        <f t="shared" si="9"/>
        <v>#DIV/0!</v>
      </c>
      <c r="S10" s="10" t="e">
        <f t="shared" si="10"/>
        <v>#DIV/0!</v>
      </c>
    </row>
    <row r="11" spans="1:19" x14ac:dyDescent="0.25">
      <c r="A11" s="6"/>
      <c r="B11" s="7"/>
      <c r="E11">
        <f t="shared" si="4"/>
        <v>0</v>
      </c>
      <c r="G11">
        <f t="shared" si="5"/>
        <v>0</v>
      </c>
      <c r="H11" s="8" t="e">
        <f t="shared" si="6"/>
        <v>#DIV/0!</v>
      </c>
      <c r="I11" s="34" t="e">
        <f t="shared" si="0"/>
        <v>#DIV/0!</v>
      </c>
      <c r="J11" s="9"/>
      <c r="K11" s="10"/>
      <c r="L11" s="10">
        <f t="shared" si="1"/>
        <v>0</v>
      </c>
      <c r="M11" s="10">
        <f t="shared" si="7"/>
        <v>0</v>
      </c>
      <c r="N11" s="10" t="e">
        <f t="shared" si="2"/>
        <v>#DIV/0!</v>
      </c>
      <c r="O11" s="10" t="e">
        <f t="shared" si="8"/>
        <v>#DIV/0!</v>
      </c>
      <c r="P11" s="11"/>
      <c r="Q11" s="10" t="e">
        <f t="shared" si="3"/>
        <v>#DIV/0!</v>
      </c>
      <c r="R11" s="10" t="e">
        <f t="shared" si="9"/>
        <v>#DIV/0!</v>
      </c>
      <c r="S11" s="10" t="e">
        <f t="shared" si="10"/>
        <v>#DIV/0!</v>
      </c>
    </row>
    <row r="12" spans="1:19" x14ac:dyDescent="0.25">
      <c r="A12" s="6"/>
      <c r="B12" s="7"/>
      <c r="E12">
        <f t="shared" si="4"/>
        <v>0</v>
      </c>
      <c r="G12">
        <f t="shared" si="5"/>
        <v>0</v>
      </c>
      <c r="H12" s="8" t="e">
        <f t="shared" si="6"/>
        <v>#DIV/0!</v>
      </c>
      <c r="I12" s="34" t="e">
        <f t="shared" si="0"/>
        <v>#DIV/0!</v>
      </c>
      <c r="J12" s="9"/>
      <c r="K12" s="10"/>
      <c r="L12" s="10">
        <f t="shared" si="1"/>
        <v>0</v>
      </c>
      <c r="M12" s="10">
        <f t="shared" si="7"/>
        <v>0</v>
      </c>
      <c r="N12" s="10" t="e">
        <f t="shared" si="2"/>
        <v>#DIV/0!</v>
      </c>
      <c r="O12" s="10" t="e">
        <f t="shared" si="8"/>
        <v>#DIV/0!</v>
      </c>
      <c r="P12" s="11"/>
      <c r="Q12" s="10" t="e">
        <f t="shared" si="3"/>
        <v>#DIV/0!</v>
      </c>
      <c r="R12" s="10" t="e">
        <f t="shared" si="9"/>
        <v>#DIV/0!</v>
      </c>
      <c r="S12" s="10" t="e">
        <f t="shared" si="10"/>
        <v>#DIV/0!</v>
      </c>
    </row>
    <row r="13" spans="1:19" x14ac:dyDescent="0.25">
      <c r="A13" s="6"/>
      <c r="B13" s="7"/>
      <c r="E13">
        <f t="shared" si="4"/>
        <v>0</v>
      </c>
      <c r="G13">
        <f t="shared" si="5"/>
        <v>0</v>
      </c>
      <c r="H13" s="8" t="e">
        <f t="shared" si="6"/>
        <v>#DIV/0!</v>
      </c>
      <c r="I13" s="34" t="e">
        <f t="shared" si="0"/>
        <v>#DIV/0!</v>
      </c>
      <c r="J13" s="9"/>
      <c r="K13" s="10"/>
      <c r="L13" s="10">
        <f t="shared" si="1"/>
        <v>0</v>
      </c>
      <c r="M13" s="10">
        <f t="shared" si="7"/>
        <v>0</v>
      </c>
      <c r="N13" s="10" t="e">
        <f t="shared" si="2"/>
        <v>#DIV/0!</v>
      </c>
      <c r="O13" s="10" t="e">
        <f t="shared" si="8"/>
        <v>#DIV/0!</v>
      </c>
      <c r="P13" s="11"/>
      <c r="Q13" s="10" t="e">
        <f t="shared" si="3"/>
        <v>#DIV/0!</v>
      </c>
      <c r="R13" s="10" t="e">
        <f t="shared" si="9"/>
        <v>#DIV/0!</v>
      </c>
      <c r="S13" s="10" t="e">
        <f t="shared" si="10"/>
        <v>#DIV/0!</v>
      </c>
    </row>
    <row r="14" spans="1:19" x14ac:dyDescent="0.25">
      <c r="A14" s="6"/>
      <c r="B14" s="7"/>
      <c r="E14">
        <f t="shared" si="4"/>
        <v>0</v>
      </c>
      <c r="G14">
        <f t="shared" si="5"/>
        <v>0</v>
      </c>
      <c r="H14" s="8" t="e">
        <f t="shared" si="6"/>
        <v>#DIV/0!</v>
      </c>
      <c r="I14" s="34" t="e">
        <f t="shared" si="0"/>
        <v>#DIV/0!</v>
      </c>
      <c r="J14" s="9"/>
      <c r="K14" s="10"/>
      <c r="L14" s="10">
        <f t="shared" si="1"/>
        <v>0</v>
      </c>
      <c r="M14" s="10">
        <f t="shared" si="7"/>
        <v>0</v>
      </c>
      <c r="N14" s="10" t="e">
        <f t="shared" si="2"/>
        <v>#DIV/0!</v>
      </c>
      <c r="O14" s="10" t="e">
        <f t="shared" si="8"/>
        <v>#DIV/0!</v>
      </c>
      <c r="P14" s="11"/>
      <c r="Q14" s="10" t="e">
        <f t="shared" si="3"/>
        <v>#DIV/0!</v>
      </c>
      <c r="R14" s="10" t="e">
        <f t="shared" si="9"/>
        <v>#DIV/0!</v>
      </c>
      <c r="S14" s="10" t="e">
        <f t="shared" si="10"/>
        <v>#DIV/0!</v>
      </c>
    </row>
    <row r="15" spans="1:19" x14ac:dyDescent="0.25">
      <c r="A15" s="6"/>
      <c r="E15">
        <f t="shared" si="4"/>
        <v>0</v>
      </c>
      <c r="G15">
        <f t="shared" ref="G15:G20" si="11">D15-F15</f>
        <v>0</v>
      </c>
      <c r="H15" s="8" t="e">
        <f t="shared" ref="H15:H20" si="12">G15/(F15-C15)*100</f>
        <v>#DIV/0!</v>
      </c>
      <c r="I15" s="34" t="e">
        <f t="shared" si="0"/>
        <v>#DIV/0!</v>
      </c>
      <c r="J15" s="9"/>
      <c r="K15" s="10"/>
      <c r="L15" s="10">
        <f t="shared" si="1"/>
        <v>0</v>
      </c>
      <c r="M15" s="10">
        <f t="shared" ref="M15:M20" si="13">J15-K15</f>
        <v>0</v>
      </c>
      <c r="N15" s="10" t="e">
        <f t="shared" si="2"/>
        <v>#DIV/0!</v>
      </c>
      <c r="O15" s="10" t="e">
        <f t="shared" ref="O15:O20" si="14">N15*10</f>
        <v>#DIV/0!</v>
      </c>
      <c r="P15" s="11"/>
      <c r="Q15" s="10" t="e">
        <f t="shared" si="3"/>
        <v>#DIV/0!</v>
      </c>
      <c r="R15" s="10" t="e">
        <f t="shared" ref="R15:R20" si="15">Q15*10</f>
        <v>#DIV/0!</v>
      </c>
      <c r="S15" s="10" t="e">
        <f t="shared" ref="S15:S20" si="16">O15/R15</f>
        <v>#DIV/0!</v>
      </c>
    </row>
    <row r="16" spans="1:19" x14ac:dyDescent="0.25">
      <c r="A16" s="6"/>
      <c r="E16">
        <f t="shared" si="4"/>
        <v>0</v>
      </c>
      <c r="G16">
        <f t="shared" si="11"/>
        <v>0</v>
      </c>
      <c r="H16" s="8" t="e">
        <f t="shared" si="12"/>
        <v>#DIV/0!</v>
      </c>
      <c r="I16" s="34" t="e">
        <f t="shared" si="0"/>
        <v>#DIV/0!</v>
      </c>
      <c r="J16" s="9"/>
      <c r="K16" s="10"/>
      <c r="L16" s="10">
        <f t="shared" si="1"/>
        <v>0</v>
      </c>
      <c r="M16" s="10">
        <f t="shared" si="13"/>
        <v>0</v>
      </c>
      <c r="N16" s="10" t="e">
        <f t="shared" si="2"/>
        <v>#DIV/0!</v>
      </c>
      <c r="O16" s="10" t="e">
        <f t="shared" si="14"/>
        <v>#DIV/0!</v>
      </c>
      <c r="P16" s="11"/>
      <c r="Q16" s="10" t="e">
        <f t="shared" si="3"/>
        <v>#DIV/0!</v>
      </c>
      <c r="R16" s="10" t="e">
        <f t="shared" si="15"/>
        <v>#DIV/0!</v>
      </c>
      <c r="S16" s="10" t="e">
        <f t="shared" si="16"/>
        <v>#DIV/0!</v>
      </c>
    </row>
    <row r="17" spans="1:19" x14ac:dyDescent="0.25">
      <c r="A17" s="6"/>
      <c r="E17">
        <f t="shared" si="4"/>
        <v>0</v>
      </c>
      <c r="G17">
        <f t="shared" si="11"/>
        <v>0</v>
      </c>
      <c r="H17" s="8" t="e">
        <f t="shared" si="12"/>
        <v>#DIV/0!</v>
      </c>
      <c r="I17" s="34" t="e">
        <f t="shared" si="0"/>
        <v>#DIV/0!</v>
      </c>
      <c r="J17" s="9"/>
      <c r="K17" s="10"/>
      <c r="L17" s="10">
        <f t="shared" si="1"/>
        <v>0</v>
      </c>
      <c r="M17" s="10">
        <f t="shared" si="13"/>
        <v>0</v>
      </c>
      <c r="N17" s="10" t="e">
        <f t="shared" si="2"/>
        <v>#DIV/0!</v>
      </c>
      <c r="O17" s="10" t="e">
        <f t="shared" si="14"/>
        <v>#DIV/0!</v>
      </c>
      <c r="P17" s="11"/>
      <c r="Q17" s="10" t="e">
        <f t="shared" si="3"/>
        <v>#DIV/0!</v>
      </c>
      <c r="R17" s="10" t="e">
        <f t="shared" si="15"/>
        <v>#DIV/0!</v>
      </c>
      <c r="S17" s="10" t="e">
        <f t="shared" si="16"/>
        <v>#DIV/0!</v>
      </c>
    </row>
    <row r="18" spans="1:19" x14ac:dyDescent="0.25">
      <c r="A18" s="6"/>
      <c r="E18">
        <f t="shared" si="4"/>
        <v>0</v>
      </c>
      <c r="G18">
        <f t="shared" si="11"/>
        <v>0</v>
      </c>
      <c r="H18" s="8" t="e">
        <f t="shared" si="12"/>
        <v>#DIV/0!</v>
      </c>
      <c r="I18" s="34" t="e">
        <f t="shared" si="0"/>
        <v>#DIV/0!</v>
      </c>
      <c r="J18" s="9"/>
      <c r="K18" s="10"/>
      <c r="L18" s="10">
        <f t="shared" si="1"/>
        <v>0</v>
      </c>
      <c r="M18" s="10">
        <f t="shared" si="13"/>
        <v>0</v>
      </c>
      <c r="N18" s="10" t="e">
        <f t="shared" si="2"/>
        <v>#DIV/0!</v>
      </c>
      <c r="O18" s="10" t="e">
        <f t="shared" si="14"/>
        <v>#DIV/0!</v>
      </c>
      <c r="P18" s="11"/>
      <c r="Q18" s="10" t="e">
        <f t="shared" si="3"/>
        <v>#DIV/0!</v>
      </c>
      <c r="R18" s="10" t="e">
        <f t="shared" si="15"/>
        <v>#DIV/0!</v>
      </c>
      <c r="S18" s="10" t="e">
        <f t="shared" si="16"/>
        <v>#DIV/0!</v>
      </c>
    </row>
    <row r="19" spans="1:19" x14ac:dyDescent="0.25">
      <c r="A19" s="6"/>
      <c r="E19">
        <f t="shared" si="4"/>
        <v>0</v>
      </c>
      <c r="G19">
        <f t="shared" si="11"/>
        <v>0</v>
      </c>
      <c r="H19" s="8" t="e">
        <f t="shared" si="12"/>
        <v>#DIV/0!</v>
      </c>
      <c r="I19" s="34" t="e">
        <f t="shared" si="0"/>
        <v>#DIV/0!</v>
      </c>
      <c r="J19" s="9"/>
      <c r="K19" s="10"/>
      <c r="L19" s="10">
        <f t="shared" si="1"/>
        <v>0</v>
      </c>
      <c r="M19" s="10">
        <f t="shared" si="13"/>
        <v>0</v>
      </c>
      <c r="N19" s="10" t="e">
        <f t="shared" si="2"/>
        <v>#DIV/0!</v>
      </c>
      <c r="O19" s="10" t="e">
        <f t="shared" si="14"/>
        <v>#DIV/0!</v>
      </c>
      <c r="P19" s="11"/>
      <c r="Q19" s="10" t="e">
        <f t="shared" si="3"/>
        <v>#DIV/0!</v>
      </c>
      <c r="R19" s="10" t="e">
        <f t="shared" si="15"/>
        <v>#DIV/0!</v>
      </c>
      <c r="S19" s="10" t="e">
        <f t="shared" si="16"/>
        <v>#DIV/0!</v>
      </c>
    </row>
    <row r="20" spans="1:19" x14ac:dyDescent="0.25">
      <c r="A20" s="6"/>
      <c r="E20">
        <f t="shared" si="4"/>
        <v>0</v>
      </c>
      <c r="G20">
        <f t="shared" si="11"/>
        <v>0</v>
      </c>
      <c r="H20" s="8" t="e">
        <f t="shared" si="12"/>
        <v>#DIV/0!</v>
      </c>
      <c r="I20" s="34" t="e">
        <f t="shared" si="0"/>
        <v>#DIV/0!</v>
      </c>
      <c r="J20" s="9"/>
      <c r="K20" s="10"/>
      <c r="L20" s="10">
        <f t="shared" si="1"/>
        <v>0</v>
      </c>
      <c r="M20" s="10">
        <f t="shared" si="13"/>
        <v>0</v>
      </c>
      <c r="N20" s="10" t="e">
        <f t="shared" si="2"/>
        <v>#DIV/0!</v>
      </c>
      <c r="O20" s="10" t="e">
        <f t="shared" si="14"/>
        <v>#DIV/0!</v>
      </c>
      <c r="P20" s="11"/>
      <c r="Q20" s="10" t="e">
        <f t="shared" si="3"/>
        <v>#DIV/0!</v>
      </c>
      <c r="R20" s="10" t="e">
        <f t="shared" si="15"/>
        <v>#DIV/0!</v>
      </c>
      <c r="S20" s="10" t="e">
        <f t="shared" si="16"/>
        <v>#DIV/0!</v>
      </c>
    </row>
  </sheetData>
  <mergeCells count="19">
    <mergeCell ref="N1:N2"/>
    <mergeCell ref="A1:A2"/>
    <mergeCell ref="B1:B2"/>
    <mergeCell ref="C1:C2"/>
    <mergeCell ref="D1:D2"/>
    <mergeCell ref="F1:F2"/>
    <mergeCell ref="G1:G2"/>
    <mergeCell ref="H1:H2"/>
    <mergeCell ref="J1:J2"/>
    <mergeCell ref="K1:K2"/>
    <mergeCell ref="L1:L2"/>
    <mergeCell ref="M1:M2"/>
    <mergeCell ref="I1:I2"/>
    <mergeCell ref="E1:E2"/>
    <mergeCell ref="O1:O2"/>
    <mergeCell ref="P1:P2"/>
    <mergeCell ref="Q1:Q2"/>
    <mergeCell ref="R1:R2"/>
    <mergeCell ref="S1:S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workbookViewId="0">
      <selection activeCell="S15" sqref="S15"/>
    </sheetView>
  </sheetViews>
  <sheetFormatPr baseColWidth="10" defaultRowHeight="15" x14ac:dyDescent="0.25"/>
  <cols>
    <col min="2" max="2" width="11.85546875" bestFit="1" customWidth="1"/>
    <col min="4" max="4" width="14.7109375" customWidth="1"/>
    <col min="11" max="11" width="19.7109375" bestFit="1" customWidth="1"/>
    <col min="12" max="13" width="19.140625" bestFit="1" customWidth="1"/>
    <col min="14" max="14" width="23.7109375" bestFit="1" customWidth="1"/>
  </cols>
  <sheetData>
    <row r="1" spans="1:24" x14ac:dyDescent="0.25">
      <c r="A1" s="128" t="s">
        <v>6</v>
      </c>
      <c r="B1" s="129"/>
      <c r="C1" s="12" t="s">
        <v>21</v>
      </c>
      <c r="D1" s="12" t="s">
        <v>23</v>
      </c>
      <c r="E1" s="12" t="s">
        <v>22</v>
      </c>
      <c r="F1" s="12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  <c r="M1" s="14" t="s">
        <v>30</v>
      </c>
      <c r="N1" s="14" t="s">
        <v>31</v>
      </c>
      <c r="O1" s="14" t="s">
        <v>32</v>
      </c>
      <c r="P1" s="14" t="s">
        <v>33</v>
      </c>
      <c r="Q1" s="14" t="s">
        <v>34</v>
      </c>
      <c r="R1" s="15" t="s">
        <v>35</v>
      </c>
      <c r="S1" s="15" t="s">
        <v>36</v>
      </c>
      <c r="T1" s="15" t="s">
        <v>37</v>
      </c>
    </row>
    <row r="2" spans="1:24" x14ac:dyDescent="0.25">
      <c r="A2" s="13"/>
      <c r="B2" s="13"/>
      <c r="C2" s="16"/>
      <c r="D2" s="16"/>
      <c r="E2" s="16"/>
      <c r="F2" s="16" t="s">
        <v>38</v>
      </c>
      <c r="G2" s="16" t="s">
        <v>39</v>
      </c>
      <c r="H2" s="16" t="s">
        <v>40</v>
      </c>
      <c r="I2" s="16"/>
      <c r="J2" s="17"/>
      <c r="K2" s="17" t="s">
        <v>41</v>
      </c>
      <c r="L2" s="17" t="s">
        <v>42</v>
      </c>
      <c r="M2" s="17" t="s">
        <v>42</v>
      </c>
      <c r="N2" s="17" t="s">
        <v>41</v>
      </c>
      <c r="O2" s="17" t="s">
        <v>43</v>
      </c>
      <c r="P2" s="17"/>
      <c r="Q2" s="18"/>
      <c r="R2" s="19"/>
      <c r="S2" s="19"/>
      <c r="T2" s="19"/>
    </row>
    <row r="3" spans="1:24" ht="15.75" thickBot="1" x14ac:dyDescent="0.3">
      <c r="A3" s="13"/>
      <c r="B3" s="13"/>
      <c r="C3" s="20" t="s">
        <v>44</v>
      </c>
      <c r="D3" s="20" t="s">
        <v>45</v>
      </c>
      <c r="E3" s="20" t="s">
        <v>44</v>
      </c>
      <c r="F3" s="20" t="s">
        <v>45</v>
      </c>
      <c r="G3" s="21" t="s">
        <v>44</v>
      </c>
      <c r="H3" s="21" t="s">
        <v>46</v>
      </c>
      <c r="I3" s="21" t="s">
        <v>47</v>
      </c>
      <c r="J3" s="21" t="s">
        <v>44</v>
      </c>
      <c r="K3" s="21" t="s">
        <v>44</v>
      </c>
      <c r="L3" s="21" t="s">
        <v>44</v>
      </c>
      <c r="M3" s="21" t="s">
        <v>44</v>
      </c>
      <c r="N3" s="21" t="s">
        <v>44</v>
      </c>
      <c r="O3" s="21" t="s">
        <v>44</v>
      </c>
      <c r="P3" s="21"/>
      <c r="Q3" s="21"/>
      <c r="R3" s="15" t="s">
        <v>47</v>
      </c>
      <c r="S3" s="15" t="s">
        <v>44</v>
      </c>
      <c r="T3" s="15" t="s">
        <v>44</v>
      </c>
    </row>
    <row r="4" spans="1:24" ht="15.75" thickTop="1" x14ac:dyDescent="0.25">
      <c r="A4" s="13"/>
      <c r="B4" s="22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5"/>
    </row>
    <row r="5" spans="1:24" x14ac:dyDescent="0.25">
      <c r="A5" s="13" t="s">
        <v>128</v>
      </c>
      <c r="B5" s="33" t="s">
        <v>120</v>
      </c>
      <c r="C5">
        <v>47.8</v>
      </c>
      <c r="D5">
        <f>F5-C5</f>
        <v>6.8400000000000034</v>
      </c>
      <c r="E5" s="29">
        <v>8.14</v>
      </c>
      <c r="F5">
        <v>54.64</v>
      </c>
      <c r="G5" s="29">
        <f>E5-(F5-C5)</f>
        <v>1.2999999999999972</v>
      </c>
      <c r="H5" s="108">
        <f>G5/E5</f>
        <v>0.15970515970515933</v>
      </c>
      <c r="I5" s="107">
        <f>D5/E5</f>
        <v>0.84029484029484069</v>
      </c>
      <c r="J5" s="26">
        <v>10.426</v>
      </c>
      <c r="K5" s="28">
        <v>25.091999999999999</v>
      </c>
      <c r="L5" s="26">
        <v>14.665999999999999</v>
      </c>
      <c r="M5" s="28">
        <f>I5*L5</f>
        <v>12.323764127764132</v>
      </c>
      <c r="N5" s="13">
        <v>31.596</v>
      </c>
      <c r="O5" s="26">
        <f t="shared" ref="O5:O12" si="0">N5-J5</f>
        <v>21.17</v>
      </c>
      <c r="P5" s="27">
        <f t="shared" ref="P5:P12" si="1">(L5-M5)/(O5-M5)</f>
        <v>0.26477203480262512</v>
      </c>
      <c r="Q5" s="29">
        <f t="shared" ref="Q5:Q12" si="2">(((O5-M5)*0.6)+M5)/L5</f>
        <v>1.2022027581553019</v>
      </c>
      <c r="R5" s="13"/>
      <c r="S5">
        <v>24</v>
      </c>
      <c r="T5" s="30">
        <f t="shared" ref="T5:T12" si="3">S5*(Q5-1)</f>
        <v>4.8528661957272448</v>
      </c>
      <c r="U5">
        <v>1</v>
      </c>
      <c r="X5" s="33"/>
    </row>
    <row r="6" spans="1:24" x14ac:dyDescent="0.25">
      <c r="A6" s="105" t="s">
        <v>128</v>
      </c>
      <c r="B6" s="33" t="s">
        <v>121</v>
      </c>
      <c r="C6">
        <v>53.54</v>
      </c>
      <c r="D6">
        <f t="shared" ref="D6:D16" si="4">F6-C6</f>
        <v>6.1000000000000014</v>
      </c>
      <c r="E6" s="29">
        <v>7.47</v>
      </c>
      <c r="F6">
        <v>59.64</v>
      </c>
      <c r="G6" s="29">
        <f t="shared" ref="G6:G16" si="5">E6-(F6-C6)</f>
        <v>1.3699999999999983</v>
      </c>
      <c r="H6" s="108">
        <f t="shared" ref="H6:H16" si="6">G6/E6</f>
        <v>0.18340026773761692</v>
      </c>
      <c r="I6" s="107">
        <f t="shared" ref="I6:I16" si="7">D6/E6</f>
        <v>0.81659973226238303</v>
      </c>
      <c r="J6" s="26">
        <v>10.396000000000001</v>
      </c>
      <c r="K6" s="28">
        <v>25.493000000000002</v>
      </c>
      <c r="L6" s="26">
        <v>15.097</v>
      </c>
      <c r="M6" s="28">
        <f t="shared" ref="M6:M11" si="8">I6*L6</f>
        <v>12.328206157965196</v>
      </c>
      <c r="N6" s="13">
        <v>32.164999999999999</v>
      </c>
      <c r="O6" s="26">
        <f t="shared" si="0"/>
        <v>21.768999999999998</v>
      </c>
      <c r="P6" s="27">
        <f t="shared" si="1"/>
        <v>0.29327976951544543</v>
      </c>
      <c r="Q6" s="29">
        <f t="shared" si="2"/>
        <v>1.1918051575270636</v>
      </c>
      <c r="R6" s="13"/>
      <c r="S6">
        <v>25</v>
      </c>
      <c r="T6" s="30">
        <f t="shared" si="3"/>
        <v>4.7951289381765907</v>
      </c>
      <c r="U6">
        <v>2</v>
      </c>
      <c r="X6" s="33"/>
    </row>
    <row r="7" spans="1:24" x14ac:dyDescent="0.25">
      <c r="A7" s="105" t="s">
        <v>128</v>
      </c>
      <c r="B7" s="33" t="s">
        <v>122</v>
      </c>
      <c r="C7">
        <v>51.18</v>
      </c>
      <c r="D7">
        <f t="shared" si="4"/>
        <v>8.0200000000000031</v>
      </c>
      <c r="E7" s="29">
        <v>9.77</v>
      </c>
      <c r="F7">
        <v>59.2</v>
      </c>
      <c r="G7" s="29">
        <f t="shared" si="5"/>
        <v>1.7499999999999964</v>
      </c>
      <c r="H7" s="108">
        <f t="shared" si="6"/>
        <v>0.17911975435005081</v>
      </c>
      <c r="I7" s="107">
        <f t="shared" si="7"/>
        <v>0.82088024564994921</v>
      </c>
      <c r="J7" s="26">
        <v>10.423999999999999</v>
      </c>
      <c r="K7" s="28">
        <v>26.013999999999999</v>
      </c>
      <c r="L7" s="26">
        <v>15.59</v>
      </c>
      <c r="M7" s="28">
        <f t="shared" si="8"/>
        <v>12.797523029682708</v>
      </c>
      <c r="N7" s="13">
        <v>30.97</v>
      </c>
      <c r="O7" s="26">
        <f t="shared" si="0"/>
        <v>20.545999999999999</v>
      </c>
      <c r="P7" s="27">
        <f t="shared" si="1"/>
        <v>0.36039043298633477</v>
      </c>
      <c r="Q7" s="29">
        <f t="shared" si="2"/>
        <v>1.1190897506012241</v>
      </c>
      <c r="R7" s="22"/>
      <c r="S7">
        <v>24.5</v>
      </c>
      <c r="T7" s="30">
        <f t="shared" si="3"/>
        <v>2.9176988897299898</v>
      </c>
      <c r="U7">
        <v>3</v>
      </c>
      <c r="W7" s="7"/>
      <c r="X7" s="33"/>
    </row>
    <row r="8" spans="1:24" x14ac:dyDescent="0.25">
      <c r="A8" s="105" t="s">
        <v>128</v>
      </c>
      <c r="B8" s="33" t="s">
        <v>123</v>
      </c>
      <c r="C8">
        <v>52.25</v>
      </c>
      <c r="D8">
        <f t="shared" si="4"/>
        <v>5.4500000000000028</v>
      </c>
      <c r="E8" s="29">
        <v>7.08</v>
      </c>
      <c r="F8">
        <v>57.7</v>
      </c>
      <c r="G8" s="29">
        <f t="shared" si="5"/>
        <v>1.6299999999999972</v>
      </c>
      <c r="H8" s="108">
        <f t="shared" si="6"/>
        <v>0.23022598870056457</v>
      </c>
      <c r="I8" s="107">
        <f t="shared" si="7"/>
        <v>0.76977401129943546</v>
      </c>
      <c r="J8" s="26">
        <v>10.404999999999999</v>
      </c>
      <c r="K8" s="28">
        <v>26.393000000000001</v>
      </c>
      <c r="L8" s="26">
        <v>15.988</v>
      </c>
      <c r="M8" s="28">
        <f t="shared" si="8"/>
        <v>12.307146892655373</v>
      </c>
      <c r="N8" s="13">
        <v>33.267000000000003</v>
      </c>
      <c r="O8" s="26">
        <f t="shared" si="0"/>
        <v>22.862000000000002</v>
      </c>
      <c r="P8" s="27">
        <f t="shared" si="1"/>
        <v>0.34873560720454677</v>
      </c>
      <c r="Q8" s="29">
        <f t="shared" si="2"/>
        <v>1.1658780808770421</v>
      </c>
      <c r="R8" s="13"/>
      <c r="S8">
        <v>26</v>
      </c>
      <c r="T8" s="30">
        <f t="shared" si="3"/>
        <v>4.3128301028030958</v>
      </c>
      <c r="U8">
        <v>4</v>
      </c>
      <c r="W8" s="7"/>
      <c r="X8" s="33"/>
    </row>
    <row r="9" spans="1:24" x14ac:dyDescent="0.25">
      <c r="A9" s="105" t="s">
        <v>128</v>
      </c>
      <c r="B9" s="33" t="s">
        <v>124</v>
      </c>
      <c r="C9">
        <v>48.77</v>
      </c>
      <c r="D9">
        <f t="shared" si="4"/>
        <v>6.5799999999999983</v>
      </c>
      <c r="E9" s="29">
        <v>7.92</v>
      </c>
      <c r="F9">
        <v>55.35</v>
      </c>
      <c r="G9" s="29">
        <f t="shared" si="5"/>
        <v>1.3400000000000016</v>
      </c>
      <c r="H9" s="108">
        <f t="shared" si="6"/>
        <v>0.16919191919191939</v>
      </c>
      <c r="I9" s="107">
        <f t="shared" si="7"/>
        <v>0.83080808080808055</v>
      </c>
      <c r="J9" s="26">
        <v>10.359</v>
      </c>
      <c r="K9" s="28">
        <v>25.810000000000002</v>
      </c>
      <c r="L9" s="26">
        <v>15.451000000000001</v>
      </c>
      <c r="M9" s="28">
        <f t="shared" si="8"/>
        <v>12.836815656565653</v>
      </c>
      <c r="N9" s="13">
        <v>32.561</v>
      </c>
      <c r="O9" s="26">
        <f t="shared" si="0"/>
        <v>22.201999999999998</v>
      </c>
      <c r="P9" s="27">
        <f t="shared" si="1"/>
        <v>0.27913858900888322</v>
      </c>
      <c r="Q9" s="29">
        <f t="shared" si="2"/>
        <v>1.1944810214630937</v>
      </c>
      <c r="R9" s="13"/>
      <c r="S9">
        <v>24</v>
      </c>
      <c r="T9" s="30">
        <f t="shared" si="3"/>
        <v>4.6675445151142476</v>
      </c>
      <c r="U9">
        <v>5</v>
      </c>
      <c r="X9" s="33"/>
    </row>
    <row r="10" spans="1:24" x14ac:dyDescent="0.25">
      <c r="A10" s="105" t="s">
        <v>128</v>
      </c>
      <c r="B10" s="33" t="s">
        <v>125</v>
      </c>
      <c r="C10">
        <v>49.03</v>
      </c>
      <c r="D10">
        <f t="shared" si="4"/>
        <v>5.8299999999999983</v>
      </c>
      <c r="E10" s="29">
        <v>7.24</v>
      </c>
      <c r="F10">
        <v>54.86</v>
      </c>
      <c r="G10" s="29">
        <f t="shared" si="5"/>
        <v>1.4100000000000019</v>
      </c>
      <c r="H10" s="108">
        <f t="shared" si="6"/>
        <v>0.19475138121546987</v>
      </c>
      <c r="I10" s="107">
        <f t="shared" si="7"/>
        <v>0.80524861878453013</v>
      </c>
      <c r="J10" s="26">
        <v>10.426</v>
      </c>
      <c r="K10" s="28">
        <v>26.590000000000003</v>
      </c>
      <c r="L10" s="26">
        <v>16.164000000000001</v>
      </c>
      <c r="M10" s="28">
        <f t="shared" si="8"/>
        <v>13.016038674033146</v>
      </c>
      <c r="N10" s="13">
        <v>33.450000000000003</v>
      </c>
      <c r="O10" s="26">
        <f t="shared" si="0"/>
        <v>23.024000000000001</v>
      </c>
      <c r="P10" s="27">
        <f t="shared" si="1"/>
        <v>0.31454571250181523</v>
      </c>
      <c r="Q10" s="29">
        <f t="shared" si="2"/>
        <v>1.1767393881225721</v>
      </c>
      <c r="R10" s="13"/>
      <c r="S10">
        <v>25</v>
      </c>
      <c r="T10" s="30">
        <f t="shared" si="3"/>
        <v>4.4184847030643013</v>
      </c>
      <c r="U10">
        <v>6</v>
      </c>
      <c r="X10" s="33"/>
    </row>
    <row r="11" spans="1:24" x14ac:dyDescent="0.25">
      <c r="A11" s="13" t="s">
        <v>151</v>
      </c>
      <c r="B11" s="33" t="s">
        <v>120</v>
      </c>
      <c r="C11">
        <v>53.548999999999999</v>
      </c>
      <c r="D11">
        <f t="shared" si="4"/>
        <v>10.002000000000002</v>
      </c>
      <c r="E11" s="29">
        <v>10.000999999999999</v>
      </c>
      <c r="F11">
        <v>63.551000000000002</v>
      </c>
      <c r="G11" s="29">
        <f t="shared" si="5"/>
        <v>-1.0000000000029985E-3</v>
      </c>
      <c r="H11" s="108">
        <f t="shared" si="6"/>
        <v>-9.9990001000199838E-5</v>
      </c>
      <c r="I11" s="107">
        <f t="shared" si="7"/>
        <v>1.0000999900010001</v>
      </c>
      <c r="J11" s="13">
        <v>10.426</v>
      </c>
      <c r="K11" s="26">
        <v>10.445</v>
      </c>
      <c r="L11" s="13">
        <v>16.422000000000001</v>
      </c>
      <c r="M11" s="28">
        <f t="shared" si="8"/>
        <v>16.423642035796426</v>
      </c>
      <c r="N11" s="22">
        <v>36.966000000000001</v>
      </c>
      <c r="O11" s="26">
        <f t="shared" si="0"/>
        <v>26.54</v>
      </c>
      <c r="P11" s="27">
        <f t="shared" si="1"/>
        <v>-1.6231491632028432E-4</v>
      </c>
      <c r="Q11" s="29">
        <f t="shared" si="2"/>
        <v>1.36971482245272</v>
      </c>
      <c r="R11" s="13"/>
      <c r="S11" s="29">
        <v>20</v>
      </c>
      <c r="T11" s="30">
        <f t="shared" si="3"/>
        <v>7.3942964490544005</v>
      </c>
      <c r="U11">
        <v>7</v>
      </c>
      <c r="W11" s="7"/>
      <c r="X11" s="33"/>
    </row>
    <row r="12" spans="1:24" x14ac:dyDescent="0.25">
      <c r="A12" s="115" t="s">
        <v>151</v>
      </c>
      <c r="B12" s="33" t="s">
        <v>121</v>
      </c>
      <c r="C12">
        <v>52.241999999999997</v>
      </c>
      <c r="D12">
        <f t="shared" si="4"/>
        <v>10.410000000000004</v>
      </c>
      <c r="E12" s="29">
        <v>10.409000000000001</v>
      </c>
      <c r="F12">
        <v>62.652000000000001</v>
      </c>
      <c r="G12" s="29">
        <f t="shared" si="5"/>
        <v>-1.0000000000029985E-3</v>
      </c>
      <c r="H12" s="108">
        <f t="shared" si="6"/>
        <v>-9.6070708041406328E-5</v>
      </c>
      <c r="I12" s="107">
        <f t="shared" si="7"/>
        <v>1.0000960707080413</v>
      </c>
      <c r="J12" s="22">
        <v>10.396000000000001</v>
      </c>
      <c r="K12" s="26">
        <v>10.525</v>
      </c>
      <c r="L12" s="22">
        <v>14.781000000000001</v>
      </c>
      <c r="M12" s="28">
        <f>I12*L12</f>
        <v>14.782420021135559</v>
      </c>
      <c r="N12" s="22">
        <v>35.159999999999997</v>
      </c>
      <c r="O12" s="26">
        <f t="shared" si="0"/>
        <v>24.763999999999996</v>
      </c>
      <c r="P12" s="27">
        <f t="shared" si="1"/>
        <v>-1.4226416444745689E-4</v>
      </c>
      <c r="Q12" s="29">
        <f t="shared" si="2"/>
        <v>1.4052748804853676</v>
      </c>
      <c r="R12" s="22"/>
      <c r="S12" s="29">
        <v>20</v>
      </c>
      <c r="T12" s="30">
        <f t="shared" si="3"/>
        <v>8.1054976097073528</v>
      </c>
      <c r="U12">
        <v>8</v>
      </c>
      <c r="W12" s="7"/>
      <c r="X12" s="33"/>
    </row>
    <row r="13" spans="1:24" x14ac:dyDescent="0.25">
      <c r="A13" s="115" t="s">
        <v>151</v>
      </c>
      <c r="B13" s="33" t="s">
        <v>122</v>
      </c>
      <c r="C13">
        <v>49.024000000000001</v>
      </c>
      <c r="D13">
        <f t="shared" si="4"/>
        <v>10.021000000000001</v>
      </c>
      <c r="E13" s="29">
        <v>10.02</v>
      </c>
      <c r="F13">
        <v>59.045000000000002</v>
      </c>
      <c r="G13" s="29">
        <f t="shared" si="5"/>
        <v>-1.0000000000012221E-3</v>
      </c>
      <c r="H13" s="108">
        <f t="shared" si="6"/>
        <v>-9.9800399201718773E-5</v>
      </c>
      <c r="I13" s="107">
        <f t="shared" si="7"/>
        <v>1.0000998003992017</v>
      </c>
      <c r="J13" s="26">
        <v>10.423999999999999</v>
      </c>
      <c r="K13" s="26">
        <v>10.454000000000001</v>
      </c>
      <c r="L13" s="26">
        <v>15.047000000000001</v>
      </c>
      <c r="M13" s="26">
        <f>I13*L13</f>
        <v>15.048501696606788</v>
      </c>
      <c r="N13" s="22">
        <v>34.933</v>
      </c>
      <c r="O13" s="26">
        <f>N13-J13</f>
        <v>24.509</v>
      </c>
      <c r="P13" s="27">
        <f>(L13-M13)/(O13-M13)</f>
        <v>-1.5873335194711101E-4</v>
      </c>
      <c r="Q13" s="29">
        <f>(((O13-M13)*0.6)+M13)/L13</f>
        <v>1.3773377203856394</v>
      </c>
      <c r="R13" s="31"/>
      <c r="S13" s="29">
        <v>20</v>
      </c>
      <c r="T13" s="30">
        <f>S13*(Q13-1)</f>
        <v>7.5467544077127879</v>
      </c>
      <c r="U13">
        <v>9</v>
      </c>
      <c r="W13" s="7"/>
      <c r="X13" s="33"/>
    </row>
    <row r="14" spans="1:24" x14ac:dyDescent="0.25">
      <c r="A14" s="115" t="s">
        <v>151</v>
      </c>
      <c r="B14" s="33" t="s">
        <v>123</v>
      </c>
      <c r="C14">
        <v>47.802</v>
      </c>
      <c r="D14">
        <f t="shared" si="4"/>
        <v>10.386000000000003</v>
      </c>
      <c r="E14" s="29">
        <v>10.384</v>
      </c>
      <c r="F14">
        <v>58.188000000000002</v>
      </c>
      <c r="G14" s="29">
        <f t="shared" si="5"/>
        <v>-2.0000000000024443E-3</v>
      </c>
      <c r="H14" s="108">
        <f t="shared" si="6"/>
        <v>-1.9260400616356358E-4</v>
      </c>
      <c r="I14" s="107">
        <f t="shared" si="7"/>
        <v>1.0001926040061635</v>
      </c>
      <c r="J14" s="28">
        <v>10.404999999999999</v>
      </c>
      <c r="K14" s="26">
        <v>10.654999999999999</v>
      </c>
      <c r="L14" s="26">
        <v>15.047000000000001</v>
      </c>
      <c r="M14" s="26">
        <f>I14*L14</f>
        <v>15.049898112480744</v>
      </c>
      <c r="N14" s="22">
        <v>36.795000000000002</v>
      </c>
      <c r="O14" s="26">
        <f>N14-J14</f>
        <v>26.39</v>
      </c>
      <c r="P14" s="27">
        <f>(L14-M14)/(O14-M14)</f>
        <v>-2.5556317831082519E-4</v>
      </c>
      <c r="Q14" s="29">
        <f>(((O14-M14)*0.6)+M14)/L14</f>
        <v>1.4523798262106928</v>
      </c>
      <c r="R14" s="31"/>
      <c r="S14" s="29">
        <v>20</v>
      </c>
      <c r="T14" s="30">
        <f>S14*(Q14-1)</f>
        <v>9.0475965242138567</v>
      </c>
      <c r="U14">
        <v>10</v>
      </c>
      <c r="X14" s="33"/>
    </row>
    <row r="15" spans="1:24" x14ac:dyDescent="0.25">
      <c r="A15" s="115" t="s">
        <v>151</v>
      </c>
      <c r="B15" s="33" t="s">
        <v>124</v>
      </c>
      <c r="C15">
        <v>51.18</v>
      </c>
      <c r="D15">
        <f t="shared" si="4"/>
        <v>10.503999999999998</v>
      </c>
      <c r="E15" s="29">
        <v>10.503</v>
      </c>
      <c r="F15">
        <v>61.683999999999997</v>
      </c>
      <c r="G15" s="29">
        <f t="shared" si="5"/>
        <v>-9.9999999999766942E-4</v>
      </c>
      <c r="H15" s="108">
        <f t="shared" si="6"/>
        <v>-9.521089212583732E-5</v>
      </c>
      <c r="I15" s="107">
        <f t="shared" si="7"/>
        <v>1.0000952108921259</v>
      </c>
      <c r="J15" s="32">
        <v>10.359</v>
      </c>
      <c r="K15" s="26">
        <v>10.554</v>
      </c>
      <c r="L15" s="26">
        <v>15.86</v>
      </c>
      <c r="M15" s="26">
        <f>I15*L15</f>
        <v>15.861510044749117</v>
      </c>
      <c r="N15" s="22">
        <v>36.820999999999998</v>
      </c>
      <c r="O15" s="26">
        <f>N15-J15</f>
        <v>26.461999999999996</v>
      </c>
      <c r="P15" s="27">
        <f t="shared" ref="P15" si="9">(L15-M15)/(O15-M15)</f>
        <v>-1.4245046743050559E-4</v>
      </c>
      <c r="Q15" s="29">
        <f>(((O15-M15)*0.6)+M15)/L15</f>
        <v>1.4011225736380608</v>
      </c>
      <c r="R15" s="31"/>
      <c r="S15" s="29">
        <v>20</v>
      </c>
      <c r="T15" s="30">
        <f>S15*(Q15-1)</f>
        <v>8.0224514727612153</v>
      </c>
      <c r="U15">
        <v>11</v>
      </c>
      <c r="X15" s="33"/>
    </row>
    <row r="16" spans="1:24" x14ac:dyDescent="0.25">
      <c r="A16" s="115" t="s">
        <v>151</v>
      </c>
      <c r="B16" s="33" t="s">
        <v>125</v>
      </c>
      <c r="C16">
        <v>48.771999999999998</v>
      </c>
      <c r="D16">
        <f t="shared" si="4"/>
        <v>10.971000000000004</v>
      </c>
      <c r="E16" s="29">
        <v>10.97</v>
      </c>
      <c r="F16">
        <v>59.743000000000002</v>
      </c>
      <c r="G16" s="29">
        <f t="shared" si="5"/>
        <v>-1.0000000000029985E-3</v>
      </c>
      <c r="H16" s="108">
        <f t="shared" si="6"/>
        <v>-9.1157702826162118E-5</v>
      </c>
      <c r="I16" s="107">
        <f t="shared" si="7"/>
        <v>1.0000911577028262</v>
      </c>
      <c r="J16" s="32">
        <v>10.426</v>
      </c>
      <c r="K16" s="26">
        <v>10.343</v>
      </c>
      <c r="L16" s="26">
        <v>14.923999999999999</v>
      </c>
      <c r="M16" s="26">
        <f t="shared" ref="M16" si="10">I16*L16</f>
        <v>14.925360437556977</v>
      </c>
      <c r="N16" s="22">
        <v>35.161000000000001</v>
      </c>
      <c r="O16" s="26">
        <f t="shared" ref="O16" si="11">N16-J16</f>
        <v>24.734999999999999</v>
      </c>
      <c r="P16" s="27">
        <f>(L16-M16)/(O16-M16)</f>
        <v>-1.3868374554615518E-4</v>
      </c>
      <c r="Q16" s="29">
        <f t="shared" ref="Q16" si="12">(((O16-M16)*0.6)+M16)/L16</f>
        <v>1.3944749514220578</v>
      </c>
      <c r="R16" s="31"/>
      <c r="S16" s="29">
        <v>20</v>
      </c>
      <c r="T16" s="30">
        <f t="shared" ref="T16" si="13">S16*(Q16-1)</f>
        <v>7.8894990284411559</v>
      </c>
      <c r="U16">
        <v>12</v>
      </c>
      <c r="X16" s="33"/>
    </row>
    <row r="18" spans="18:22" x14ac:dyDescent="0.25">
      <c r="S18" t="s">
        <v>164</v>
      </c>
    </row>
    <row r="19" spans="18:22" x14ac:dyDescent="0.25">
      <c r="R19">
        <v>24</v>
      </c>
      <c r="S19" s="10">
        <f>R19*I5</f>
        <v>20.167076167076175</v>
      </c>
    </row>
    <row r="20" spans="18:22" x14ac:dyDescent="0.25">
      <c r="R20">
        <v>25</v>
      </c>
      <c r="S20" s="10">
        <f t="shared" ref="S20:S24" si="14">R20*I6</f>
        <v>20.414993306559577</v>
      </c>
      <c r="V20" s="10"/>
    </row>
    <row r="21" spans="18:22" x14ac:dyDescent="0.25">
      <c r="R21">
        <v>24.5</v>
      </c>
      <c r="S21" s="10">
        <f t="shared" si="14"/>
        <v>20.111566018423755</v>
      </c>
    </row>
    <row r="22" spans="18:22" x14ac:dyDescent="0.25">
      <c r="R22">
        <v>26</v>
      </c>
      <c r="S22" s="10">
        <f t="shared" si="14"/>
        <v>20.014124293785322</v>
      </c>
    </row>
    <row r="23" spans="18:22" x14ac:dyDescent="0.25">
      <c r="R23">
        <v>24</v>
      </c>
      <c r="S23" s="10">
        <f t="shared" si="14"/>
        <v>19.939393939393934</v>
      </c>
    </row>
    <row r="24" spans="18:22" x14ac:dyDescent="0.25">
      <c r="R24">
        <v>25</v>
      </c>
      <c r="S24" s="10">
        <f t="shared" si="14"/>
        <v>20.131215469613252</v>
      </c>
    </row>
  </sheetData>
  <mergeCells count="1">
    <mergeCell ref="A1:B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D24" sqref="D24"/>
    </sheetView>
  </sheetViews>
  <sheetFormatPr baseColWidth="10" defaultRowHeight="15" x14ac:dyDescent="0.25"/>
  <cols>
    <col min="2" max="2" width="12.7109375" bestFit="1" customWidth="1"/>
  </cols>
  <sheetData>
    <row r="1" spans="1:7" ht="15.75" x14ac:dyDescent="0.25">
      <c r="A1" s="92" t="s">
        <v>103</v>
      </c>
      <c r="B1" s="92"/>
    </row>
    <row r="2" spans="1:7" ht="47.25" x14ac:dyDescent="0.25">
      <c r="A2" s="93"/>
      <c r="B2" s="93" t="s">
        <v>104</v>
      </c>
      <c r="C2" s="93" t="s">
        <v>81</v>
      </c>
      <c r="D2" s="95" t="s">
        <v>105</v>
      </c>
      <c r="E2" s="95" t="s">
        <v>106</v>
      </c>
      <c r="F2" s="93"/>
      <c r="G2" s="95"/>
    </row>
    <row r="3" spans="1:7" ht="15.75" x14ac:dyDescent="0.25">
      <c r="A3" s="93"/>
      <c r="B3" s="1"/>
      <c r="C3" s="96" t="s">
        <v>107</v>
      </c>
      <c r="D3" s="1"/>
      <c r="E3" s="1"/>
      <c r="F3" s="96"/>
      <c r="G3" s="1"/>
    </row>
    <row r="4" spans="1:7" ht="15.75" x14ac:dyDescent="0.25">
      <c r="A4" s="93"/>
      <c r="B4" s="1"/>
      <c r="C4" s="96" t="s">
        <v>108</v>
      </c>
      <c r="D4" s="1"/>
      <c r="E4" s="1"/>
      <c r="F4" s="96"/>
      <c r="G4" s="1"/>
    </row>
    <row r="5" spans="1:7" ht="15.75" x14ac:dyDescent="0.25">
      <c r="A5" s="93"/>
      <c r="B5" s="1"/>
      <c r="C5" s="96" t="s">
        <v>109</v>
      </c>
      <c r="D5" s="1"/>
      <c r="E5" s="1"/>
      <c r="F5" s="96"/>
      <c r="G5" s="1"/>
    </row>
    <row r="6" spans="1:7" ht="15.75" x14ac:dyDescent="0.25">
      <c r="A6" s="93"/>
      <c r="B6" s="1"/>
      <c r="C6" s="96" t="s">
        <v>110</v>
      </c>
      <c r="D6" s="1"/>
      <c r="E6" s="1"/>
      <c r="F6" s="96"/>
      <c r="G6" s="1"/>
    </row>
    <row r="7" spans="1:7" ht="15.75" x14ac:dyDescent="0.25">
      <c r="A7" s="93"/>
      <c r="B7" s="1"/>
      <c r="C7" s="96" t="s">
        <v>111</v>
      </c>
      <c r="D7" s="1"/>
      <c r="E7" s="1"/>
      <c r="F7" s="96"/>
      <c r="G7" s="1"/>
    </row>
    <row r="8" spans="1:7" ht="15.75" x14ac:dyDescent="0.25">
      <c r="A8" s="93"/>
      <c r="B8" s="1"/>
      <c r="C8" s="96" t="s">
        <v>112</v>
      </c>
      <c r="D8" s="1"/>
      <c r="E8" s="1"/>
      <c r="F8" s="96"/>
      <c r="G8" s="1"/>
    </row>
    <row r="9" spans="1:7" ht="15.75" x14ac:dyDescent="0.25">
      <c r="A9" s="93"/>
      <c r="B9" s="1"/>
      <c r="C9" s="96" t="s">
        <v>113</v>
      </c>
      <c r="D9" s="1"/>
      <c r="E9" s="1"/>
      <c r="F9" s="96"/>
      <c r="G9" s="1"/>
    </row>
    <row r="10" spans="1:7" ht="15.75" x14ac:dyDescent="0.25">
      <c r="A10" s="93"/>
      <c r="B10" s="1"/>
      <c r="C10" s="96" t="s">
        <v>114</v>
      </c>
      <c r="D10" s="1"/>
      <c r="E10" s="1"/>
      <c r="F10" s="96"/>
      <c r="G10" s="1"/>
    </row>
    <row r="11" spans="1:7" ht="15.75" x14ac:dyDescent="0.25">
      <c r="A11" s="93"/>
      <c r="B11" s="1"/>
      <c r="C11" s="96" t="s">
        <v>115</v>
      </c>
      <c r="D11" s="1"/>
      <c r="E11" s="1"/>
      <c r="F11" s="96"/>
      <c r="G11" s="1"/>
    </row>
    <row r="12" spans="1:7" ht="15.75" x14ac:dyDescent="0.25">
      <c r="A12" s="93"/>
      <c r="B12" s="1"/>
      <c r="C12" s="96" t="s">
        <v>116</v>
      </c>
      <c r="D12" s="1"/>
      <c r="E12" s="1"/>
      <c r="F12" s="96"/>
      <c r="G12" s="1"/>
    </row>
    <row r="13" spans="1:7" ht="15.75" x14ac:dyDescent="0.25">
      <c r="A13" s="93"/>
      <c r="B13" s="1"/>
      <c r="C13" s="96">
        <v>0.2</v>
      </c>
      <c r="D13" s="1"/>
      <c r="E13" s="1"/>
      <c r="F13" s="96"/>
      <c r="G13" s="1"/>
    </row>
    <row r="14" spans="1:7" ht="15.75" x14ac:dyDescent="0.25">
      <c r="A14" s="97"/>
      <c r="B14" s="97"/>
      <c r="C14" s="96">
        <v>0.1</v>
      </c>
      <c r="D14" s="94"/>
      <c r="E14" s="97"/>
      <c r="F14" s="97"/>
      <c r="G14" s="97"/>
    </row>
    <row r="15" spans="1:7" x14ac:dyDescent="0.25">
      <c r="A15" s="99"/>
      <c r="B15" s="116"/>
      <c r="C15" s="5"/>
      <c r="D15" s="1"/>
      <c r="E15" s="98"/>
      <c r="F15" s="98"/>
      <c r="G15" s="98"/>
    </row>
    <row r="16" spans="1:7" x14ac:dyDescent="0.25">
      <c r="A16" s="99"/>
      <c r="B16" s="116" t="s">
        <v>152</v>
      </c>
      <c r="C16" s="5"/>
      <c r="D16" s="1"/>
      <c r="E16" s="98"/>
      <c r="F16" s="98"/>
      <c r="G16" s="98"/>
    </row>
    <row r="17" spans="1:7" x14ac:dyDescent="0.25">
      <c r="A17" s="99"/>
      <c r="B17" s="116" t="s">
        <v>153</v>
      </c>
      <c r="C17" s="5"/>
      <c r="D17" s="1"/>
      <c r="E17" s="98"/>
      <c r="F17" s="98"/>
      <c r="G17" s="98"/>
    </row>
    <row r="18" spans="1:7" x14ac:dyDescent="0.25">
      <c r="A18" s="99"/>
      <c r="B18" s="116" t="s">
        <v>154</v>
      </c>
      <c r="C18" s="5"/>
      <c r="D18" s="1"/>
      <c r="E18" s="98"/>
      <c r="F18" s="98"/>
      <c r="G18" s="98"/>
    </row>
    <row r="19" spans="1:7" x14ac:dyDescent="0.25">
      <c r="A19" s="99"/>
      <c r="B19" s="116" t="s">
        <v>155</v>
      </c>
      <c r="C19" s="5"/>
      <c r="D19" s="1"/>
      <c r="E19" s="98"/>
      <c r="F19" s="98"/>
      <c r="G19" s="98"/>
    </row>
    <row r="20" spans="1:7" x14ac:dyDescent="0.25">
      <c r="A20" s="99"/>
      <c r="B20" s="116" t="s">
        <v>156</v>
      </c>
      <c r="C20" s="5"/>
      <c r="D20" s="1"/>
      <c r="E20" s="98"/>
      <c r="F20" s="98"/>
      <c r="G20" s="98"/>
    </row>
    <row r="21" spans="1:7" x14ac:dyDescent="0.25">
      <c r="A21" s="99"/>
      <c r="B21" s="116" t="s">
        <v>157</v>
      </c>
      <c r="C21" s="5"/>
      <c r="D21" s="1"/>
      <c r="E21" s="98"/>
      <c r="F21" s="98"/>
      <c r="G21" s="98"/>
    </row>
    <row r="22" spans="1:7" x14ac:dyDescent="0.25">
      <c r="A22" s="99"/>
      <c r="B22" s="116" t="s">
        <v>158</v>
      </c>
      <c r="C22" s="5"/>
      <c r="D22" s="1"/>
      <c r="E22" s="98"/>
      <c r="F22" s="98"/>
      <c r="G22" s="98"/>
    </row>
    <row r="23" spans="1:7" x14ac:dyDescent="0.25">
      <c r="A23" s="99"/>
      <c r="B23" s="116" t="s">
        <v>159</v>
      </c>
      <c r="C23" s="5"/>
      <c r="D23" s="1"/>
      <c r="E23" s="98"/>
      <c r="F23" s="98"/>
      <c r="G23" s="98"/>
    </row>
    <row r="24" spans="1:7" x14ac:dyDescent="0.25">
      <c r="A24" s="99"/>
      <c r="B24" s="116" t="s">
        <v>160</v>
      </c>
      <c r="C24" s="5"/>
      <c r="D24" s="1"/>
      <c r="E24" s="98"/>
      <c r="F24" s="98"/>
      <c r="G24" s="98"/>
    </row>
    <row r="25" spans="1:7" x14ac:dyDescent="0.25">
      <c r="A25" s="99"/>
      <c r="B25" s="116" t="s">
        <v>161</v>
      </c>
      <c r="C25" s="5"/>
      <c r="D25" s="1"/>
      <c r="E25" s="98"/>
      <c r="F25" s="98"/>
      <c r="G25" s="98"/>
    </row>
    <row r="26" spans="1:7" x14ac:dyDescent="0.25">
      <c r="A26" s="99"/>
      <c r="B26" s="116" t="s">
        <v>162</v>
      </c>
      <c r="C26" s="5"/>
      <c r="D26" s="1"/>
      <c r="E26" s="98"/>
      <c r="F26" s="98"/>
      <c r="G26" s="98"/>
    </row>
    <row r="27" spans="1:7" x14ac:dyDescent="0.25">
      <c r="A27" s="97"/>
      <c r="B27" s="116" t="s">
        <v>163</v>
      </c>
      <c r="C27" s="5"/>
      <c r="D27" s="5"/>
      <c r="E27" s="98"/>
      <c r="F27" s="98"/>
      <c r="G27" s="98"/>
    </row>
    <row r="28" spans="1:7" x14ac:dyDescent="0.25">
      <c r="A28" s="97"/>
      <c r="B28" s="116"/>
      <c r="C28" s="5"/>
      <c r="D28" s="5"/>
      <c r="E28" s="98"/>
      <c r="F28" s="98"/>
      <c r="G28" s="98"/>
    </row>
    <row r="29" spans="1:7" x14ac:dyDescent="0.25">
      <c r="A29" s="97"/>
      <c r="B29" s="5"/>
      <c r="C29" s="5"/>
      <c r="D29" s="5"/>
      <c r="E29" s="98"/>
      <c r="F29" s="98"/>
      <c r="G29" s="98"/>
    </row>
    <row r="30" spans="1:7" x14ac:dyDescent="0.25">
      <c r="A30" s="97"/>
      <c r="B30" s="5"/>
      <c r="C30" s="5"/>
      <c r="D30" s="5"/>
      <c r="E30" s="98"/>
      <c r="F30" s="98"/>
      <c r="G30" s="98"/>
    </row>
    <row r="31" spans="1:7" x14ac:dyDescent="0.25">
      <c r="A31" s="97"/>
      <c r="B31" s="5"/>
      <c r="C31" s="5"/>
      <c r="D31" s="5"/>
      <c r="E31" s="98"/>
      <c r="F31" s="98"/>
      <c r="G31" s="98"/>
    </row>
    <row r="32" spans="1:7" x14ac:dyDescent="0.25">
      <c r="A32" s="97"/>
      <c r="B32" s="5"/>
      <c r="C32" s="5"/>
      <c r="D32" s="5"/>
      <c r="E32" s="98"/>
      <c r="F32" s="98"/>
      <c r="G32" s="98"/>
    </row>
    <row r="33" spans="1:7" x14ac:dyDescent="0.25">
      <c r="A33" s="97"/>
      <c r="B33" s="5"/>
      <c r="C33" s="5"/>
      <c r="D33" s="5"/>
      <c r="E33" s="98"/>
      <c r="F33" s="98"/>
      <c r="G33" s="98"/>
    </row>
    <row r="34" spans="1:7" x14ac:dyDescent="0.25">
      <c r="A34" s="97"/>
      <c r="B34" s="5"/>
      <c r="C34" s="5"/>
      <c r="D34" s="5"/>
      <c r="E34" s="97"/>
      <c r="F34" s="97"/>
      <c r="G34" s="97"/>
    </row>
    <row r="35" spans="1:7" x14ac:dyDescent="0.25">
      <c r="A35" s="97"/>
      <c r="B35" s="5"/>
      <c r="C35" s="5"/>
      <c r="D35" s="5"/>
      <c r="E35" s="97"/>
      <c r="F35" s="97"/>
      <c r="G35" s="97"/>
    </row>
    <row r="36" spans="1:7" x14ac:dyDescent="0.25">
      <c r="A36" s="97"/>
      <c r="B36" s="5"/>
      <c r="C36" s="5"/>
      <c r="D36" s="5"/>
      <c r="E36" s="97"/>
      <c r="F36" s="97"/>
      <c r="G36" s="97"/>
    </row>
    <row r="37" spans="1:7" x14ac:dyDescent="0.25">
      <c r="A37" s="97"/>
      <c r="B37" s="5"/>
      <c r="C37" s="5"/>
      <c r="D37" s="5"/>
      <c r="E37" s="97"/>
      <c r="F37" s="97"/>
      <c r="G37" s="97"/>
    </row>
    <row r="38" spans="1:7" x14ac:dyDescent="0.25">
      <c r="A38" s="97"/>
      <c r="B38" s="5"/>
      <c r="C38" s="5"/>
      <c r="D38" s="5"/>
      <c r="E38" s="97"/>
      <c r="F38" s="97"/>
      <c r="G38" s="97"/>
    </row>
    <row r="39" spans="1:7" x14ac:dyDescent="0.25">
      <c r="A39" s="97"/>
      <c r="B39" s="5"/>
      <c r="C39" s="5"/>
      <c r="D39" s="5"/>
      <c r="E39" s="97"/>
      <c r="F39" s="97"/>
      <c r="G39" s="97"/>
    </row>
    <row r="40" spans="1:7" x14ac:dyDescent="0.25">
      <c r="A40" s="97"/>
      <c r="B40" s="5"/>
      <c r="C40" s="5"/>
      <c r="D40" s="5"/>
      <c r="E40" s="97"/>
      <c r="F40" s="97"/>
      <c r="G40" s="97"/>
    </row>
    <row r="41" spans="1:7" x14ac:dyDescent="0.25">
      <c r="A41" s="97"/>
      <c r="B41" s="5"/>
      <c r="C41" s="5"/>
      <c r="D41" s="5"/>
      <c r="E41" s="97"/>
      <c r="F41" s="97"/>
      <c r="G41" s="97"/>
    </row>
    <row r="42" spans="1:7" ht="15.75" x14ac:dyDescent="0.25">
      <c r="A42" s="97"/>
      <c r="B42" s="97"/>
      <c r="C42" s="94"/>
      <c r="D42" s="94"/>
      <c r="E42" s="97"/>
      <c r="F42" s="97"/>
      <c r="G42" s="97"/>
    </row>
    <row r="43" spans="1:7" ht="15.75" x14ac:dyDescent="0.25">
      <c r="A43" s="97"/>
      <c r="B43" s="97"/>
      <c r="C43" s="94"/>
      <c r="D43" s="94"/>
      <c r="E43" s="97"/>
      <c r="F43" s="97"/>
      <c r="G43" s="97"/>
    </row>
    <row r="44" spans="1:7" ht="15.75" x14ac:dyDescent="0.25">
      <c r="A44" s="97"/>
      <c r="B44" s="97"/>
      <c r="C44" s="94"/>
      <c r="D44" s="94"/>
      <c r="E44" s="97"/>
      <c r="F44" s="97"/>
      <c r="G44" s="97"/>
    </row>
    <row r="45" spans="1:7" ht="15.75" x14ac:dyDescent="0.25">
      <c r="A45" s="97"/>
      <c r="B45" s="97"/>
      <c r="C45" s="94"/>
      <c r="D45" s="94"/>
      <c r="E45" s="97"/>
      <c r="F45" s="97"/>
      <c r="G45" s="97"/>
    </row>
    <row r="46" spans="1:7" ht="15.75" x14ac:dyDescent="0.25">
      <c r="A46" s="97"/>
      <c r="B46" s="97"/>
      <c r="C46" s="94"/>
      <c r="D46" s="94"/>
      <c r="E46" s="97"/>
      <c r="F46" s="97"/>
      <c r="G46" s="9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6" sqref="B6:B7"/>
    </sheetView>
  </sheetViews>
  <sheetFormatPr baseColWidth="10" defaultRowHeight="15" x14ac:dyDescent="0.25"/>
  <sheetData>
    <row r="1" spans="1:10" x14ac:dyDescent="0.25">
      <c r="A1" s="109" t="s">
        <v>131</v>
      </c>
      <c r="B1" s="109" t="s">
        <v>6</v>
      </c>
      <c r="C1" s="109" t="s">
        <v>143</v>
      </c>
      <c r="D1" s="109" t="s">
        <v>144</v>
      </c>
      <c r="E1" s="109" t="s">
        <v>104</v>
      </c>
      <c r="F1" s="109"/>
      <c r="G1" s="109"/>
      <c r="H1" s="109" t="s">
        <v>143</v>
      </c>
      <c r="I1" s="109" t="s">
        <v>144</v>
      </c>
      <c r="J1" s="109" t="s">
        <v>104</v>
      </c>
    </row>
    <row r="2" spans="1:10" x14ac:dyDescent="0.25">
      <c r="A2" s="110">
        <v>1</v>
      </c>
      <c r="B2" s="110" t="s">
        <v>132</v>
      </c>
      <c r="C2" s="110"/>
      <c r="D2" s="110"/>
      <c r="E2" s="110"/>
      <c r="F2" s="110">
        <v>31</v>
      </c>
      <c r="G2" s="110"/>
      <c r="H2" s="110"/>
      <c r="I2" s="110"/>
      <c r="J2" s="110"/>
    </row>
    <row r="3" spans="1:10" x14ac:dyDescent="0.25">
      <c r="A3" s="110">
        <v>2</v>
      </c>
      <c r="B3" s="110" t="s">
        <v>133</v>
      </c>
      <c r="C3" s="110"/>
      <c r="D3" s="110"/>
      <c r="E3" s="110"/>
      <c r="F3" s="110">
        <v>32</v>
      </c>
      <c r="G3" s="110"/>
      <c r="H3" s="110"/>
      <c r="I3" s="110"/>
      <c r="J3" s="110"/>
    </row>
    <row r="4" spans="1:10" x14ac:dyDescent="0.25">
      <c r="A4" s="110">
        <v>3</v>
      </c>
      <c r="B4" s="110" t="s">
        <v>134</v>
      </c>
      <c r="C4" s="110"/>
      <c r="D4" s="110"/>
      <c r="E4" s="110"/>
      <c r="F4" s="110">
        <v>33</v>
      </c>
      <c r="G4" s="110"/>
      <c r="H4" s="110"/>
      <c r="I4" s="110"/>
      <c r="J4" s="110"/>
    </row>
    <row r="5" spans="1:10" x14ac:dyDescent="0.25">
      <c r="A5" s="110">
        <v>4</v>
      </c>
      <c r="B5" s="110" t="s">
        <v>135</v>
      </c>
      <c r="C5" s="110"/>
      <c r="D5" s="110"/>
      <c r="E5" s="110"/>
      <c r="F5" s="110">
        <v>34</v>
      </c>
      <c r="G5" s="110"/>
      <c r="H5" s="110"/>
      <c r="I5" s="110"/>
      <c r="J5" s="110"/>
    </row>
    <row r="6" spans="1:10" x14ac:dyDescent="0.25">
      <c r="A6" s="110">
        <v>5</v>
      </c>
      <c r="B6" s="110" t="s">
        <v>136</v>
      </c>
      <c r="C6" s="110"/>
      <c r="D6" s="110"/>
      <c r="E6" s="110"/>
      <c r="F6" s="110">
        <v>35</v>
      </c>
      <c r="G6" s="110"/>
      <c r="H6" s="110"/>
      <c r="I6" s="110"/>
      <c r="J6" s="110"/>
    </row>
    <row r="7" spans="1:10" x14ac:dyDescent="0.25">
      <c r="A7" s="110">
        <v>6</v>
      </c>
      <c r="B7" s="110" t="s">
        <v>145</v>
      </c>
      <c r="C7" s="110"/>
      <c r="D7" s="110"/>
      <c r="E7" s="110"/>
      <c r="F7" s="110">
        <v>36</v>
      </c>
      <c r="G7" s="110"/>
      <c r="H7" s="110"/>
      <c r="I7" s="110"/>
      <c r="J7" s="110"/>
    </row>
    <row r="8" spans="1:10" x14ac:dyDescent="0.25">
      <c r="A8" s="110">
        <v>7</v>
      </c>
      <c r="B8" s="110" t="s">
        <v>137</v>
      </c>
      <c r="C8" s="110"/>
      <c r="D8" s="110"/>
      <c r="E8" s="110"/>
      <c r="F8" s="110">
        <v>37</v>
      </c>
      <c r="G8" s="110"/>
      <c r="H8" s="110"/>
      <c r="I8" s="110"/>
      <c r="J8" s="110"/>
    </row>
    <row r="9" spans="1:10" x14ac:dyDescent="0.25">
      <c r="A9" s="110">
        <v>8</v>
      </c>
      <c r="B9" s="110" t="s">
        <v>140</v>
      </c>
      <c r="C9" s="110"/>
      <c r="D9" s="110"/>
      <c r="E9" s="110"/>
      <c r="F9" s="110">
        <v>38</v>
      </c>
      <c r="G9" s="110"/>
      <c r="H9" s="110"/>
      <c r="I9" s="110"/>
      <c r="J9" s="110"/>
    </row>
    <row r="10" spans="1:10" x14ac:dyDescent="0.25">
      <c r="A10" s="110">
        <v>9</v>
      </c>
      <c r="B10" s="110" t="s">
        <v>138</v>
      </c>
      <c r="C10" s="110"/>
      <c r="D10" s="110"/>
      <c r="E10" s="110"/>
      <c r="F10" s="110">
        <v>39</v>
      </c>
      <c r="G10" s="110"/>
      <c r="H10" s="110"/>
      <c r="I10" s="110"/>
      <c r="J10" s="110"/>
    </row>
    <row r="11" spans="1:10" x14ac:dyDescent="0.25">
      <c r="A11" s="110">
        <v>10</v>
      </c>
      <c r="B11" s="110" t="s">
        <v>141</v>
      </c>
      <c r="C11" s="110"/>
      <c r="D11" s="110"/>
      <c r="E11" s="110"/>
      <c r="F11" s="110">
        <v>40</v>
      </c>
      <c r="G11" s="110"/>
      <c r="H11" s="110"/>
      <c r="I11" s="110"/>
      <c r="J11" s="110"/>
    </row>
    <row r="12" spans="1:10" x14ac:dyDescent="0.25">
      <c r="A12" s="110">
        <v>11</v>
      </c>
      <c r="B12" s="110" t="s">
        <v>139</v>
      </c>
      <c r="C12" s="110"/>
      <c r="D12" s="110"/>
      <c r="E12" s="110"/>
      <c r="F12" s="110">
        <v>41</v>
      </c>
      <c r="G12" s="110"/>
      <c r="H12" s="110"/>
      <c r="I12" s="110"/>
      <c r="J12" s="110"/>
    </row>
    <row r="13" spans="1:10" x14ac:dyDescent="0.25">
      <c r="A13" s="110">
        <v>12</v>
      </c>
      <c r="B13" s="110" t="s">
        <v>142</v>
      </c>
      <c r="C13" s="110"/>
      <c r="D13" s="110"/>
      <c r="E13" s="110"/>
      <c r="F13" s="110">
        <v>42</v>
      </c>
      <c r="G13" s="110"/>
      <c r="H13" s="110"/>
      <c r="I13" s="110"/>
      <c r="J13" s="110"/>
    </row>
    <row r="14" spans="1:10" x14ac:dyDescent="0.25">
      <c r="A14" s="110">
        <v>13</v>
      </c>
      <c r="B14" s="110" t="s">
        <v>132</v>
      </c>
      <c r="C14" s="110"/>
      <c r="D14" s="110"/>
      <c r="E14" s="110"/>
      <c r="F14" s="110">
        <v>43</v>
      </c>
      <c r="G14" s="110"/>
      <c r="H14" s="110"/>
      <c r="I14" s="110"/>
      <c r="J14" s="110"/>
    </row>
    <row r="15" spans="1:10" x14ac:dyDescent="0.25">
      <c r="A15" s="110">
        <v>14</v>
      </c>
      <c r="B15" s="110" t="s">
        <v>133</v>
      </c>
      <c r="C15" s="110"/>
      <c r="D15" s="110"/>
      <c r="E15" s="110"/>
      <c r="F15" s="110">
        <v>44</v>
      </c>
      <c r="G15" s="110"/>
      <c r="H15" s="110"/>
      <c r="I15" s="110"/>
      <c r="J15" s="110"/>
    </row>
    <row r="16" spans="1:10" x14ac:dyDescent="0.25">
      <c r="A16" s="110">
        <v>15</v>
      </c>
      <c r="B16" s="110" t="s">
        <v>134</v>
      </c>
      <c r="C16" s="110"/>
      <c r="D16" s="110"/>
      <c r="E16" s="110"/>
      <c r="F16" s="110">
        <v>45</v>
      </c>
      <c r="G16" s="110"/>
      <c r="H16" s="110"/>
      <c r="I16" s="110"/>
      <c r="J16" s="110"/>
    </row>
    <row r="17" spans="1:10" x14ac:dyDescent="0.25">
      <c r="A17" s="110">
        <v>16</v>
      </c>
      <c r="B17" s="110" t="s">
        <v>135</v>
      </c>
      <c r="C17" s="110"/>
      <c r="D17" s="110"/>
      <c r="E17" s="110"/>
      <c r="F17" s="110">
        <v>46</v>
      </c>
      <c r="G17" s="110"/>
      <c r="H17" s="110"/>
      <c r="I17" s="110"/>
      <c r="J17" s="110"/>
    </row>
    <row r="18" spans="1:10" x14ac:dyDescent="0.25">
      <c r="A18" s="110">
        <v>17</v>
      </c>
      <c r="B18" s="110" t="s">
        <v>136</v>
      </c>
      <c r="C18" s="110"/>
      <c r="D18" s="110"/>
      <c r="E18" s="110"/>
      <c r="F18" s="110">
        <v>47</v>
      </c>
      <c r="G18" s="110"/>
      <c r="H18" s="110"/>
      <c r="I18" s="110"/>
      <c r="J18" s="110"/>
    </row>
    <row r="19" spans="1:10" x14ac:dyDescent="0.25">
      <c r="A19" s="110">
        <v>18</v>
      </c>
      <c r="B19" s="110" t="s">
        <v>136</v>
      </c>
      <c r="C19" s="110"/>
      <c r="D19" s="110"/>
      <c r="E19" s="110"/>
      <c r="F19" s="110">
        <v>48</v>
      </c>
      <c r="G19" s="110"/>
      <c r="H19" s="110"/>
      <c r="I19" s="110"/>
      <c r="J19" s="110"/>
    </row>
    <row r="20" spans="1:10" x14ac:dyDescent="0.25">
      <c r="A20" s="110">
        <v>19</v>
      </c>
      <c r="B20" s="110" t="s">
        <v>137</v>
      </c>
      <c r="C20" s="110"/>
      <c r="D20" s="110"/>
      <c r="E20" s="110"/>
      <c r="F20" s="110">
        <v>49</v>
      </c>
      <c r="G20" s="110"/>
      <c r="H20" s="110"/>
      <c r="I20" s="110"/>
      <c r="J20" s="110"/>
    </row>
    <row r="21" spans="1:10" x14ac:dyDescent="0.25">
      <c r="A21" s="110">
        <v>20</v>
      </c>
      <c r="B21" s="110" t="s">
        <v>140</v>
      </c>
      <c r="C21" s="110"/>
      <c r="D21" s="110"/>
      <c r="E21" s="110"/>
      <c r="F21" s="110">
        <v>50</v>
      </c>
      <c r="G21" s="110"/>
      <c r="H21" s="110"/>
      <c r="I21" s="110"/>
      <c r="J21" s="110"/>
    </row>
    <row r="22" spans="1:10" x14ac:dyDescent="0.25">
      <c r="A22" s="110">
        <v>21</v>
      </c>
      <c r="B22" s="110" t="s">
        <v>138</v>
      </c>
      <c r="C22" s="110"/>
      <c r="D22" s="110"/>
      <c r="E22" s="110"/>
      <c r="F22" s="110">
        <v>51</v>
      </c>
      <c r="G22" s="110"/>
      <c r="H22" s="110"/>
      <c r="I22" s="110"/>
      <c r="J22" s="110"/>
    </row>
    <row r="23" spans="1:10" x14ac:dyDescent="0.25">
      <c r="A23" s="110">
        <v>22</v>
      </c>
      <c r="B23" s="110" t="s">
        <v>141</v>
      </c>
      <c r="C23" s="110"/>
      <c r="D23" s="110"/>
      <c r="E23" s="110"/>
      <c r="F23" s="110">
        <v>52</v>
      </c>
      <c r="G23" s="110"/>
      <c r="H23" s="110"/>
      <c r="I23" s="110"/>
      <c r="J23" s="110"/>
    </row>
    <row r="24" spans="1:10" x14ac:dyDescent="0.25">
      <c r="A24" s="110">
        <v>23</v>
      </c>
      <c r="B24" s="110" t="s">
        <v>139</v>
      </c>
      <c r="C24" s="110"/>
      <c r="D24" s="110"/>
      <c r="E24" s="110"/>
      <c r="F24" s="110">
        <v>53</v>
      </c>
      <c r="G24" s="110"/>
      <c r="H24" s="110"/>
      <c r="I24" s="110"/>
      <c r="J24" s="110"/>
    </row>
    <row r="25" spans="1:10" x14ac:dyDescent="0.25">
      <c r="A25" s="110">
        <v>24</v>
      </c>
      <c r="B25" s="110" t="s">
        <v>142</v>
      </c>
      <c r="C25" s="110"/>
      <c r="D25" s="110"/>
      <c r="E25" s="110"/>
      <c r="F25" s="110">
        <v>54</v>
      </c>
      <c r="G25" s="110"/>
      <c r="H25" s="110"/>
      <c r="I25" s="110"/>
      <c r="J25" s="110"/>
    </row>
    <row r="26" spans="1:10" x14ac:dyDescent="0.25">
      <c r="A26" s="110">
        <v>25</v>
      </c>
      <c r="B26" s="110"/>
      <c r="C26" s="110"/>
      <c r="D26" s="110"/>
      <c r="E26" s="110"/>
      <c r="F26" s="110">
        <v>55</v>
      </c>
      <c r="G26" s="110"/>
      <c r="H26" s="110"/>
      <c r="I26" s="110"/>
      <c r="J26" s="110"/>
    </row>
    <row r="27" spans="1:10" x14ac:dyDescent="0.25">
      <c r="A27" s="110">
        <v>26</v>
      </c>
      <c r="B27" s="110"/>
      <c r="C27" s="110"/>
      <c r="D27" s="110"/>
      <c r="E27" s="110"/>
      <c r="F27" s="110">
        <v>56</v>
      </c>
      <c r="G27" s="110"/>
      <c r="H27" s="110"/>
      <c r="I27" s="110"/>
      <c r="J27" s="110"/>
    </row>
    <row r="28" spans="1:10" x14ac:dyDescent="0.25">
      <c r="A28" s="110">
        <v>27</v>
      </c>
      <c r="B28" s="110"/>
      <c r="C28" s="110"/>
      <c r="D28" s="110"/>
      <c r="E28" s="110"/>
      <c r="F28" s="110">
        <v>57</v>
      </c>
      <c r="G28" s="110"/>
      <c r="H28" s="110"/>
      <c r="I28" s="110"/>
      <c r="J28" s="110"/>
    </row>
    <row r="29" spans="1:10" x14ac:dyDescent="0.25">
      <c r="A29" s="110">
        <v>28</v>
      </c>
      <c r="B29" s="110"/>
      <c r="C29" s="110"/>
      <c r="D29" s="110"/>
      <c r="E29" s="110"/>
      <c r="F29" s="110">
        <v>58</v>
      </c>
      <c r="G29" s="110"/>
      <c r="H29" s="110"/>
      <c r="I29" s="110"/>
      <c r="J29" s="110"/>
    </row>
    <row r="30" spans="1:10" x14ac:dyDescent="0.25">
      <c r="A30" s="110">
        <v>29</v>
      </c>
      <c r="B30" s="110"/>
      <c r="C30" s="110"/>
      <c r="D30" s="110"/>
      <c r="E30" s="110"/>
      <c r="F30" s="110">
        <v>59</v>
      </c>
      <c r="G30" s="110"/>
      <c r="H30" s="110"/>
      <c r="I30" s="110"/>
      <c r="J30" s="110"/>
    </row>
    <row r="31" spans="1:10" x14ac:dyDescent="0.25">
      <c r="A31" s="110">
        <v>30</v>
      </c>
      <c r="B31" s="110"/>
      <c r="C31" s="110"/>
      <c r="D31" s="110"/>
      <c r="E31" s="110"/>
      <c r="F31" s="110">
        <v>60</v>
      </c>
      <c r="G31" s="110"/>
      <c r="H31" s="110"/>
      <c r="I31" s="110"/>
      <c r="J31" s="110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L3" sqref="L3:L14"/>
    </sheetView>
  </sheetViews>
  <sheetFormatPr baseColWidth="10" defaultRowHeight="15" x14ac:dyDescent="0.25"/>
  <cols>
    <col min="12" max="12" width="20.85546875" bestFit="1" customWidth="1"/>
    <col min="13" max="13" width="15.140625" bestFit="1" customWidth="1"/>
  </cols>
  <sheetData>
    <row r="1" spans="1:13" x14ac:dyDescent="0.25">
      <c r="A1" s="35" t="s">
        <v>117</v>
      </c>
      <c r="B1" s="35" t="s">
        <v>51</v>
      </c>
      <c r="C1" s="36" t="s">
        <v>52</v>
      </c>
      <c r="D1" s="36" t="s">
        <v>53</v>
      </c>
      <c r="E1" s="36" t="s">
        <v>54</v>
      </c>
      <c r="F1" s="36" t="s">
        <v>55</v>
      </c>
      <c r="G1" s="37" t="s">
        <v>56</v>
      </c>
      <c r="H1" s="38" t="s">
        <v>57</v>
      </c>
      <c r="I1" s="38" t="s">
        <v>58</v>
      </c>
      <c r="J1" s="38" t="s">
        <v>59</v>
      </c>
      <c r="K1" s="39" t="s">
        <v>60</v>
      </c>
      <c r="L1" s="40" t="s">
        <v>61</v>
      </c>
      <c r="M1" s="38" t="s">
        <v>62</v>
      </c>
    </row>
    <row r="2" spans="1:13" ht="15.75" thickBot="1" x14ac:dyDescent="0.3">
      <c r="A2" s="41"/>
      <c r="B2" s="41"/>
      <c r="C2" s="41" t="s">
        <v>63</v>
      </c>
      <c r="D2" s="41" t="s">
        <v>63</v>
      </c>
      <c r="E2" s="41" t="s">
        <v>63</v>
      </c>
      <c r="F2" s="41" t="s">
        <v>64</v>
      </c>
      <c r="G2" s="42" t="s">
        <v>64</v>
      </c>
      <c r="H2" s="43" t="s">
        <v>63</v>
      </c>
      <c r="I2" s="43" t="s">
        <v>63</v>
      </c>
      <c r="J2" s="43" t="s">
        <v>64</v>
      </c>
      <c r="K2" s="44" t="s">
        <v>64</v>
      </c>
      <c r="L2" s="45"/>
    </row>
    <row r="3" spans="1:13" x14ac:dyDescent="0.25">
      <c r="A3" s="33" t="s">
        <v>152</v>
      </c>
      <c r="B3" s="33"/>
      <c r="C3">
        <v>320</v>
      </c>
      <c r="D3">
        <v>318</v>
      </c>
      <c r="E3">
        <v>984</v>
      </c>
      <c r="F3" s="47">
        <f t="shared" ref="F3:F11" si="0">K3</f>
        <v>2261.4906832298138</v>
      </c>
      <c r="G3" s="48">
        <f t="shared" ref="G3:G11" si="1">(((C3+I3)*F3)/(E3-(C3+I3)))</f>
        <v>1089.8750280625609</v>
      </c>
      <c r="H3" s="49">
        <v>322</v>
      </c>
      <c r="I3" s="49"/>
      <c r="J3" s="49">
        <v>1100</v>
      </c>
      <c r="K3" s="50">
        <f t="shared" ref="K3:K11" si="2">((J3*E3)/(H3+I3))-J3</f>
        <v>2261.4906832298138</v>
      </c>
      <c r="L3" s="51">
        <v>43784.625</v>
      </c>
      <c r="M3" s="51">
        <v>43780.666666666664</v>
      </c>
    </row>
    <row r="4" spans="1:13" x14ac:dyDescent="0.25">
      <c r="A4" s="33" t="s">
        <v>153</v>
      </c>
      <c r="B4" s="33"/>
      <c r="C4">
        <v>317</v>
      </c>
      <c r="D4">
        <v>318</v>
      </c>
      <c r="E4">
        <v>984</v>
      </c>
      <c r="F4" s="47">
        <f t="shared" si="0"/>
        <v>2261.4906832298138</v>
      </c>
      <c r="G4" s="48">
        <f t="shared" si="1"/>
        <v>1074.8014191661935</v>
      </c>
      <c r="H4" s="49">
        <v>322</v>
      </c>
      <c r="I4" s="49"/>
      <c r="J4" s="49">
        <v>1100</v>
      </c>
      <c r="K4" s="50">
        <f t="shared" si="2"/>
        <v>2261.4906832298138</v>
      </c>
      <c r="L4" s="51">
        <v>43784.625</v>
      </c>
      <c r="M4" s="51">
        <v>43780.666666666664</v>
      </c>
    </row>
    <row r="5" spans="1:13" x14ac:dyDescent="0.25">
      <c r="A5" s="33" t="s">
        <v>154</v>
      </c>
      <c r="B5" s="33"/>
      <c r="C5">
        <v>320</v>
      </c>
      <c r="D5">
        <v>318</v>
      </c>
      <c r="E5">
        <v>984</v>
      </c>
      <c r="F5" s="47">
        <f t="shared" si="0"/>
        <v>2261.4906832298138</v>
      </c>
      <c r="G5" s="48">
        <f t="shared" si="1"/>
        <v>1089.8750280625609</v>
      </c>
      <c r="H5" s="49">
        <v>322</v>
      </c>
      <c r="I5" s="49"/>
      <c r="J5" s="49">
        <v>1100</v>
      </c>
      <c r="K5" s="50">
        <f t="shared" si="2"/>
        <v>2261.4906832298138</v>
      </c>
      <c r="L5" s="51">
        <v>43784.625</v>
      </c>
      <c r="M5" s="51">
        <v>43780.666666666664</v>
      </c>
    </row>
    <row r="6" spans="1:13" x14ac:dyDescent="0.25">
      <c r="A6" s="33" t="s">
        <v>155</v>
      </c>
      <c r="B6" s="33"/>
      <c r="C6">
        <v>317</v>
      </c>
      <c r="D6">
        <v>320</v>
      </c>
      <c r="E6">
        <v>984</v>
      </c>
      <c r="F6" s="47">
        <f t="shared" si="0"/>
        <v>2261.4906832298138</v>
      </c>
      <c r="G6" s="48">
        <f t="shared" si="1"/>
        <v>1074.8014191661935</v>
      </c>
      <c r="H6" s="49">
        <v>322</v>
      </c>
      <c r="I6" s="49"/>
      <c r="J6" s="49">
        <v>1100</v>
      </c>
      <c r="K6" s="50">
        <f t="shared" si="2"/>
        <v>2261.4906832298138</v>
      </c>
      <c r="L6" s="51">
        <v>43784.625</v>
      </c>
      <c r="M6" s="51">
        <v>43780.666666666664</v>
      </c>
    </row>
    <row r="7" spans="1:13" x14ac:dyDescent="0.25">
      <c r="A7" s="33" t="s">
        <v>156</v>
      </c>
      <c r="B7" s="33"/>
      <c r="C7">
        <v>320</v>
      </c>
      <c r="D7">
        <v>321</v>
      </c>
      <c r="E7">
        <v>984</v>
      </c>
      <c r="F7" s="47">
        <f t="shared" si="0"/>
        <v>2261.4906832298138</v>
      </c>
      <c r="G7" s="48">
        <f t="shared" si="1"/>
        <v>1089.8750280625609</v>
      </c>
      <c r="H7" s="49">
        <v>322</v>
      </c>
      <c r="I7" s="49"/>
      <c r="J7" s="49">
        <v>1100</v>
      </c>
      <c r="K7" s="50">
        <f t="shared" si="2"/>
        <v>2261.4906832298138</v>
      </c>
      <c r="L7" s="51">
        <v>43784.625</v>
      </c>
      <c r="M7" s="51">
        <v>43780.666666666664</v>
      </c>
    </row>
    <row r="8" spans="1:13" x14ac:dyDescent="0.25">
      <c r="A8" s="33" t="s">
        <v>157</v>
      </c>
      <c r="B8" s="33"/>
      <c r="C8">
        <v>320</v>
      </c>
      <c r="D8">
        <v>318</v>
      </c>
      <c r="E8">
        <v>984</v>
      </c>
      <c r="F8" s="47">
        <f t="shared" si="0"/>
        <v>2261.4906832298138</v>
      </c>
      <c r="G8" s="48">
        <f t="shared" si="1"/>
        <v>1089.8750280625609</v>
      </c>
      <c r="H8" s="49">
        <v>322</v>
      </c>
      <c r="I8" s="49"/>
      <c r="J8" s="49">
        <v>1100</v>
      </c>
      <c r="K8" s="50">
        <f t="shared" si="2"/>
        <v>2261.4906832298138</v>
      </c>
      <c r="L8" s="51">
        <v>43784.625</v>
      </c>
      <c r="M8" s="51">
        <v>43780.666666666664</v>
      </c>
    </row>
    <row r="9" spans="1:13" x14ac:dyDescent="0.25">
      <c r="A9" s="33" t="s">
        <v>158</v>
      </c>
      <c r="B9" s="46"/>
      <c r="C9">
        <v>318</v>
      </c>
      <c r="D9">
        <v>318</v>
      </c>
      <c r="E9">
        <v>984</v>
      </c>
      <c r="F9" s="47">
        <f t="shared" si="0"/>
        <v>2261.4906832298138</v>
      </c>
      <c r="G9" s="48">
        <f t="shared" si="1"/>
        <v>1079.8108667673887</v>
      </c>
      <c r="H9" s="49">
        <v>322</v>
      </c>
      <c r="I9" s="49"/>
      <c r="J9" s="49">
        <v>1100</v>
      </c>
      <c r="K9" s="50">
        <f t="shared" si="2"/>
        <v>2261.4906832298138</v>
      </c>
      <c r="L9" s="51">
        <v>43784.625</v>
      </c>
      <c r="M9" s="51">
        <v>43780.666666666664</v>
      </c>
    </row>
    <row r="10" spans="1:13" x14ac:dyDescent="0.25">
      <c r="A10" s="33" t="s">
        <v>159</v>
      </c>
      <c r="B10" s="46"/>
      <c r="C10">
        <v>321</v>
      </c>
      <c r="D10">
        <v>319</v>
      </c>
      <c r="E10">
        <v>984</v>
      </c>
      <c r="F10" s="47">
        <f t="shared" si="0"/>
        <v>2261.4906832298138</v>
      </c>
      <c r="G10" s="48">
        <f t="shared" si="1"/>
        <v>1094.9298783058375</v>
      </c>
      <c r="H10" s="49">
        <v>322</v>
      </c>
      <c r="I10" s="49"/>
      <c r="J10" s="49">
        <v>1100</v>
      </c>
      <c r="K10" s="50">
        <f t="shared" si="2"/>
        <v>2261.4906832298138</v>
      </c>
      <c r="L10" s="51">
        <v>43784.625</v>
      </c>
      <c r="M10" s="51">
        <v>43780.666666666664</v>
      </c>
    </row>
    <row r="11" spans="1:13" x14ac:dyDescent="0.25">
      <c r="A11" s="33" t="s">
        <v>160</v>
      </c>
      <c r="B11" s="46"/>
      <c r="C11">
        <v>320</v>
      </c>
      <c r="D11">
        <v>311</v>
      </c>
      <c r="E11">
        <v>984</v>
      </c>
      <c r="F11" s="47">
        <f t="shared" si="0"/>
        <v>2261.4906832298138</v>
      </c>
      <c r="G11" s="48">
        <f t="shared" si="1"/>
        <v>1089.8750280625609</v>
      </c>
      <c r="H11" s="49">
        <v>322</v>
      </c>
      <c r="I11" s="49"/>
      <c r="J11" s="49">
        <v>1100</v>
      </c>
      <c r="K11" s="50">
        <f t="shared" si="2"/>
        <v>2261.4906832298138</v>
      </c>
      <c r="L11" s="51">
        <v>43784.625</v>
      </c>
      <c r="M11" s="51">
        <v>43780.666666666664</v>
      </c>
    </row>
    <row r="12" spans="1:13" x14ac:dyDescent="0.25">
      <c r="A12" s="33" t="s">
        <v>161</v>
      </c>
      <c r="C12">
        <v>317</v>
      </c>
      <c r="D12">
        <v>317</v>
      </c>
      <c r="E12">
        <v>984</v>
      </c>
      <c r="F12" s="47">
        <f t="shared" ref="F12:F14" si="3">K12</f>
        <v>2261.4906832298138</v>
      </c>
      <c r="G12" s="48">
        <f t="shared" ref="G12:G14" si="4">(((C12+I12)*F12)/(E12-(C12+I12)))</f>
        <v>1074.8014191661935</v>
      </c>
      <c r="H12" s="49">
        <v>322</v>
      </c>
      <c r="I12" s="49"/>
      <c r="J12" s="49">
        <v>1100</v>
      </c>
      <c r="K12" s="50">
        <f t="shared" ref="K12:K14" si="5">((J12*E12)/(H12+I12))-J12</f>
        <v>2261.4906832298138</v>
      </c>
      <c r="L12" s="51">
        <v>43784.625</v>
      </c>
      <c r="M12" s="51">
        <v>43780.666666666664</v>
      </c>
    </row>
    <row r="13" spans="1:13" x14ac:dyDescent="0.25">
      <c r="A13" s="33" t="s">
        <v>162</v>
      </c>
      <c r="C13">
        <v>320</v>
      </c>
      <c r="D13">
        <v>316</v>
      </c>
      <c r="E13">
        <v>984</v>
      </c>
      <c r="F13" s="47">
        <f t="shared" si="3"/>
        <v>2261.4906832298138</v>
      </c>
      <c r="G13" s="48">
        <f t="shared" si="4"/>
        <v>1089.8750280625609</v>
      </c>
      <c r="H13" s="49">
        <v>322</v>
      </c>
      <c r="I13" s="49"/>
      <c r="J13" s="49">
        <v>1100</v>
      </c>
      <c r="K13" s="50">
        <f t="shared" si="5"/>
        <v>2261.4906832298138</v>
      </c>
      <c r="L13" s="51">
        <v>43784.625</v>
      </c>
      <c r="M13" s="51">
        <v>43780.666666666664</v>
      </c>
    </row>
    <row r="14" spans="1:13" x14ac:dyDescent="0.25">
      <c r="A14" s="33" t="s">
        <v>163</v>
      </c>
      <c r="C14">
        <v>320</v>
      </c>
      <c r="D14">
        <v>319</v>
      </c>
      <c r="E14">
        <v>984</v>
      </c>
      <c r="F14" s="47">
        <f t="shared" si="3"/>
        <v>2261.4906832298138</v>
      </c>
      <c r="G14" s="48">
        <f t="shared" si="4"/>
        <v>1089.8750280625609</v>
      </c>
      <c r="H14" s="49">
        <v>322</v>
      </c>
      <c r="I14" s="49"/>
      <c r="J14" s="49">
        <v>1100</v>
      </c>
      <c r="K14" s="50">
        <f t="shared" si="5"/>
        <v>2261.4906832298138</v>
      </c>
      <c r="L14" s="51">
        <v>43784.625</v>
      </c>
      <c r="M14" s="51">
        <v>43780.666666666664</v>
      </c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  <row r="20" spans="1:1" x14ac:dyDescent="0.25">
      <c r="A20" s="33"/>
    </row>
    <row r="21" spans="1:1" x14ac:dyDescent="0.25">
      <c r="A21" s="33"/>
    </row>
    <row r="22" spans="1:1" x14ac:dyDescent="0.25">
      <c r="A22" s="33"/>
    </row>
    <row r="23" spans="1:1" x14ac:dyDescent="0.25">
      <c r="A23" s="33"/>
    </row>
    <row r="24" spans="1:1" x14ac:dyDescent="0.25">
      <c r="A24" s="33"/>
    </row>
    <row r="25" spans="1:1" x14ac:dyDescent="0.25">
      <c r="A25" s="33"/>
    </row>
    <row r="26" spans="1:1" x14ac:dyDescent="0.25">
      <c r="A26" s="33"/>
    </row>
    <row r="27" spans="1:1" x14ac:dyDescent="0.25">
      <c r="A27" s="33"/>
    </row>
    <row r="28" spans="1:1" x14ac:dyDescent="0.25">
      <c r="A28" s="33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>
      <selection activeCell="I31" sqref="I31"/>
    </sheetView>
  </sheetViews>
  <sheetFormatPr baseColWidth="10" defaultRowHeight="15" x14ac:dyDescent="0.25"/>
  <cols>
    <col min="7" max="7" width="25" bestFit="1" customWidth="1"/>
    <col min="9" max="9" width="12.7109375" bestFit="1" customWidth="1"/>
  </cols>
  <sheetData>
    <row r="1" spans="1:14" ht="24" x14ac:dyDescent="0.25">
      <c r="A1" s="130" t="s">
        <v>214</v>
      </c>
      <c r="B1" s="131" t="s">
        <v>215</v>
      </c>
      <c r="C1" s="131" t="s">
        <v>216</v>
      </c>
      <c r="D1" s="131" t="s">
        <v>217</v>
      </c>
      <c r="E1" s="132" t="s">
        <v>218</v>
      </c>
      <c r="F1" s="132" t="s">
        <v>219</v>
      </c>
      <c r="G1" s="132" t="s">
        <v>220</v>
      </c>
      <c r="H1" s="132" t="s">
        <v>221</v>
      </c>
      <c r="I1" s="133" t="s">
        <v>222</v>
      </c>
      <c r="J1" s="133" t="s">
        <v>223</v>
      </c>
      <c r="K1" s="134" t="s">
        <v>224</v>
      </c>
      <c r="L1" s="135" t="s">
        <v>225</v>
      </c>
      <c r="M1" s="135" t="s">
        <v>226</v>
      </c>
      <c r="N1" s="136" t="s">
        <v>227</v>
      </c>
    </row>
    <row r="2" spans="1:14" x14ac:dyDescent="0.25">
      <c r="A2" s="137" t="s">
        <v>228</v>
      </c>
      <c r="B2" s="121"/>
      <c r="C2" s="121"/>
      <c r="D2" s="121"/>
      <c r="E2" s="121"/>
      <c r="F2" s="121"/>
      <c r="K2" s="121" t="s">
        <v>229</v>
      </c>
    </row>
    <row r="3" spans="1:14" x14ac:dyDescent="0.25">
      <c r="A3" s="138" t="s">
        <v>230</v>
      </c>
      <c r="B3" s="139">
        <v>2996</v>
      </c>
      <c r="C3" s="139">
        <v>3562</v>
      </c>
      <c r="D3" s="139">
        <v>4258</v>
      </c>
      <c r="E3" s="139" t="s">
        <v>231</v>
      </c>
      <c r="F3" s="139">
        <v>50</v>
      </c>
      <c r="G3" s="138" t="s">
        <v>232</v>
      </c>
      <c r="H3" s="140" t="s">
        <v>6</v>
      </c>
      <c r="I3" s="141">
        <v>43789.193262731482</v>
      </c>
      <c r="J3" s="142" t="s">
        <v>233</v>
      </c>
      <c r="K3" s="143">
        <v>-24.014578115275253</v>
      </c>
      <c r="L3" s="143">
        <v>4.5163230405626109</v>
      </c>
      <c r="M3" s="144">
        <v>12972.82438242219</v>
      </c>
      <c r="N3" s="145"/>
    </row>
    <row r="4" spans="1:14" x14ac:dyDescent="0.25">
      <c r="A4" s="138" t="s">
        <v>234</v>
      </c>
      <c r="B4" s="139">
        <v>2731</v>
      </c>
      <c r="C4" s="139">
        <v>3251</v>
      </c>
      <c r="D4" s="139">
        <v>3881</v>
      </c>
      <c r="E4" s="139" t="s">
        <v>231</v>
      </c>
      <c r="F4" s="139">
        <v>50</v>
      </c>
      <c r="G4" s="138" t="s">
        <v>232</v>
      </c>
      <c r="H4" s="140" t="s">
        <v>6</v>
      </c>
      <c r="I4" s="141">
        <v>43789.199664351851</v>
      </c>
      <c r="J4" s="142" t="s">
        <v>233</v>
      </c>
      <c r="K4" s="143">
        <v>-23.974948115301775</v>
      </c>
      <c r="L4" s="143">
        <v>4.5163230405626109</v>
      </c>
      <c r="M4" s="144">
        <v>12581.68934848157</v>
      </c>
      <c r="N4" s="146">
        <f>ABS(K3-K4)</f>
        <v>3.9629999973477936E-2</v>
      </c>
    </row>
    <row r="5" spans="1:14" x14ac:dyDescent="0.25">
      <c r="A5" s="138" t="s">
        <v>235</v>
      </c>
      <c r="B5" s="139">
        <v>3356</v>
      </c>
      <c r="C5" s="139">
        <v>4013</v>
      </c>
      <c r="D5" s="139">
        <v>4772</v>
      </c>
      <c r="E5" s="139" t="s">
        <v>236</v>
      </c>
      <c r="F5" s="139">
        <v>50</v>
      </c>
      <c r="G5" s="138" t="s">
        <v>237</v>
      </c>
      <c r="H5" s="140" t="s">
        <v>6</v>
      </c>
      <c r="I5" s="141">
        <v>43789.206144675925</v>
      </c>
      <c r="J5" s="142" t="s">
        <v>233</v>
      </c>
      <c r="K5" s="143">
        <v>-24.730359659977442</v>
      </c>
      <c r="L5" s="143">
        <v>4.5163230405626109</v>
      </c>
      <c r="M5" s="144">
        <v>14505.054250722615</v>
      </c>
      <c r="N5" s="145"/>
    </row>
    <row r="6" spans="1:14" x14ac:dyDescent="0.25">
      <c r="A6" s="138" t="s">
        <v>238</v>
      </c>
      <c r="B6" s="139">
        <v>3385</v>
      </c>
      <c r="C6" s="139">
        <v>4034</v>
      </c>
      <c r="D6" s="139">
        <v>4814</v>
      </c>
      <c r="E6" s="139" t="s">
        <v>236</v>
      </c>
      <c r="F6" s="139">
        <v>50</v>
      </c>
      <c r="G6" s="138" t="s">
        <v>237</v>
      </c>
      <c r="H6" s="140" t="s">
        <v>6</v>
      </c>
      <c r="I6" s="141">
        <v>43789.212410879627</v>
      </c>
      <c r="J6" s="142" t="s">
        <v>233</v>
      </c>
      <c r="K6" s="143">
        <v>-24.659617048749663</v>
      </c>
      <c r="L6" s="143">
        <v>4.5163230405626109</v>
      </c>
      <c r="M6" s="144">
        <v>14609.21957325863</v>
      </c>
      <c r="N6" s="146">
        <f>ABS(K5-K6)</f>
        <v>7.0742611227778696E-2</v>
      </c>
    </row>
    <row r="7" spans="1:14" x14ac:dyDescent="0.25">
      <c r="A7" s="138" t="s">
        <v>239</v>
      </c>
      <c r="B7" s="139">
        <v>2435</v>
      </c>
      <c r="C7" s="139">
        <v>2890</v>
      </c>
      <c r="D7" s="139">
        <v>3463</v>
      </c>
      <c r="E7" s="139" t="s">
        <v>240</v>
      </c>
      <c r="F7" s="139">
        <v>50</v>
      </c>
      <c r="G7" s="138" t="s">
        <v>241</v>
      </c>
      <c r="H7" s="140" t="s">
        <v>6</v>
      </c>
      <c r="I7" s="141">
        <v>43789.224988425922</v>
      </c>
      <c r="J7" s="142" t="s">
        <v>233</v>
      </c>
      <c r="K7" s="143">
        <v>-23.602197862898365</v>
      </c>
      <c r="L7" s="143">
        <v>4.5163230405626109</v>
      </c>
      <c r="M7" s="144">
        <v>10555.071223155175</v>
      </c>
      <c r="N7" s="145"/>
    </row>
    <row r="8" spans="1:14" x14ac:dyDescent="0.25">
      <c r="A8" s="138" t="s">
        <v>242</v>
      </c>
      <c r="B8" s="139">
        <v>2282</v>
      </c>
      <c r="C8" s="139">
        <v>2706</v>
      </c>
      <c r="D8" s="139">
        <v>3238</v>
      </c>
      <c r="E8" s="139" t="s">
        <v>240</v>
      </c>
      <c r="F8" s="139">
        <v>50</v>
      </c>
      <c r="G8" s="138" t="s">
        <v>241</v>
      </c>
      <c r="H8" s="140" t="s">
        <v>6</v>
      </c>
      <c r="I8" s="141">
        <v>43789.2313125</v>
      </c>
      <c r="J8" s="142" t="s">
        <v>233</v>
      </c>
      <c r="K8" s="143">
        <v>-23.725497815126538</v>
      </c>
      <c r="L8" s="143">
        <v>4.5163230405626109</v>
      </c>
      <c r="M8" s="144">
        <v>10285.21961932705</v>
      </c>
      <c r="N8" s="146">
        <f>ABS(K7-K8)</f>
        <v>0.12329995222817303</v>
      </c>
    </row>
    <row r="9" spans="1:14" x14ac:dyDescent="0.25">
      <c r="A9" s="138" t="s">
        <v>243</v>
      </c>
      <c r="B9" s="139">
        <v>2751</v>
      </c>
      <c r="C9" s="139">
        <v>3283</v>
      </c>
      <c r="D9" s="139">
        <v>3911</v>
      </c>
      <c r="E9" s="139" t="s">
        <v>244</v>
      </c>
      <c r="F9" s="139">
        <v>50</v>
      </c>
      <c r="G9" s="138" t="s">
        <v>245</v>
      </c>
      <c r="H9" s="140" t="s">
        <v>6</v>
      </c>
      <c r="I9" s="141">
        <v>43789.237886574076</v>
      </c>
      <c r="J9" s="142" t="s">
        <v>233</v>
      </c>
      <c r="K9" s="143">
        <v>-24.277994227223086</v>
      </c>
      <c r="L9" s="143">
        <v>4.5163230405626109</v>
      </c>
      <c r="M9" s="144">
        <v>11869.961193518382</v>
      </c>
      <c r="N9" s="145"/>
    </row>
    <row r="10" spans="1:14" x14ac:dyDescent="0.25">
      <c r="A10" s="138" t="s">
        <v>246</v>
      </c>
      <c r="B10" s="139">
        <v>2764</v>
      </c>
      <c r="C10" s="139">
        <v>3293</v>
      </c>
      <c r="D10" s="139">
        <v>3930</v>
      </c>
      <c r="E10" s="139" t="s">
        <v>244</v>
      </c>
      <c r="F10" s="139">
        <v>50</v>
      </c>
      <c r="G10" s="138" t="s">
        <v>245</v>
      </c>
      <c r="H10" s="140" t="s">
        <v>6</v>
      </c>
      <c r="I10" s="141">
        <v>43789.244144675926</v>
      </c>
      <c r="J10" s="142" t="s">
        <v>233</v>
      </c>
      <c r="K10" s="143">
        <v>-24.361240083545969</v>
      </c>
      <c r="L10" s="143">
        <v>4.5163230405626109</v>
      </c>
      <c r="M10" s="144">
        <v>11906.393007498524</v>
      </c>
      <c r="N10" s="146">
        <f>ABS(K9-K10)</f>
        <v>8.3245856322882616E-2</v>
      </c>
    </row>
    <row r="11" spans="1:14" x14ac:dyDescent="0.25">
      <c r="A11" s="138" t="s">
        <v>247</v>
      </c>
      <c r="B11" s="139">
        <v>1836</v>
      </c>
      <c r="C11" s="139">
        <v>2170</v>
      </c>
      <c r="D11" s="139">
        <v>2606</v>
      </c>
      <c r="E11" s="139" t="s">
        <v>248</v>
      </c>
      <c r="F11" s="139">
        <v>50</v>
      </c>
      <c r="G11" s="138" t="s">
        <v>249</v>
      </c>
      <c r="H11" s="140" t="s">
        <v>6</v>
      </c>
      <c r="I11" s="141">
        <v>43789.263070601854</v>
      </c>
      <c r="J11" s="142" t="s">
        <v>233</v>
      </c>
      <c r="K11" s="143">
        <v>-25.214086254617772</v>
      </c>
      <c r="L11" s="143">
        <v>4.5163230405626109</v>
      </c>
      <c r="M11" s="144">
        <v>8028.2115150811533</v>
      </c>
      <c r="N11" s="145"/>
    </row>
    <row r="12" spans="1:14" x14ac:dyDescent="0.25">
      <c r="A12" s="138" t="s">
        <v>250</v>
      </c>
      <c r="B12" s="139">
        <v>1836</v>
      </c>
      <c r="C12" s="139">
        <v>2176</v>
      </c>
      <c r="D12" s="139">
        <v>2604</v>
      </c>
      <c r="E12" s="139" t="s">
        <v>248</v>
      </c>
      <c r="F12" s="139">
        <v>50</v>
      </c>
      <c r="G12" s="138" t="s">
        <v>249</v>
      </c>
      <c r="H12" s="140" t="s">
        <v>6</v>
      </c>
      <c r="I12" s="141">
        <v>43789.269717592593</v>
      </c>
      <c r="J12" s="142" t="s">
        <v>233</v>
      </c>
      <c r="K12" s="143">
        <v>-25.431654123693189</v>
      </c>
      <c r="L12" s="143">
        <v>4.5163230405626109</v>
      </c>
      <c r="M12" s="144">
        <v>7975.811489484031</v>
      </c>
      <c r="N12" s="146">
        <f>ABS(K11-K12)</f>
        <v>0.21756786907541681</v>
      </c>
    </row>
    <row r="13" spans="1:14" x14ac:dyDescent="0.25">
      <c r="A13" s="138" t="s">
        <v>251</v>
      </c>
      <c r="B13" s="139">
        <v>1866</v>
      </c>
      <c r="C13" s="139">
        <v>2215</v>
      </c>
      <c r="D13" s="139">
        <v>2657</v>
      </c>
      <c r="E13" s="139" t="s">
        <v>252</v>
      </c>
      <c r="F13" s="139">
        <v>50</v>
      </c>
      <c r="G13" s="138" t="s">
        <v>253</v>
      </c>
      <c r="H13" s="140" t="s">
        <v>6</v>
      </c>
      <c r="I13" s="141">
        <v>43789.275990740738</v>
      </c>
      <c r="J13" s="142" t="s">
        <v>233</v>
      </c>
      <c r="K13" s="143">
        <v>-25.500913029070905</v>
      </c>
      <c r="L13" s="143">
        <v>4.5163230405626109</v>
      </c>
      <c r="M13" s="144">
        <v>8010.7318964631704</v>
      </c>
      <c r="N13" s="145"/>
    </row>
    <row r="14" spans="1:14" x14ac:dyDescent="0.25">
      <c r="A14" s="138" t="s">
        <v>254</v>
      </c>
      <c r="B14" s="139">
        <v>1881</v>
      </c>
      <c r="C14" s="139">
        <v>2235</v>
      </c>
      <c r="D14" s="139">
        <v>2686</v>
      </c>
      <c r="E14" s="139" t="s">
        <v>252</v>
      </c>
      <c r="F14" s="139">
        <v>50</v>
      </c>
      <c r="G14" s="138" t="s">
        <v>253</v>
      </c>
      <c r="H14" s="140" t="s">
        <v>6</v>
      </c>
      <c r="I14" s="141">
        <v>43789.28224537037</v>
      </c>
      <c r="J14" s="142" t="s">
        <v>233</v>
      </c>
      <c r="K14" s="143">
        <v>-25.302164649474026</v>
      </c>
      <c r="L14" s="143">
        <v>4.5163230405626109</v>
      </c>
      <c r="M14" s="144">
        <v>8103.7734186591042</v>
      </c>
      <c r="N14" s="146">
        <f>ABS(K13-K14)</f>
        <v>0.19874837959687852</v>
      </c>
    </row>
    <row r="15" spans="1:14" x14ac:dyDescent="0.25">
      <c r="A15" s="138" t="s">
        <v>255</v>
      </c>
      <c r="B15" s="139">
        <v>4276</v>
      </c>
      <c r="C15" s="139">
        <v>5082</v>
      </c>
      <c r="D15" s="139">
        <v>6081</v>
      </c>
      <c r="E15" s="139" t="s">
        <v>256</v>
      </c>
      <c r="F15" s="139">
        <v>50</v>
      </c>
      <c r="G15" s="138" t="s">
        <v>257</v>
      </c>
      <c r="H15" s="140" t="s">
        <v>6</v>
      </c>
      <c r="I15" s="141">
        <v>43789.29483796296</v>
      </c>
      <c r="J15" s="142" t="s">
        <v>233</v>
      </c>
      <c r="K15" s="143">
        <v>-28.346631879996927</v>
      </c>
      <c r="L15" s="143">
        <v>4.5163230405626109</v>
      </c>
      <c r="M15" s="144">
        <v>18770.473281369617</v>
      </c>
      <c r="N15" s="145"/>
    </row>
    <row r="16" spans="1:14" x14ac:dyDescent="0.25">
      <c r="A16" s="138" t="s">
        <v>258</v>
      </c>
      <c r="B16" s="139">
        <v>4137</v>
      </c>
      <c r="C16" s="139">
        <v>4915</v>
      </c>
      <c r="D16" s="139">
        <v>5887</v>
      </c>
      <c r="E16" s="139" t="s">
        <v>256</v>
      </c>
      <c r="F16" s="139">
        <v>50</v>
      </c>
      <c r="G16" s="138" t="s">
        <v>257</v>
      </c>
      <c r="H16" s="140" t="s">
        <v>6</v>
      </c>
      <c r="I16" s="141">
        <v>43789.30116087963</v>
      </c>
      <c r="J16" s="142" t="s">
        <v>233</v>
      </c>
      <c r="K16" s="143">
        <v>-27.969946244566025</v>
      </c>
      <c r="L16" s="143">
        <v>4.5163230405626109</v>
      </c>
      <c r="M16" s="144">
        <v>18416.210472864819</v>
      </c>
      <c r="N16" s="147">
        <f>ABS(K15-K16)</f>
        <v>0.37668563543090272</v>
      </c>
    </row>
    <row r="17" spans="1:14" x14ac:dyDescent="0.25">
      <c r="A17" s="138" t="s">
        <v>259</v>
      </c>
      <c r="B17" s="139">
        <v>3651</v>
      </c>
      <c r="C17" s="139">
        <v>4359</v>
      </c>
      <c r="D17" s="139">
        <v>5189</v>
      </c>
      <c r="E17" s="139" t="s">
        <v>260</v>
      </c>
      <c r="F17" s="139">
        <v>50</v>
      </c>
      <c r="G17" s="138" t="s">
        <v>261</v>
      </c>
      <c r="H17" s="140" t="s">
        <v>6</v>
      </c>
      <c r="I17" s="141">
        <v>43789.307734953705</v>
      </c>
      <c r="J17" s="142" t="s">
        <v>233</v>
      </c>
      <c r="K17" s="143">
        <v>-27.737466807931892</v>
      </c>
      <c r="L17" s="143">
        <v>4.5163230405626109</v>
      </c>
      <c r="M17" s="144">
        <v>16071.552394347609</v>
      </c>
      <c r="N17" s="145"/>
    </row>
    <row r="18" spans="1:14" x14ac:dyDescent="0.25">
      <c r="A18" s="138" t="s">
        <v>262</v>
      </c>
      <c r="B18" s="139">
        <v>3736</v>
      </c>
      <c r="C18" s="139">
        <v>4456</v>
      </c>
      <c r="D18" s="139">
        <v>5312</v>
      </c>
      <c r="E18" s="139" t="s">
        <v>260</v>
      </c>
      <c r="F18" s="139">
        <v>50</v>
      </c>
      <c r="G18" s="138" t="s">
        <v>261</v>
      </c>
      <c r="H18" s="140" t="s">
        <v>6</v>
      </c>
      <c r="I18" s="141">
        <v>43789.314012731484</v>
      </c>
      <c r="J18" s="142" t="s">
        <v>233</v>
      </c>
      <c r="K18" s="143">
        <v>-27.602735872137277</v>
      </c>
      <c r="L18" s="143">
        <v>4.5163230405626109</v>
      </c>
      <c r="M18" s="144">
        <v>16301.579582719563</v>
      </c>
      <c r="N18" s="146">
        <f>ABS(K17-K18)</f>
        <v>0.13473093579461448</v>
      </c>
    </row>
    <row r="19" spans="1:14" x14ac:dyDescent="0.25">
      <c r="A19" s="138" t="s">
        <v>263</v>
      </c>
      <c r="B19" s="139">
        <v>4500</v>
      </c>
      <c r="C19" s="139">
        <v>5360</v>
      </c>
      <c r="D19" s="139">
        <v>6391</v>
      </c>
      <c r="E19" s="139" t="s">
        <v>264</v>
      </c>
      <c r="F19" s="139">
        <v>50</v>
      </c>
      <c r="G19" s="138" t="s">
        <v>265</v>
      </c>
      <c r="H19" s="140" t="s">
        <v>6</v>
      </c>
      <c r="I19" s="141">
        <v>43789.332974537036</v>
      </c>
      <c r="J19" s="142" t="s">
        <v>233</v>
      </c>
      <c r="K19" s="143">
        <v>-27.103653728648819</v>
      </c>
      <c r="L19" s="143">
        <v>4.5163230405626109</v>
      </c>
      <c r="M19" s="144">
        <v>20365.103673135858</v>
      </c>
      <c r="N19" s="145"/>
    </row>
    <row r="20" spans="1:14" x14ac:dyDescent="0.25">
      <c r="A20" s="138" t="s">
        <v>266</v>
      </c>
      <c r="B20" s="139">
        <v>4647</v>
      </c>
      <c r="C20" s="139">
        <v>5587</v>
      </c>
      <c r="D20" s="139">
        <v>6609</v>
      </c>
      <c r="E20" s="139" t="s">
        <v>264</v>
      </c>
      <c r="F20" s="139">
        <v>50</v>
      </c>
      <c r="G20" s="138" t="s">
        <v>265</v>
      </c>
      <c r="H20" s="140" t="s">
        <v>6</v>
      </c>
      <c r="I20" s="141">
        <v>43789.339537037034</v>
      </c>
      <c r="J20" s="142" t="s">
        <v>233</v>
      </c>
      <c r="K20" s="143">
        <v>-26.916163201142222</v>
      </c>
      <c r="L20" s="143">
        <v>4.5163230405626109</v>
      </c>
      <c r="M20" s="144">
        <v>20488.573826246811</v>
      </c>
      <c r="N20" s="146">
        <f>ABS(K19-K20)</f>
        <v>0.187490527506597</v>
      </c>
    </row>
    <row r="21" spans="1:14" x14ac:dyDescent="0.25">
      <c r="A21" s="138" t="s">
        <v>267</v>
      </c>
      <c r="B21" s="139">
        <v>4924</v>
      </c>
      <c r="C21" s="139">
        <v>5899</v>
      </c>
      <c r="D21" s="139">
        <v>6989</v>
      </c>
      <c r="E21" s="139" t="s">
        <v>268</v>
      </c>
      <c r="F21" s="139">
        <v>50</v>
      </c>
      <c r="G21" s="138" t="s">
        <v>269</v>
      </c>
      <c r="H21" s="140" t="s">
        <v>6</v>
      </c>
      <c r="I21" s="141">
        <v>43789.345797453701</v>
      </c>
      <c r="J21" s="142" t="s">
        <v>233</v>
      </c>
      <c r="K21" s="143">
        <v>-27.336400630619643</v>
      </c>
      <c r="L21" s="143">
        <v>4.5163230405626109</v>
      </c>
      <c r="M21" s="144">
        <v>21563.714440410175</v>
      </c>
      <c r="N21" s="145"/>
    </row>
    <row r="22" spans="1:14" x14ac:dyDescent="0.25">
      <c r="A22" s="138" t="s">
        <v>270</v>
      </c>
      <c r="B22" s="139">
        <v>4934</v>
      </c>
      <c r="C22" s="139">
        <v>5901</v>
      </c>
      <c r="D22" s="139">
        <v>7014</v>
      </c>
      <c r="E22" s="139" t="s">
        <v>268</v>
      </c>
      <c r="F22" s="139">
        <v>50</v>
      </c>
      <c r="G22" s="138" t="s">
        <v>269</v>
      </c>
      <c r="H22" s="140" t="s">
        <v>6</v>
      </c>
      <c r="I22" s="141">
        <v>43789.352074074071</v>
      </c>
      <c r="J22" s="142" t="s">
        <v>233</v>
      </c>
      <c r="K22" s="143">
        <v>-27.403662509456545</v>
      </c>
      <c r="L22" s="143">
        <v>4.5163230405626109</v>
      </c>
      <c r="M22" s="144">
        <v>21629.974140922932</v>
      </c>
      <c r="N22" s="146">
        <f>ABS(K21-K22)</f>
        <v>6.7261878836902156E-2</v>
      </c>
    </row>
    <row r="23" spans="1:14" x14ac:dyDescent="0.25">
      <c r="A23" s="138" t="s">
        <v>271</v>
      </c>
      <c r="B23" s="139">
        <v>4068</v>
      </c>
      <c r="C23" s="139">
        <v>4833</v>
      </c>
      <c r="D23" s="139">
        <v>5779</v>
      </c>
      <c r="E23" s="139" t="s">
        <v>272</v>
      </c>
      <c r="F23" s="139">
        <v>50</v>
      </c>
      <c r="G23" s="138" t="s">
        <v>273</v>
      </c>
      <c r="H23" s="140" t="s">
        <v>6</v>
      </c>
      <c r="I23" s="141">
        <v>43789.364703703701</v>
      </c>
      <c r="J23" s="142" t="s">
        <v>233</v>
      </c>
      <c r="K23" s="143">
        <v>-27.033265866241983</v>
      </c>
      <c r="L23" s="143">
        <v>4.5163230405626109</v>
      </c>
      <c r="M23" s="144">
        <v>17788.639090984565</v>
      </c>
      <c r="N23" s="145"/>
    </row>
    <row r="24" spans="1:14" x14ac:dyDescent="0.25">
      <c r="A24" s="138" t="s">
        <v>274</v>
      </c>
      <c r="B24" s="139">
        <v>3891</v>
      </c>
      <c r="C24" s="139">
        <v>4653</v>
      </c>
      <c r="D24" s="139">
        <v>5530</v>
      </c>
      <c r="E24" s="139" t="s">
        <v>272</v>
      </c>
      <c r="F24" s="139">
        <v>50</v>
      </c>
      <c r="G24" s="138" t="s">
        <v>273</v>
      </c>
      <c r="H24" s="140" t="s">
        <v>6</v>
      </c>
      <c r="I24" s="141">
        <v>43789.371281250002</v>
      </c>
      <c r="J24" s="142" t="s">
        <v>233</v>
      </c>
      <c r="K24" s="143">
        <v>-27.503767713067038</v>
      </c>
      <c r="L24" s="143">
        <v>4.5163230405626109</v>
      </c>
      <c r="M24" s="144">
        <v>17291.416646645106</v>
      </c>
      <c r="N24" s="147">
        <f>ABS(K23-K24)</f>
        <v>0.47050184682505503</v>
      </c>
    </row>
    <row r="25" spans="1:14" x14ac:dyDescent="0.25">
      <c r="A25" s="138" t="s">
        <v>275</v>
      </c>
      <c r="B25" s="139">
        <v>4022</v>
      </c>
      <c r="C25" s="139">
        <v>4807</v>
      </c>
      <c r="D25" s="139">
        <v>5721</v>
      </c>
      <c r="E25" s="139" t="s">
        <v>276</v>
      </c>
      <c r="F25" s="139">
        <v>50</v>
      </c>
      <c r="G25" s="138" t="s">
        <v>277</v>
      </c>
      <c r="H25" s="140" t="s">
        <v>6</v>
      </c>
      <c r="I25" s="141">
        <v>43789.377587962961</v>
      </c>
      <c r="J25" s="142" t="s">
        <v>233</v>
      </c>
      <c r="K25" s="143">
        <v>-27.636052828780013</v>
      </c>
      <c r="L25" s="143">
        <v>4.5163230405626109</v>
      </c>
      <c r="M25" s="144">
        <v>17424.911643745829</v>
      </c>
      <c r="N25" s="145"/>
    </row>
    <row r="26" spans="1:14" x14ac:dyDescent="0.25">
      <c r="A26" s="138" t="s">
        <v>278</v>
      </c>
      <c r="B26" s="139">
        <v>4010</v>
      </c>
      <c r="C26" s="139">
        <v>4779</v>
      </c>
      <c r="D26" s="139">
        <v>5700</v>
      </c>
      <c r="E26" s="139" t="s">
        <v>276</v>
      </c>
      <c r="F26" s="139">
        <v>50</v>
      </c>
      <c r="G26" s="138" t="s">
        <v>277</v>
      </c>
      <c r="H26" s="140" t="s">
        <v>6</v>
      </c>
      <c r="I26" s="141">
        <v>43789.383857638888</v>
      </c>
      <c r="J26" s="142" t="s">
        <v>233</v>
      </c>
      <c r="K26" s="143">
        <v>-27.510314821599664</v>
      </c>
      <c r="L26" s="143">
        <v>4.5163230405626109</v>
      </c>
      <c r="M26" s="144">
        <v>17427.987303162008</v>
      </c>
      <c r="N26" s="146">
        <f>ABS(K25-K26)</f>
        <v>0.12573800718034889</v>
      </c>
    </row>
    <row r="27" spans="1:14" x14ac:dyDescent="0.25">
      <c r="A27" s="138" t="s">
        <v>279</v>
      </c>
      <c r="B27" s="139">
        <v>1950</v>
      </c>
      <c r="C27" s="139">
        <v>2269</v>
      </c>
      <c r="D27" s="139">
        <v>2697</v>
      </c>
      <c r="E27" s="139" t="s">
        <v>280</v>
      </c>
      <c r="F27" s="139">
        <v>200</v>
      </c>
      <c r="G27" s="138" t="s">
        <v>281</v>
      </c>
      <c r="H27" s="140" t="s">
        <v>6</v>
      </c>
      <c r="I27" s="141">
        <v>43789.403140046292</v>
      </c>
      <c r="J27" s="142" t="s">
        <v>233</v>
      </c>
      <c r="K27" s="143">
        <v>-38.760653647605245</v>
      </c>
      <c r="L27" s="143">
        <v>1</v>
      </c>
      <c r="M27" s="144">
        <v>2880.5718125815124</v>
      </c>
      <c r="N27" s="145"/>
    </row>
    <row r="28" spans="1:14" x14ac:dyDescent="0.25">
      <c r="A28" s="138" t="s">
        <v>282</v>
      </c>
      <c r="B28" s="139">
        <v>2078</v>
      </c>
      <c r="C28" s="139">
        <v>2420</v>
      </c>
      <c r="D28" s="139">
        <v>2877</v>
      </c>
      <c r="E28" s="139" t="s">
        <v>280</v>
      </c>
      <c r="F28" s="139">
        <v>200</v>
      </c>
      <c r="G28" s="138" t="s">
        <v>281</v>
      </c>
      <c r="H28" s="140" t="s">
        <v>6</v>
      </c>
      <c r="I28" s="141">
        <v>43789.409517361106</v>
      </c>
      <c r="J28" s="142" t="s">
        <v>233</v>
      </c>
      <c r="K28" s="143">
        <v>-38.905997572468749</v>
      </c>
      <c r="L28" s="143">
        <v>1</v>
      </c>
      <c r="M28" s="144">
        <v>2924.7964449818978</v>
      </c>
      <c r="N28" s="146">
        <f>ABS(K27-K28)</f>
        <v>0.14534392486350356</v>
      </c>
    </row>
    <row r="29" spans="1:14" x14ac:dyDescent="0.25">
      <c r="A29" s="137" t="s">
        <v>228</v>
      </c>
      <c r="B29" s="121"/>
      <c r="C29" s="121"/>
      <c r="D29" s="121"/>
      <c r="K29" s="121" t="s">
        <v>229</v>
      </c>
    </row>
    <row r="30" spans="1:14" x14ac:dyDescent="0.25">
      <c r="A30" s="138" t="s">
        <v>283</v>
      </c>
      <c r="B30" s="139">
        <v>3212</v>
      </c>
      <c r="C30" s="139">
        <v>3824</v>
      </c>
      <c r="D30" s="139">
        <v>4561</v>
      </c>
      <c r="E30" s="139" t="s">
        <v>284</v>
      </c>
      <c r="F30" s="139">
        <v>100</v>
      </c>
      <c r="G30" s="138" t="s">
        <v>285</v>
      </c>
      <c r="H30" s="140" t="s">
        <v>6</v>
      </c>
      <c r="I30" s="141">
        <v>43795.645496527781</v>
      </c>
      <c r="J30" s="142" t="s">
        <v>233</v>
      </c>
      <c r="K30" s="143">
        <v>-23.780691531896952</v>
      </c>
      <c r="L30" s="143">
        <v>2.0792353352264179</v>
      </c>
      <c r="M30" s="144">
        <v>7438.8188555930064</v>
      </c>
      <c r="N30" s="145"/>
    </row>
    <row r="31" spans="1:14" x14ac:dyDescent="0.25">
      <c r="A31" s="138" t="s">
        <v>286</v>
      </c>
      <c r="B31" s="139">
        <v>3242</v>
      </c>
      <c r="C31" s="139">
        <v>3859</v>
      </c>
      <c r="D31" s="139">
        <v>4608</v>
      </c>
      <c r="E31" s="139" t="s">
        <v>284</v>
      </c>
      <c r="F31" s="139">
        <v>100</v>
      </c>
      <c r="G31" s="138" t="s">
        <v>285</v>
      </c>
      <c r="H31" s="140" t="s">
        <v>6</v>
      </c>
      <c r="I31" s="141">
        <v>43795.651756944448</v>
      </c>
      <c r="J31" s="142" t="s">
        <v>233</v>
      </c>
      <c r="K31" s="143">
        <v>-23.79135342985483</v>
      </c>
      <c r="L31" s="143">
        <v>2.0792353352264179</v>
      </c>
      <c r="M31" s="144">
        <v>7480.6912379237019</v>
      </c>
      <c r="N31" s="146">
        <f>ABS(K30-K31)</f>
        <v>1.0661897957877642E-2</v>
      </c>
    </row>
    <row r="32" spans="1:14" x14ac:dyDescent="0.25">
      <c r="A32" s="138" t="s">
        <v>287</v>
      </c>
      <c r="B32" s="139">
        <v>3841</v>
      </c>
      <c r="C32" s="139">
        <v>4560</v>
      </c>
      <c r="D32" s="139">
        <v>5452</v>
      </c>
      <c r="E32" s="139" t="s">
        <v>288</v>
      </c>
      <c r="F32" s="139">
        <v>100</v>
      </c>
      <c r="G32" s="138" t="s">
        <v>289</v>
      </c>
      <c r="H32" s="140" t="s">
        <v>6</v>
      </c>
      <c r="I32" s="141">
        <v>43795.658019675924</v>
      </c>
      <c r="J32" s="142" t="s">
        <v>233</v>
      </c>
      <c r="K32" s="143">
        <v>-24.673979197848734</v>
      </c>
      <c r="L32" s="143">
        <v>2.0792353352264179</v>
      </c>
      <c r="M32" s="144">
        <v>8921.094770053156</v>
      </c>
      <c r="N32" s="145"/>
    </row>
    <row r="33" spans="1:14" x14ac:dyDescent="0.25">
      <c r="A33" s="138" t="s">
        <v>290</v>
      </c>
      <c r="B33" s="139">
        <v>3843</v>
      </c>
      <c r="C33" s="139">
        <v>4563</v>
      </c>
      <c r="D33" s="139">
        <v>5464</v>
      </c>
      <c r="E33" s="139" t="s">
        <v>288</v>
      </c>
      <c r="F33" s="139">
        <v>100</v>
      </c>
      <c r="G33" s="138" t="s">
        <v>289</v>
      </c>
      <c r="H33" s="140" t="s">
        <v>6</v>
      </c>
      <c r="I33" s="141">
        <v>43795.664293981477</v>
      </c>
      <c r="J33" s="142" t="s">
        <v>233</v>
      </c>
      <c r="K33" s="143">
        <v>-24.733642718833831</v>
      </c>
      <c r="L33" s="143">
        <v>2.0792353352264179</v>
      </c>
      <c r="M33" s="144">
        <v>8955.0419147897628</v>
      </c>
      <c r="N33" s="146">
        <f>ABS(K32-K33)</f>
        <v>5.9663520985097307E-2</v>
      </c>
    </row>
    <row r="34" spans="1:14" x14ac:dyDescent="0.25">
      <c r="A34" s="138" t="s">
        <v>291</v>
      </c>
      <c r="B34" s="139">
        <v>3571</v>
      </c>
      <c r="C34" s="139">
        <v>4257</v>
      </c>
      <c r="D34" s="139">
        <v>5069</v>
      </c>
      <c r="E34" s="139" t="s">
        <v>292</v>
      </c>
      <c r="F34" s="139">
        <v>100</v>
      </c>
      <c r="G34" s="138" t="s">
        <v>293</v>
      </c>
      <c r="H34" s="140" t="s">
        <v>6</v>
      </c>
      <c r="I34" s="141">
        <v>43795.677266203704</v>
      </c>
      <c r="J34" s="142" t="s">
        <v>233</v>
      </c>
      <c r="K34" s="143">
        <v>-23.655132720476502</v>
      </c>
      <c r="L34" s="143">
        <v>2.0792353352264179</v>
      </c>
      <c r="M34" s="144">
        <v>8390.1607892380089</v>
      </c>
      <c r="N34" s="145"/>
    </row>
    <row r="35" spans="1:14" x14ac:dyDescent="0.25">
      <c r="A35" s="138" t="s">
        <v>294</v>
      </c>
      <c r="B35" s="139">
        <v>3649</v>
      </c>
      <c r="C35" s="139">
        <v>4348</v>
      </c>
      <c r="D35" s="139">
        <v>5186</v>
      </c>
      <c r="E35" s="139" t="s">
        <v>292</v>
      </c>
      <c r="F35" s="139">
        <v>100</v>
      </c>
      <c r="G35" s="138" t="s">
        <v>293</v>
      </c>
      <c r="H35" s="140" t="s">
        <v>6</v>
      </c>
      <c r="I35" s="141">
        <v>43795.683545138891</v>
      </c>
      <c r="J35" s="142" t="s">
        <v>233</v>
      </c>
      <c r="K35" s="143">
        <v>-23.695798271357351</v>
      </c>
      <c r="L35" s="143">
        <v>2.0792353352264179</v>
      </c>
      <c r="M35" s="144">
        <v>8435.1537368353383</v>
      </c>
      <c r="N35" s="146">
        <f>ABS(K34-K35)</f>
        <v>4.0665550880849111E-2</v>
      </c>
    </row>
    <row r="36" spans="1:14" x14ac:dyDescent="0.25">
      <c r="A36" s="138" t="s">
        <v>295</v>
      </c>
      <c r="B36" s="139">
        <v>4416</v>
      </c>
      <c r="C36" s="139">
        <v>5259</v>
      </c>
      <c r="D36" s="139">
        <v>6270</v>
      </c>
      <c r="E36" s="139" t="s">
        <v>296</v>
      </c>
      <c r="F36" s="139">
        <v>100</v>
      </c>
      <c r="G36" s="138" t="s">
        <v>297</v>
      </c>
      <c r="H36" s="140" t="s">
        <v>6</v>
      </c>
      <c r="I36" s="141">
        <v>43795.689793981481</v>
      </c>
      <c r="J36" s="142" t="s">
        <v>233</v>
      </c>
      <c r="K36" s="143">
        <v>-24.256433920081175</v>
      </c>
      <c r="L36" s="143">
        <v>2.0792353352264179</v>
      </c>
      <c r="M36" s="144">
        <v>10282.582611504284</v>
      </c>
      <c r="N36" s="145"/>
    </row>
    <row r="37" spans="1:14" x14ac:dyDescent="0.25">
      <c r="A37" s="138" t="s">
        <v>298</v>
      </c>
      <c r="B37" s="139">
        <v>4417</v>
      </c>
      <c r="C37" s="139">
        <v>5254</v>
      </c>
      <c r="D37" s="139">
        <v>6269</v>
      </c>
      <c r="E37" s="139" t="s">
        <v>296</v>
      </c>
      <c r="F37" s="139">
        <v>100</v>
      </c>
      <c r="G37" s="138" t="s">
        <v>297</v>
      </c>
      <c r="H37" s="140" t="s">
        <v>6</v>
      </c>
      <c r="I37" s="141">
        <v>43795.696068287034</v>
      </c>
      <c r="J37" s="142" t="s">
        <v>233</v>
      </c>
      <c r="K37" s="143">
        <v>-24.160104014640737</v>
      </c>
      <c r="L37" s="143">
        <v>2.0792353352264179</v>
      </c>
      <c r="M37" s="144">
        <v>10312.447504866599</v>
      </c>
      <c r="N37" s="146">
        <f>ABS(K36-K37)</f>
        <v>9.6329905440438068E-2</v>
      </c>
    </row>
    <row r="38" spans="1:14" x14ac:dyDescent="0.25">
      <c r="A38" s="138" t="s">
        <v>299</v>
      </c>
      <c r="B38" s="139">
        <v>2809</v>
      </c>
      <c r="C38" s="139">
        <v>3332</v>
      </c>
      <c r="D38" s="139">
        <v>3986</v>
      </c>
      <c r="E38" s="139" t="s">
        <v>300</v>
      </c>
      <c r="F38" s="139">
        <v>100</v>
      </c>
      <c r="G38" s="138" t="s">
        <v>301</v>
      </c>
      <c r="H38" s="140" t="s">
        <v>6</v>
      </c>
      <c r="I38" s="141">
        <v>43795.715385416668</v>
      </c>
      <c r="J38" s="142" t="s">
        <v>233</v>
      </c>
      <c r="K38" s="143">
        <v>-25.692168788802419</v>
      </c>
      <c r="L38" s="143">
        <v>2.0792353352264179</v>
      </c>
      <c r="M38" s="144">
        <v>6492.4151698730557</v>
      </c>
      <c r="N38" s="145"/>
    </row>
    <row r="39" spans="1:14" x14ac:dyDescent="0.25">
      <c r="A39" s="138" t="s">
        <v>302</v>
      </c>
      <c r="B39" s="139">
        <v>2835</v>
      </c>
      <c r="C39" s="139">
        <v>3358</v>
      </c>
      <c r="D39" s="139">
        <v>4024</v>
      </c>
      <c r="E39" s="139" t="s">
        <v>300</v>
      </c>
      <c r="F39" s="139">
        <v>100</v>
      </c>
      <c r="G39" s="138" t="s">
        <v>301</v>
      </c>
      <c r="H39" s="140" t="s">
        <v>6</v>
      </c>
      <c r="I39" s="141">
        <v>43795.72163310185</v>
      </c>
      <c r="J39" s="142" t="s">
        <v>233</v>
      </c>
      <c r="K39" s="143">
        <v>-25.728826210676623</v>
      </c>
      <c r="L39" s="143">
        <v>2.0792353352264179</v>
      </c>
      <c r="M39" s="144">
        <v>6556.6206635512244</v>
      </c>
      <c r="N39" s="146">
        <f>ABS(K38-K39)</f>
        <v>3.6657421874203067E-2</v>
      </c>
    </row>
    <row r="40" spans="1:14" x14ac:dyDescent="0.25">
      <c r="A40" s="138" t="s">
        <v>303</v>
      </c>
      <c r="B40" s="139">
        <v>2834</v>
      </c>
      <c r="C40" s="139">
        <v>3358</v>
      </c>
      <c r="D40" s="139">
        <v>4024</v>
      </c>
      <c r="E40" s="139" t="s">
        <v>304</v>
      </c>
      <c r="F40" s="139">
        <v>100</v>
      </c>
      <c r="G40" s="138" t="s">
        <v>305</v>
      </c>
      <c r="H40" s="140" t="s">
        <v>6</v>
      </c>
      <c r="I40" s="141">
        <v>43795.727901620368</v>
      </c>
      <c r="J40" s="142" t="s">
        <v>233</v>
      </c>
      <c r="K40" s="143">
        <v>-25.1575147843437</v>
      </c>
      <c r="L40" s="143">
        <v>2.0792353352264179</v>
      </c>
      <c r="M40" s="144">
        <v>6589.8477723528194</v>
      </c>
      <c r="N40" s="145"/>
    </row>
    <row r="41" spans="1:14" x14ac:dyDescent="0.25">
      <c r="A41" s="138" t="s">
        <v>306</v>
      </c>
      <c r="B41" s="139">
        <v>2842</v>
      </c>
      <c r="C41" s="139">
        <v>3361</v>
      </c>
      <c r="D41" s="139">
        <v>4033</v>
      </c>
      <c r="E41" s="139" t="s">
        <v>304</v>
      </c>
      <c r="F41" s="139">
        <v>100</v>
      </c>
      <c r="G41" s="138" t="s">
        <v>305</v>
      </c>
      <c r="H41" s="140" t="s">
        <v>6</v>
      </c>
      <c r="I41" s="141">
        <v>43795.734192129632</v>
      </c>
      <c r="J41" s="142" t="s">
        <v>233</v>
      </c>
      <c r="K41" s="143">
        <v>-25.277180079467428</v>
      </c>
      <c r="L41" s="143">
        <v>2.0792353352264179</v>
      </c>
      <c r="M41" s="144">
        <v>6630.757745843187</v>
      </c>
      <c r="N41" s="146">
        <f>ABS(K40-K41)</f>
        <v>0.11966529512372759</v>
      </c>
    </row>
    <row r="42" spans="1:14" x14ac:dyDescent="0.25">
      <c r="A42" s="138" t="s">
        <v>307</v>
      </c>
      <c r="B42" s="139">
        <v>2653</v>
      </c>
      <c r="C42" s="139">
        <v>3155</v>
      </c>
      <c r="D42" s="139">
        <v>3767</v>
      </c>
      <c r="E42" s="139" t="s">
        <v>308</v>
      </c>
      <c r="F42" s="139">
        <v>50</v>
      </c>
      <c r="G42" s="138" t="s">
        <v>309</v>
      </c>
      <c r="H42" s="140" t="s">
        <v>6</v>
      </c>
      <c r="I42" s="141">
        <v>43795.747120370368</v>
      </c>
      <c r="J42" s="142" t="s">
        <v>233</v>
      </c>
      <c r="K42" s="143">
        <v>-27.749337581531488</v>
      </c>
      <c r="L42" s="143">
        <v>4.5163230405626109</v>
      </c>
      <c r="M42" s="144">
        <v>11959.387108865083</v>
      </c>
      <c r="N42" s="145"/>
    </row>
    <row r="43" spans="1:14" x14ac:dyDescent="0.25">
      <c r="A43" s="138" t="s">
        <v>310</v>
      </c>
      <c r="B43" s="139">
        <v>2719</v>
      </c>
      <c r="C43" s="139">
        <v>3228</v>
      </c>
      <c r="D43" s="139">
        <v>3858</v>
      </c>
      <c r="E43" s="139" t="s">
        <v>308</v>
      </c>
      <c r="F43" s="139">
        <v>50</v>
      </c>
      <c r="G43" s="138" t="s">
        <v>309</v>
      </c>
      <c r="H43" s="140" t="s">
        <v>6</v>
      </c>
      <c r="I43" s="141">
        <v>43795.753400462963</v>
      </c>
      <c r="J43" s="142" t="s">
        <v>233</v>
      </c>
      <c r="K43" s="143">
        <v>-27.707006937207399</v>
      </c>
      <c r="L43" s="143">
        <v>4.5163230405626109</v>
      </c>
      <c r="M43" s="144">
        <v>12054.508511392176</v>
      </c>
      <c r="N43" s="146">
        <f>ABS(K42-K43)</f>
        <v>4.2330644324088951E-2</v>
      </c>
    </row>
    <row r="44" spans="1:14" x14ac:dyDescent="0.25">
      <c r="A44" s="138" t="s">
        <v>311</v>
      </c>
      <c r="B44" s="139">
        <v>2166</v>
      </c>
      <c r="C44" s="139">
        <v>2564</v>
      </c>
      <c r="D44" s="139">
        <v>3075</v>
      </c>
      <c r="E44" s="139" t="s">
        <v>312</v>
      </c>
      <c r="F44" s="139">
        <v>50</v>
      </c>
      <c r="G44" s="138" t="s">
        <v>313</v>
      </c>
      <c r="H44" s="140" t="s">
        <v>6</v>
      </c>
      <c r="I44" s="141">
        <v>43795.75964467592</v>
      </c>
      <c r="J44" s="142" t="s">
        <v>233</v>
      </c>
      <c r="K44" s="143">
        <v>-26.802703089269514</v>
      </c>
      <c r="L44" s="143">
        <v>4.5163230405626109</v>
      </c>
      <c r="M44" s="144">
        <v>9565.6605632357714</v>
      </c>
      <c r="N44" s="145"/>
    </row>
    <row r="45" spans="1:14" x14ac:dyDescent="0.25">
      <c r="A45" s="138" t="s">
        <v>314</v>
      </c>
      <c r="B45" s="139">
        <v>2171</v>
      </c>
      <c r="C45" s="139">
        <v>2568</v>
      </c>
      <c r="D45" s="139">
        <v>3083</v>
      </c>
      <c r="E45" s="139" t="s">
        <v>312</v>
      </c>
      <c r="F45" s="139">
        <v>50</v>
      </c>
      <c r="G45" s="138" t="s">
        <v>313</v>
      </c>
      <c r="H45" s="140" t="s">
        <v>6</v>
      </c>
      <c r="I45" s="141">
        <v>43795.765918981488</v>
      </c>
      <c r="J45" s="142" t="s">
        <v>233</v>
      </c>
      <c r="K45" s="143">
        <v>-26.758370992641684</v>
      </c>
      <c r="L45" s="143">
        <v>4.5163230405626109</v>
      </c>
      <c r="M45" s="144">
        <v>9661.3043441912378</v>
      </c>
      <c r="N45" s="146">
        <f>ABS(K44-K45)</f>
        <v>4.4332096627829998E-2</v>
      </c>
    </row>
    <row r="46" spans="1:14" x14ac:dyDescent="0.25">
      <c r="A46" s="138" t="s">
        <v>315</v>
      </c>
      <c r="B46" s="139">
        <v>3482</v>
      </c>
      <c r="C46" s="139">
        <v>4150</v>
      </c>
      <c r="D46" s="139">
        <v>4942</v>
      </c>
      <c r="E46" s="139" t="s">
        <v>316</v>
      </c>
      <c r="F46" s="139">
        <v>50</v>
      </c>
      <c r="G46" s="138" t="s">
        <v>317</v>
      </c>
      <c r="H46" s="140" t="s">
        <v>6</v>
      </c>
      <c r="I46" s="141">
        <v>43795.785195601849</v>
      </c>
      <c r="J46" s="142" t="s">
        <v>233</v>
      </c>
      <c r="K46" s="143">
        <v>-27.502458215686069</v>
      </c>
      <c r="L46" s="143">
        <v>4.5163230405626109</v>
      </c>
      <c r="M46" s="144">
        <v>15403.520603818944</v>
      </c>
      <c r="N46" s="145"/>
    </row>
    <row r="47" spans="1:14" x14ac:dyDescent="0.25">
      <c r="A47" s="138" t="s">
        <v>318</v>
      </c>
      <c r="B47" s="139">
        <v>3499</v>
      </c>
      <c r="C47" s="139">
        <v>4166</v>
      </c>
      <c r="D47" s="139">
        <v>4968</v>
      </c>
      <c r="E47" s="139" t="s">
        <v>316</v>
      </c>
      <c r="F47" s="139">
        <v>50</v>
      </c>
      <c r="G47" s="138" t="s">
        <v>317</v>
      </c>
      <c r="H47" s="140" t="s">
        <v>6</v>
      </c>
      <c r="I47" s="141">
        <v>43795.791446759264</v>
      </c>
      <c r="J47" s="142" t="s">
        <v>233</v>
      </c>
      <c r="K47" s="143">
        <v>-27.630112724929187</v>
      </c>
      <c r="L47" s="143">
        <v>4.5163230405626109</v>
      </c>
      <c r="M47" s="144">
        <v>15582.622485069513</v>
      </c>
      <c r="N47" s="146">
        <f>ABS(K46-K47)</f>
        <v>0.1276545092431185</v>
      </c>
    </row>
    <row r="48" spans="1:14" x14ac:dyDescent="0.25">
      <c r="A48" s="138" t="s">
        <v>319</v>
      </c>
      <c r="B48" s="139">
        <v>3077</v>
      </c>
      <c r="C48" s="139">
        <v>3648</v>
      </c>
      <c r="D48" s="139">
        <v>4367</v>
      </c>
      <c r="E48" s="139" t="s">
        <v>320</v>
      </c>
      <c r="F48" s="139">
        <v>50</v>
      </c>
      <c r="G48" s="138" t="s">
        <v>321</v>
      </c>
      <c r="H48" s="140" t="s">
        <v>6</v>
      </c>
      <c r="I48" s="141">
        <v>43795.797707175923</v>
      </c>
      <c r="J48" s="142" t="s">
        <v>233</v>
      </c>
      <c r="K48" s="143">
        <v>-27.903763540514724</v>
      </c>
      <c r="L48" s="143">
        <v>4.5163230405626109</v>
      </c>
      <c r="M48" s="144">
        <v>13672.741128202675</v>
      </c>
      <c r="N48" s="145"/>
    </row>
    <row r="49" spans="1:14" x14ac:dyDescent="0.25">
      <c r="A49" s="138" t="s">
        <v>322</v>
      </c>
      <c r="B49" s="139">
        <v>3076</v>
      </c>
      <c r="C49" s="139">
        <v>3644</v>
      </c>
      <c r="D49" s="139">
        <v>4369</v>
      </c>
      <c r="E49" s="139" t="s">
        <v>320</v>
      </c>
      <c r="F49" s="139">
        <v>50</v>
      </c>
      <c r="G49" s="138" t="s">
        <v>321</v>
      </c>
      <c r="H49" s="140" t="s">
        <v>6</v>
      </c>
      <c r="I49" s="141">
        <v>43795.803978009259</v>
      </c>
      <c r="J49" s="142" t="s">
        <v>233</v>
      </c>
      <c r="K49" s="143">
        <v>-27.886429384197008</v>
      </c>
      <c r="L49" s="143">
        <v>4.5163230405626109</v>
      </c>
      <c r="M49" s="144">
        <v>13700.578224637451</v>
      </c>
      <c r="N49" s="146">
        <f>ABS(K48-K49)</f>
        <v>1.7334156317716065E-2</v>
      </c>
    </row>
    <row r="50" spans="1:14" x14ac:dyDescent="0.25">
      <c r="A50" s="138" t="s">
        <v>323</v>
      </c>
      <c r="B50" s="139">
        <v>3082</v>
      </c>
      <c r="C50" s="139">
        <v>3672</v>
      </c>
      <c r="D50" s="139">
        <v>4375</v>
      </c>
      <c r="E50" s="139" t="s">
        <v>324</v>
      </c>
      <c r="F50" s="139">
        <v>50</v>
      </c>
      <c r="G50" s="138" t="s">
        <v>325</v>
      </c>
      <c r="H50" s="140" t="s">
        <v>6</v>
      </c>
      <c r="I50" s="141">
        <v>43795.816938657408</v>
      </c>
      <c r="J50" s="142" t="s">
        <v>233</v>
      </c>
      <c r="K50" s="143">
        <v>-27.518886352341486</v>
      </c>
      <c r="L50" s="143">
        <v>4.5163230405626109</v>
      </c>
      <c r="M50" s="144">
        <v>13804.703784677133</v>
      </c>
      <c r="N50" s="145"/>
    </row>
    <row r="51" spans="1:14" x14ac:dyDescent="0.25">
      <c r="A51" s="138" t="s">
        <v>326</v>
      </c>
      <c r="B51" s="139">
        <v>3141</v>
      </c>
      <c r="C51" s="139">
        <v>3741</v>
      </c>
      <c r="D51" s="139">
        <v>4464</v>
      </c>
      <c r="E51" s="139" t="s">
        <v>324</v>
      </c>
      <c r="F51" s="139">
        <v>50</v>
      </c>
      <c r="G51" s="138" t="s">
        <v>325</v>
      </c>
      <c r="H51" s="140" t="s">
        <v>6</v>
      </c>
      <c r="I51" s="141">
        <v>43795.823192129632</v>
      </c>
      <c r="J51" s="142" t="s">
        <v>233</v>
      </c>
      <c r="K51" s="143">
        <v>-27.500547628407865</v>
      </c>
      <c r="L51" s="143">
        <v>4.5163230405626109</v>
      </c>
      <c r="M51" s="144">
        <v>13885.224179762376</v>
      </c>
      <c r="N51" s="146">
        <f>ABS(K50-K51)</f>
        <v>1.8338723933620571E-2</v>
      </c>
    </row>
    <row r="52" spans="1:14" x14ac:dyDescent="0.25">
      <c r="A52" s="138" t="s">
        <v>327</v>
      </c>
      <c r="B52" s="139">
        <v>2955</v>
      </c>
      <c r="C52" s="139">
        <v>3505</v>
      </c>
      <c r="D52" s="139">
        <v>4193</v>
      </c>
      <c r="E52" s="139" t="s">
        <v>328</v>
      </c>
      <c r="F52" s="139">
        <v>50</v>
      </c>
      <c r="G52" s="138" t="s">
        <v>329</v>
      </c>
      <c r="H52" s="140" t="s">
        <v>6</v>
      </c>
      <c r="I52" s="141">
        <v>43795.829434027779</v>
      </c>
      <c r="J52" s="142" t="s">
        <v>233</v>
      </c>
      <c r="K52" s="143">
        <v>-27.485205704891399</v>
      </c>
      <c r="L52" s="143">
        <v>4.5163230405626109</v>
      </c>
      <c r="M52" s="144">
        <v>13094.163400052123</v>
      </c>
      <c r="N52" s="145"/>
    </row>
    <row r="53" spans="1:14" x14ac:dyDescent="0.25">
      <c r="A53" s="138" t="s">
        <v>330</v>
      </c>
      <c r="B53" s="139">
        <v>2960</v>
      </c>
      <c r="C53" s="139">
        <v>3509</v>
      </c>
      <c r="D53" s="139">
        <v>4203</v>
      </c>
      <c r="E53" s="139" t="s">
        <v>328</v>
      </c>
      <c r="F53" s="139">
        <v>50</v>
      </c>
      <c r="G53" s="138" t="s">
        <v>329</v>
      </c>
      <c r="H53" s="140" t="s">
        <v>6</v>
      </c>
      <c r="I53" s="141">
        <v>43795.835701388889</v>
      </c>
      <c r="J53" s="142" t="s">
        <v>233</v>
      </c>
      <c r="K53" s="143">
        <v>-27.493869531028007</v>
      </c>
      <c r="L53" s="143">
        <v>4.5163230405626109</v>
      </c>
      <c r="M53" s="144">
        <v>13162.685260730623</v>
      </c>
      <c r="N53" s="146">
        <f>ABS(K52-K53)</f>
        <v>8.6638261366083213E-3</v>
      </c>
    </row>
    <row r="54" spans="1:14" x14ac:dyDescent="0.25">
      <c r="A54" s="138" t="s">
        <v>331</v>
      </c>
      <c r="B54" s="139">
        <v>2059</v>
      </c>
      <c r="C54" s="139">
        <v>2396</v>
      </c>
      <c r="D54" s="139">
        <v>2845</v>
      </c>
      <c r="E54" s="139" t="s">
        <v>332</v>
      </c>
      <c r="F54" s="139">
        <v>200</v>
      </c>
      <c r="G54" s="138" t="s">
        <v>333</v>
      </c>
      <c r="H54" s="140" t="s">
        <v>6</v>
      </c>
      <c r="I54" s="141">
        <v>43795.85511921296</v>
      </c>
      <c r="J54" s="142" t="s">
        <v>233</v>
      </c>
      <c r="K54" s="143">
        <v>-38.775063800807942</v>
      </c>
      <c r="L54" s="143">
        <v>1</v>
      </c>
      <c r="M54" s="144">
        <v>2959.7360550896888</v>
      </c>
      <c r="N54" s="145"/>
    </row>
    <row r="55" spans="1:14" x14ac:dyDescent="0.25">
      <c r="A55" s="138" t="s">
        <v>334</v>
      </c>
      <c r="B55" s="139">
        <v>2066</v>
      </c>
      <c r="C55" s="139">
        <v>2404</v>
      </c>
      <c r="D55" s="139">
        <v>2855</v>
      </c>
      <c r="E55" s="139" t="s">
        <v>332</v>
      </c>
      <c r="F55" s="139">
        <v>200</v>
      </c>
      <c r="G55" s="138" t="s">
        <v>333</v>
      </c>
      <c r="H55" s="140" t="s">
        <v>6</v>
      </c>
      <c r="I55" s="141">
        <v>43795.86139351852</v>
      </c>
      <c r="J55" s="142" t="s">
        <v>233</v>
      </c>
      <c r="K55" s="143">
        <v>-38.712732462665834</v>
      </c>
      <c r="L55" s="143">
        <v>1</v>
      </c>
      <c r="M55" s="144">
        <v>2973.5220035620791</v>
      </c>
      <c r="N55" s="146">
        <f>ABS(K54-K55)</f>
        <v>6.233133814210845E-2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workbookViewId="0">
      <selection activeCell="H8" sqref="H8"/>
    </sheetView>
  </sheetViews>
  <sheetFormatPr baseColWidth="10" defaultRowHeight="15" x14ac:dyDescent="0.25"/>
  <cols>
    <col min="2" max="2" width="15.140625" bestFit="1" customWidth="1"/>
    <col min="9" max="9" width="15.140625" bestFit="1" customWidth="1"/>
    <col min="22" max="22" width="14.7109375" bestFit="1" customWidth="1"/>
  </cols>
  <sheetData>
    <row r="1" spans="1:22" x14ac:dyDescent="0.25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7.25" x14ac:dyDescent="0.25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 x14ac:dyDescent="0.25">
      <c r="A3" s="49">
        <v>5</v>
      </c>
      <c r="B3" s="57">
        <v>43781</v>
      </c>
      <c r="C3" s="58">
        <v>2992</v>
      </c>
      <c r="D3" s="47">
        <v>1679.8</v>
      </c>
      <c r="E3" s="59">
        <v>435.37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 x14ac:dyDescent="0.25">
      <c r="A4" s="49">
        <v>4.4000000000000004</v>
      </c>
      <c r="B4" s="57">
        <v>43781</v>
      </c>
      <c r="C4" s="58">
        <v>2992</v>
      </c>
      <c r="D4" s="59">
        <v>1492</v>
      </c>
      <c r="E4" s="59">
        <v>417.53</v>
      </c>
      <c r="F4" s="60">
        <f t="shared" ref="F4:F13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x14ac:dyDescent="0.25">
      <c r="A5" s="49">
        <v>4</v>
      </c>
      <c r="B5" s="57">
        <v>43781</v>
      </c>
      <c r="C5" s="58">
        <v>2992</v>
      </c>
      <c r="D5" s="47">
        <v>1358.1</v>
      </c>
      <c r="E5" s="59">
        <v>389.61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 x14ac:dyDescent="0.25">
      <c r="A6" s="49">
        <v>3.4</v>
      </c>
      <c r="B6" s="57">
        <v>43781</v>
      </c>
      <c r="C6" s="58">
        <v>2992</v>
      </c>
      <c r="D6" s="59">
        <v>1192.3</v>
      </c>
      <c r="E6" s="59">
        <v>328.86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 x14ac:dyDescent="0.25">
      <c r="A7" s="49">
        <v>3</v>
      </c>
      <c r="B7" s="57">
        <v>43781</v>
      </c>
      <c r="C7" s="58">
        <v>2992</v>
      </c>
      <c r="D7" s="47">
        <v>1046.2</v>
      </c>
      <c r="E7" s="59">
        <v>304.22000000000003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 x14ac:dyDescent="0.25">
      <c r="A8" s="49">
        <v>2.4</v>
      </c>
      <c r="B8" s="57">
        <v>43781</v>
      </c>
      <c r="C8" s="58">
        <v>2992</v>
      </c>
      <c r="D8" s="59">
        <v>872.95</v>
      </c>
      <c r="E8" s="59">
        <v>236.47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 x14ac:dyDescent="0.25">
      <c r="A9" s="49">
        <v>2</v>
      </c>
      <c r="B9" s="57">
        <v>43781</v>
      </c>
      <c r="C9" s="58">
        <v>2992</v>
      </c>
      <c r="D9" s="47">
        <v>733.07</v>
      </c>
      <c r="E9" s="59">
        <v>209.84</v>
      </c>
      <c r="F9" s="60">
        <f t="shared" si="0"/>
        <v>5.984</v>
      </c>
      <c r="G9" s="63" t="s">
        <v>75</v>
      </c>
      <c r="H9" s="63"/>
      <c r="I9" s="64">
        <f>SLOPE(F3:F15,D3:D15)</f>
        <v>8.811767910556545E-3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 x14ac:dyDescent="0.25">
      <c r="A10" s="49">
        <v>1.4</v>
      </c>
      <c r="B10" s="57">
        <v>43781</v>
      </c>
      <c r="C10" s="58">
        <v>2992</v>
      </c>
      <c r="D10" s="47">
        <v>505.08</v>
      </c>
      <c r="E10" s="59">
        <v>155.37</v>
      </c>
      <c r="F10" s="60">
        <f t="shared" si="0"/>
        <v>4.1887999999999996</v>
      </c>
      <c r="G10" s="63" t="s">
        <v>76</v>
      </c>
      <c r="H10" s="63"/>
      <c r="I10" s="64">
        <f>INTERCEPT(F3:F15,D3:D15)</f>
        <v>-0.14437328962366802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 x14ac:dyDescent="0.25">
      <c r="A11" s="49">
        <v>1</v>
      </c>
      <c r="B11" s="57">
        <v>43781</v>
      </c>
      <c r="C11" s="58">
        <v>2992</v>
      </c>
      <c r="D11" s="47">
        <v>363.13</v>
      </c>
      <c r="E11" s="59">
        <v>114.08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 x14ac:dyDescent="0.25">
      <c r="A12" s="65">
        <v>0.4</v>
      </c>
      <c r="B12" s="57">
        <v>43781</v>
      </c>
      <c r="C12" s="58">
        <v>2992</v>
      </c>
      <c r="D12" s="65">
        <v>142.86000000000001</v>
      </c>
      <c r="E12" s="65">
        <v>45.295000000000002</v>
      </c>
      <c r="F12" s="60">
        <f t="shared" si="0"/>
        <v>1.1968000000000001</v>
      </c>
      <c r="G12" s="66" t="s">
        <v>77</v>
      </c>
      <c r="H12" s="66"/>
      <c r="I12" s="67">
        <f>SLOPE(F3:F15,E3:E15)</f>
        <v>3.2461424019603238E-2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 x14ac:dyDescent="0.25">
      <c r="A13" s="65">
        <v>0.2</v>
      </c>
      <c r="B13" s="57">
        <v>43781</v>
      </c>
      <c r="C13" s="58">
        <v>2992</v>
      </c>
      <c r="D13" s="65">
        <v>66.721999999999994</v>
      </c>
      <c r="E13" s="65">
        <v>22.084</v>
      </c>
      <c r="F13" s="60">
        <f t="shared" si="0"/>
        <v>0.59840000000000004</v>
      </c>
      <c r="G13" s="68" t="s">
        <v>78</v>
      </c>
      <c r="H13" s="68"/>
      <c r="I13" s="67">
        <f>INTERCEPT(F3:F15,E3:E15)</f>
        <v>-0.38435152330033606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 x14ac:dyDescent="0.25">
      <c r="A14" s="65">
        <v>0.1</v>
      </c>
      <c r="B14" s="57">
        <v>43781</v>
      </c>
      <c r="C14" s="58">
        <v>2992</v>
      </c>
      <c r="D14" s="65">
        <v>30.385999999999999</v>
      </c>
      <c r="E14" s="65">
        <v>11.461</v>
      </c>
      <c r="F14" s="60">
        <f t="shared" ref="F14" si="1">A14/1000*C14</f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x14ac:dyDescent="0.25">
      <c r="A15" s="65">
        <v>0</v>
      </c>
      <c r="B15" s="57">
        <v>43781</v>
      </c>
      <c r="C15" s="58">
        <v>2992</v>
      </c>
      <c r="D15" s="65">
        <v>0</v>
      </c>
      <c r="E15" s="65">
        <v>0</v>
      </c>
      <c r="F15" s="60">
        <f t="shared" ref="F15" si="2">A15/1000*C15</f>
        <v>0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22" ht="18" x14ac:dyDescent="0.35">
      <c r="A16" s="69" t="s">
        <v>79</v>
      </c>
      <c r="B16" s="69" t="s">
        <v>80</v>
      </c>
      <c r="C16" s="69" t="s">
        <v>81</v>
      </c>
      <c r="D16" s="69" t="s">
        <v>67</v>
      </c>
      <c r="E16" s="69" t="s">
        <v>68</v>
      </c>
      <c r="F16" s="70" t="s">
        <v>82</v>
      </c>
      <c r="G16" s="70" t="s">
        <v>83</v>
      </c>
      <c r="H16" s="72" t="s">
        <v>104</v>
      </c>
      <c r="I16" s="72" t="s">
        <v>84</v>
      </c>
      <c r="J16" s="69" t="s">
        <v>85</v>
      </c>
      <c r="K16" s="69" t="s">
        <v>85</v>
      </c>
      <c r="L16" s="69" t="s">
        <v>86</v>
      </c>
      <c r="M16" s="69" t="s">
        <v>87</v>
      </c>
      <c r="N16" s="69" t="s">
        <v>88</v>
      </c>
      <c r="O16" s="69" t="s">
        <v>89</v>
      </c>
      <c r="P16" s="73" t="s">
        <v>90</v>
      </c>
      <c r="Q16" s="73" t="s">
        <v>91</v>
      </c>
      <c r="R16" s="73" t="s">
        <v>91</v>
      </c>
      <c r="S16" s="73" t="s">
        <v>91</v>
      </c>
      <c r="T16" s="73" t="s">
        <v>92</v>
      </c>
      <c r="U16" s="69" t="s">
        <v>93</v>
      </c>
      <c r="V16" s="69" t="s">
        <v>119</v>
      </c>
    </row>
    <row r="17" spans="1:22" ht="18.75" thickBot="1" x14ac:dyDescent="0.4">
      <c r="A17" s="74" t="s">
        <v>94</v>
      </c>
      <c r="B17" s="74" t="s">
        <v>95</v>
      </c>
      <c r="C17" s="74" t="s">
        <v>70</v>
      </c>
      <c r="D17" s="56" t="s">
        <v>73</v>
      </c>
      <c r="E17" s="56" t="s">
        <v>73</v>
      </c>
      <c r="F17" s="75" t="s">
        <v>96</v>
      </c>
      <c r="G17" s="75" t="s">
        <v>97</v>
      </c>
      <c r="H17" s="75"/>
      <c r="I17" s="76" t="s">
        <v>98</v>
      </c>
      <c r="J17" s="74" t="s">
        <v>99</v>
      </c>
      <c r="K17" s="74" t="s">
        <v>98</v>
      </c>
      <c r="L17" s="74" t="s">
        <v>70</v>
      </c>
      <c r="M17" s="74" t="s">
        <v>70</v>
      </c>
      <c r="N17" s="74" t="s">
        <v>100</v>
      </c>
      <c r="O17" s="74" t="s">
        <v>100</v>
      </c>
      <c r="P17" s="74" t="s">
        <v>100</v>
      </c>
      <c r="Q17" s="74" t="s">
        <v>101</v>
      </c>
      <c r="R17" s="74" t="s">
        <v>100</v>
      </c>
      <c r="S17" s="74" t="s">
        <v>102</v>
      </c>
      <c r="V17" s="104" t="s">
        <v>118</v>
      </c>
    </row>
    <row r="18" spans="1:22" x14ac:dyDescent="0.25">
      <c r="A18" s="33" t="s">
        <v>152</v>
      </c>
      <c r="B18" s="77">
        <f t="shared" ref="B18:B29" si="3">B3+H18</f>
        <v>43781.625</v>
      </c>
      <c r="C18" s="49">
        <v>4</v>
      </c>
      <c r="D18" s="78">
        <v>1155.9000000000001</v>
      </c>
      <c r="E18" s="79">
        <v>299.27</v>
      </c>
      <c r="F18" s="80">
        <f>((I$9*D18)+I$10)/C18/1000</f>
        <v>2.5102873095471613E-3</v>
      </c>
      <c r="G18" s="80">
        <f>((I$12*E18)+I$13)/C18/1000</f>
        <v>2.3325947107615814E-3</v>
      </c>
      <c r="H18" s="111">
        <v>0.625</v>
      </c>
      <c r="I18" s="81">
        <f>jar_information!M3</f>
        <v>43780.666666666664</v>
      </c>
      <c r="J18" s="82">
        <f t="shared" ref="J18:J29" si="4">B18-I18</f>
        <v>0.95833333333575865</v>
      </c>
      <c r="K18" s="82">
        <f>J18*24</f>
        <v>23.000000000058208</v>
      </c>
      <c r="L18" s="83">
        <f>jar_information!G3</f>
        <v>1089.8750280625609</v>
      </c>
      <c r="M18" s="82">
        <f>F18*L18</f>
        <v>2.735899451937803</v>
      </c>
      <c r="N18" s="82">
        <f>M18*1.83</f>
        <v>5.0066959970461795</v>
      </c>
      <c r="O18" s="84">
        <f t="shared" ref="O18:O29" si="5">N18*(12/(12+(16*2)))</f>
        <v>1.3654625446489579</v>
      </c>
      <c r="P18" s="85">
        <f>O18*(400/(400+L18))</f>
        <v>0.36659787403098115</v>
      </c>
      <c r="Q18" s="86"/>
      <c r="R18" s="86">
        <f>Q18/314.7</f>
        <v>0</v>
      </c>
      <c r="S18" s="86">
        <f>R18/P18*100</f>
        <v>0</v>
      </c>
      <c r="T18" s="87">
        <f>F18*1000000</f>
        <v>2510.2873095471614</v>
      </c>
      <c r="U18" s="10">
        <f>M18/L18*100</f>
        <v>0.25102873095471612</v>
      </c>
      <c r="V18" s="103">
        <f>O18/K18</f>
        <v>5.9367936723717485E-2</v>
      </c>
    </row>
    <row r="19" spans="1:22" x14ac:dyDescent="0.25">
      <c r="A19" s="33" t="s">
        <v>153</v>
      </c>
      <c r="B19" s="77">
        <f t="shared" si="3"/>
        <v>43781.625</v>
      </c>
      <c r="C19" s="49">
        <v>4</v>
      </c>
      <c r="D19" s="88">
        <v>1210.0999999999999</v>
      </c>
      <c r="E19" s="89">
        <v>338.11</v>
      </c>
      <c r="F19" s="80">
        <f t="shared" ref="F19:F29" si="6">((I$9*D19)+I$10)/C19/1000</f>
        <v>2.6296867647352018E-3</v>
      </c>
      <c r="G19" s="80">
        <f t="shared" ref="G19:G29" si="7">((I$12*E19)+I$13)/C19/1000</f>
        <v>2.6477951379919283E-3</v>
      </c>
      <c r="H19" s="111">
        <v>0.625</v>
      </c>
      <c r="I19" s="81">
        <f>jar_information!M4</f>
        <v>43780.666666666664</v>
      </c>
      <c r="J19" s="82">
        <f t="shared" si="4"/>
        <v>0.95833333333575865</v>
      </c>
      <c r="K19" s="82">
        <f t="shared" ref="K19:K29" si="8">J19*24</f>
        <v>23.000000000058208</v>
      </c>
      <c r="L19" s="83">
        <f>jar_information!G4</f>
        <v>1074.8014191661935</v>
      </c>
      <c r="M19" s="82">
        <f t="shared" ref="M19:M29" si="9">F19*L19</f>
        <v>2.826391066699951</v>
      </c>
      <c r="N19" s="82">
        <f t="shared" ref="N19:N29" si="10">M19*1.83</f>
        <v>5.1722956520609102</v>
      </c>
      <c r="O19" s="84">
        <f t="shared" si="5"/>
        <v>1.4106260869257028</v>
      </c>
      <c r="P19" s="85">
        <f t="shared" ref="P19:P29" si="11">O19*(400/(400+L19))</f>
        <v>0.38259417670569551</v>
      </c>
      <c r="Q19" s="86"/>
      <c r="R19" s="86">
        <f t="shared" ref="R19:R29" si="12">Q19/314.7</f>
        <v>0</v>
      </c>
      <c r="S19" s="86">
        <f>R19/P19*100</f>
        <v>0</v>
      </c>
      <c r="T19" s="87">
        <f t="shared" ref="T19:T29" si="13">F19*1000000</f>
        <v>2629.6867647352019</v>
      </c>
      <c r="U19" s="10">
        <f t="shared" ref="U19:U29" si="14">M19/L19*100</f>
        <v>0.26296867647352018</v>
      </c>
      <c r="V19" s="103">
        <f t="shared" ref="V19:V29" si="15">O19/K19</f>
        <v>6.1331568996614468E-2</v>
      </c>
    </row>
    <row r="20" spans="1:22" x14ac:dyDescent="0.25">
      <c r="A20" s="33" t="s">
        <v>154</v>
      </c>
      <c r="B20" s="77">
        <f t="shared" si="3"/>
        <v>43781.625</v>
      </c>
      <c r="C20" s="49">
        <v>4</v>
      </c>
      <c r="D20" s="90">
        <v>827.04</v>
      </c>
      <c r="E20" s="91">
        <v>232.55</v>
      </c>
      <c r="F20" s="80">
        <f t="shared" si="6"/>
        <v>1.7858278107807542E-3</v>
      </c>
      <c r="G20" s="80">
        <f t="shared" si="7"/>
        <v>1.7911381581145994E-3</v>
      </c>
      <c r="H20" s="111">
        <v>0.625</v>
      </c>
      <c r="I20" s="81">
        <f>jar_information!M5</f>
        <v>43780.666666666664</v>
      </c>
      <c r="J20" s="82">
        <f t="shared" si="4"/>
        <v>0.95833333333575865</v>
      </c>
      <c r="K20" s="82">
        <f t="shared" si="8"/>
        <v>23.000000000058208</v>
      </c>
      <c r="L20" s="83">
        <f>jar_information!G5</f>
        <v>1089.8750280625609</v>
      </c>
      <c r="M20" s="82">
        <f t="shared" si="9"/>
        <v>1.9463291353895762</v>
      </c>
      <c r="N20" s="82">
        <f t="shared" si="10"/>
        <v>3.5617823177629244</v>
      </c>
      <c r="O20" s="84">
        <f t="shared" si="5"/>
        <v>0.97139517757170657</v>
      </c>
      <c r="P20" s="85">
        <f t="shared" si="11"/>
        <v>0.26079910308582394</v>
      </c>
      <c r="Q20" s="86"/>
      <c r="R20" s="86">
        <f t="shared" si="12"/>
        <v>0</v>
      </c>
      <c r="S20" s="86">
        <f t="shared" ref="S20:S29" si="16">R20/P20*100</f>
        <v>0</v>
      </c>
      <c r="T20" s="87">
        <f t="shared" si="13"/>
        <v>1785.8278107807541</v>
      </c>
      <c r="U20" s="10">
        <f t="shared" si="14"/>
        <v>0.17858278107807543</v>
      </c>
      <c r="V20" s="103">
        <f t="shared" si="15"/>
        <v>4.2234572937793396E-2</v>
      </c>
    </row>
    <row r="21" spans="1:22" x14ac:dyDescent="0.25">
      <c r="A21" s="33" t="s">
        <v>155</v>
      </c>
      <c r="B21" s="77">
        <f t="shared" si="3"/>
        <v>43781.625</v>
      </c>
      <c r="C21" s="49">
        <v>4</v>
      </c>
      <c r="D21" s="90">
        <v>871.98</v>
      </c>
      <c r="E21" s="91">
        <v>238.89</v>
      </c>
      <c r="F21" s="80">
        <f t="shared" si="6"/>
        <v>1.8848280232558569E-3</v>
      </c>
      <c r="G21" s="80">
        <f t="shared" si="7"/>
        <v>1.8425895151856703E-3</v>
      </c>
      <c r="H21" s="111">
        <v>0.625</v>
      </c>
      <c r="I21" s="81">
        <f>jar_information!M6</f>
        <v>43780.666666666664</v>
      </c>
      <c r="J21" s="82">
        <f t="shared" si="4"/>
        <v>0.95833333333575865</v>
      </c>
      <c r="K21" s="82">
        <f t="shared" si="8"/>
        <v>23.000000000058208</v>
      </c>
      <c r="L21" s="83">
        <f>jar_information!G6</f>
        <v>1074.8014191661935</v>
      </c>
      <c r="M21" s="82">
        <f t="shared" si="9"/>
        <v>2.025815834279606</v>
      </c>
      <c r="N21" s="82">
        <f t="shared" si="10"/>
        <v>3.707242976731679</v>
      </c>
      <c r="O21" s="84">
        <f t="shared" si="5"/>
        <v>1.011066266381367</v>
      </c>
      <c r="P21" s="85">
        <f t="shared" si="11"/>
        <v>0.27422438119241632</v>
      </c>
      <c r="Q21" s="86"/>
      <c r="R21" s="86">
        <f t="shared" si="12"/>
        <v>0</v>
      </c>
      <c r="S21" s="86">
        <f t="shared" si="16"/>
        <v>0</v>
      </c>
      <c r="T21" s="87">
        <f t="shared" si="13"/>
        <v>1884.828023255857</v>
      </c>
      <c r="U21" s="10">
        <f t="shared" si="14"/>
        <v>0.18848280232558567</v>
      </c>
      <c r="V21" s="103">
        <f t="shared" si="15"/>
        <v>4.3959402886035143E-2</v>
      </c>
    </row>
    <row r="22" spans="1:22" x14ac:dyDescent="0.25">
      <c r="A22" s="33" t="s">
        <v>156</v>
      </c>
      <c r="B22" s="77">
        <f t="shared" si="3"/>
        <v>43781.625</v>
      </c>
      <c r="C22" s="49">
        <v>4</v>
      </c>
      <c r="D22" s="90">
        <v>524.74</v>
      </c>
      <c r="E22" s="91">
        <v>157.82</v>
      </c>
      <c r="F22" s="80">
        <f t="shared" si="6"/>
        <v>1.1198784509404433E-3</v>
      </c>
      <c r="G22" s="80">
        <f t="shared" si="7"/>
        <v>1.1846776038683616E-3</v>
      </c>
      <c r="H22" s="111">
        <v>0.625</v>
      </c>
      <c r="I22" s="81">
        <f>jar_information!M7</f>
        <v>43780.666666666664</v>
      </c>
      <c r="J22" s="82">
        <f t="shared" si="4"/>
        <v>0.95833333333575865</v>
      </c>
      <c r="K22" s="82">
        <f t="shared" si="8"/>
        <v>23.000000000058208</v>
      </c>
      <c r="L22" s="83">
        <f>jar_information!G7</f>
        <v>1089.8750280625609</v>
      </c>
      <c r="M22" s="82">
        <f t="shared" si="9"/>
        <v>1.2205275581453729</v>
      </c>
      <c r="N22" s="82">
        <f t="shared" si="10"/>
        <v>2.2335654314060327</v>
      </c>
      <c r="O22" s="84">
        <f t="shared" si="5"/>
        <v>0.60915420856528157</v>
      </c>
      <c r="P22" s="85">
        <f t="shared" si="11"/>
        <v>0.16354504830044114</v>
      </c>
      <c r="Q22" s="86"/>
      <c r="R22" s="86">
        <f t="shared" si="12"/>
        <v>0</v>
      </c>
      <c r="S22" s="86">
        <f t="shared" si="16"/>
        <v>0</v>
      </c>
      <c r="T22" s="87">
        <f t="shared" si="13"/>
        <v>1119.8784509404434</v>
      </c>
      <c r="U22" s="10">
        <f t="shared" si="14"/>
        <v>0.11198784509404433</v>
      </c>
      <c r="V22" s="103">
        <f t="shared" si="15"/>
        <v>2.6484965589727825E-2</v>
      </c>
    </row>
    <row r="23" spans="1:22" x14ac:dyDescent="0.25">
      <c r="A23" s="33" t="s">
        <v>157</v>
      </c>
      <c r="B23" s="77">
        <f t="shared" si="3"/>
        <v>43781.625</v>
      </c>
      <c r="C23" s="49">
        <v>4</v>
      </c>
      <c r="D23" s="90">
        <v>505.03</v>
      </c>
      <c r="E23" s="91">
        <v>151.30000000000001</v>
      </c>
      <c r="F23" s="80">
        <f t="shared" si="6"/>
        <v>1.076458464561176E-3</v>
      </c>
      <c r="G23" s="80">
        <f t="shared" si="7"/>
        <v>1.1317654827164086E-3</v>
      </c>
      <c r="H23" s="111">
        <v>0.625</v>
      </c>
      <c r="I23" s="81">
        <f>jar_information!M8</f>
        <v>43780.666666666664</v>
      </c>
      <c r="J23" s="82">
        <f t="shared" si="4"/>
        <v>0.95833333333575865</v>
      </c>
      <c r="K23" s="82">
        <f t="shared" si="8"/>
        <v>23.000000000058208</v>
      </c>
      <c r="L23" s="83">
        <f>jar_information!G8</f>
        <v>1089.8750280625609</v>
      </c>
      <c r="M23" s="82">
        <f t="shared" si="9"/>
        <v>1.1732051992717929</v>
      </c>
      <c r="N23" s="82">
        <f t="shared" si="10"/>
        <v>2.1469655146673809</v>
      </c>
      <c r="O23" s="84">
        <f t="shared" si="5"/>
        <v>0.58553604945474025</v>
      </c>
      <c r="P23" s="85">
        <f t="shared" si="11"/>
        <v>0.15720407105988576</v>
      </c>
      <c r="Q23" s="86"/>
      <c r="R23" s="86">
        <f t="shared" si="12"/>
        <v>0</v>
      </c>
      <c r="S23" s="86">
        <f t="shared" si="16"/>
        <v>0</v>
      </c>
      <c r="T23" s="87">
        <f t="shared" si="13"/>
        <v>1076.458464561176</v>
      </c>
      <c r="U23" s="10">
        <f t="shared" si="14"/>
        <v>0.10764584645611759</v>
      </c>
      <c r="V23" s="103">
        <f t="shared" si="15"/>
        <v>2.5458089106663407E-2</v>
      </c>
    </row>
    <row r="24" spans="1:22" x14ac:dyDescent="0.25">
      <c r="A24" s="33" t="s">
        <v>158</v>
      </c>
      <c r="B24" s="77">
        <f t="shared" si="3"/>
        <v>43781.625</v>
      </c>
      <c r="C24" s="49">
        <v>1</v>
      </c>
      <c r="D24" s="90">
        <v>736.5</v>
      </c>
      <c r="E24" s="91">
        <v>197.01</v>
      </c>
      <c r="F24" s="80">
        <f t="shared" si="6"/>
        <v>6.3454937765012268E-3</v>
      </c>
      <c r="G24" s="80">
        <f t="shared" si="7"/>
        <v>6.0108736228016973E-3</v>
      </c>
      <c r="H24" s="111">
        <v>0.625</v>
      </c>
      <c r="I24" s="81">
        <f>jar_information!M9</f>
        <v>43780.666666666664</v>
      </c>
      <c r="J24" s="82">
        <f t="shared" si="4"/>
        <v>0.95833333333575865</v>
      </c>
      <c r="K24" s="82">
        <f t="shared" si="8"/>
        <v>23.000000000058208</v>
      </c>
      <c r="L24" s="83">
        <f>jar_information!G9</f>
        <v>1079.8108667673887</v>
      </c>
      <c r="M24" s="82">
        <f t="shared" si="9"/>
        <v>6.8519331348708601</v>
      </c>
      <c r="N24" s="82">
        <f t="shared" si="10"/>
        <v>12.539037636813674</v>
      </c>
      <c r="O24" s="84">
        <f t="shared" si="5"/>
        <v>3.41973753731282</v>
      </c>
      <c r="P24" s="85">
        <f t="shared" si="11"/>
        <v>0.9243715164176769</v>
      </c>
      <c r="Q24" s="86"/>
      <c r="R24" s="86">
        <f t="shared" si="12"/>
        <v>0</v>
      </c>
      <c r="S24" s="86">
        <f t="shared" si="16"/>
        <v>0</v>
      </c>
      <c r="T24" s="87">
        <f t="shared" si="13"/>
        <v>6345.4937765012264</v>
      </c>
      <c r="U24" s="10">
        <f t="shared" si="14"/>
        <v>0.63454937765012265</v>
      </c>
      <c r="V24" s="103">
        <f t="shared" si="15"/>
        <v>0.14868424075235503</v>
      </c>
    </row>
    <row r="25" spans="1:22" x14ac:dyDescent="0.25">
      <c r="A25" s="33" t="s">
        <v>159</v>
      </c>
      <c r="B25" s="77">
        <f t="shared" si="3"/>
        <v>43781.625</v>
      </c>
      <c r="C25" s="49">
        <v>1</v>
      </c>
      <c r="D25" s="90">
        <v>749.98</v>
      </c>
      <c r="E25" s="91">
        <v>211.05</v>
      </c>
      <c r="F25" s="80">
        <f t="shared" si="6"/>
        <v>6.4642764079355297E-3</v>
      </c>
      <c r="G25" s="80">
        <f t="shared" si="7"/>
        <v>6.4666320160369278E-3</v>
      </c>
      <c r="H25" s="111">
        <v>0.625</v>
      </c>
      <c r="I25" s="81">
        <f>jar_information!M10</f>
        <v>43780.666666666664</v>
      </c>
      <c r="J25" s="82">
        <f t="shared" si="4"/>
        <v>0.95833333333575865</v>
      </c>
      <c r="K25" s="82">
        <f t="shared" si="8"/>
        <v>23.000000000058208</v>
      </c>
      <c r="L25" s="83">
        <f>jar_information!G10</f>
        <v>1094.9298783058375</v>
      </c>
      <c r="M25" s="82">
        <f t="shared" si="9"/>
        <v>7.0779293806761459</v>
      </c>
      <c r="N25" s="82">
        <f t="shared" si="10"/>
        <v>12.952610766637347</v>
      </c>
      <c r="O25" s="84">
        <f t="shared" si="5"/>
        <v>3.5325302090829127</v>
      </c>
      <c r="P25" s="85">
        <f t="shared" si="11"/>
        <v>0.94520291830309289</v>
      </c>
      <c r="Q25" s="86"/>
      <c r="R25" s="86">
        <f t="shared" si="12"/>
        <v>0</v>
      </c>
      <c r="S25" s="86">
        <f t="shared" si="16"/>
        <v>0</v>
      </c>
      <c r="T25" s="87">
        <f t="shared" si="13"/>
        <v>6464.2764079355293</v>
      </c>
      <c r="U25" s="10">
        <f t="shared" si="14"/>
        <v>0.64642764079355297</v>
      </c>
      <c r="V25" s="103">
        <f t="shared" si="15"/>
        <v>0.15358826995973796</v>
      </c>
    </row>
    <row r="26" spans="1:22" x14ac:dyDescent="0.25">
      <c r="A26" s="33" t="s">
        <v>160</v>
      </c>
      <c r="B26" s="77">
        <f t="shared" si="3"/>
        <v>43781.625</v>
      </c>
      <c r="C26" s="49">
        <v>1</v>
      </c>
      <c r="D26" s="90">
        <v>896.55</v>
      </c>
      <c r="E26" s="91">
        <v>242.5</v>
      </c>
      <c r="F26" s="80">
        <f t="shared" si="6"/>
        <v>7.7558172305858012E-3</v>
      </c>
      <c r="G26" s="80">
        <f t="shared" si="7"/>
        <v>7.4875438014534489E-3</v>
      </c>
      <c r="H26" s="111">
        <v>0.625</v>
      </c>
      <c r="I26" s="81">
        <f>jar_information!M11</f>
        <v>43780.666666666664</v>
      </c>
      <c r="J26" s="82">
        <f t="shared" si="4"/>
        <v>0.95833333333575865</v>
      </c>
      <c r="K26" s="82">
        <f t="shared" si="8"/>
        <v>23.000000000058208</v>
      </c>
      <c r="L26" s="83">
        <f>jar_information!G11</f>
        <v>1089.8750280625609</v>
      </c>
      <c r="M26" s="82">
        <f t="shared" si="9"/>
        <v>8.4528715218327939</v>
      </c>
      <c r="N26" s="82">
        <f t="shared" si="10"/>
        <v>15.468754884954013</v>
      </c>
      <c r="O26" s="84">
        <f t="shared" si="5"/>
        <v>4.2187513322601848</v>
      </c>
      <c r="P26" s="85">
        <f t="shared" si="11"/>
        <v>1.1326456925038244</v>
      </c>
      <c r="Q26" s="86"/>
      <c r="R26" s="86">
        <f t="shared" si="12"/>
        <v>0</v>
      </c>
      <c r="S26" s="86">
        <f t="shared" si="16"/>
        <v>0</v>
      </c>
      <c r="T26" s="87">
        <f t="shared" si="13"/>
        <v>7755.8172305858016</v>
      </c>
      <c r="U26" s="10">
        <f t="shared" si="14"/>
        <v>0.7755817230585802</v>
      </c>
      <c r="V26" s="103">
        <f t="shared" si="15"/>
        <v>0.18342397096736993</v>
      </c>
    </row>
    <row r="27" spans="1:22" x14ac:dyDescent="0.25">
      <c r="A27" s="33" t="s">
        <v>161</v>
      </c>
      <c r="B27" s="77">
        <f t="shared" si="3"/>
        <v>43781.625</v>
      </c>
      <c r="C27" s="49">
        <v>1</v>
      </c>
      <c r="D27" s="90">
        <v>860.54</v>
      </c>
      <c r="E27" s="91">
        <v>251.28</v>
      </c>
      <c r="F27" s="80">
        <f t="shared" ref="F27" si="17">((I$9*D27)+I$10)/C27/1000</f>
        <v>7.4385054681266613E-3</v>
      </c>
      <c r="G27" s="80">
        <f t="shared" ref="G27" si="18">((I$12*E27)+I$13)/C27/1000</f>
        <v>7.7725551043455665E-3</v>
      </c>
      <c r="H27" s="111">
        <v>0.625</v>
      </c>
      <c r="I27" s="81">
        <f>jar_information!M12</f>
        <v>43780.666666666664</v>
      </c>
      <c r="J27" s="82">
        <f t="shared" si="4"/>
        <v>0.95833333333575865</v>
      </c>
      <c r="K27" s="82">
        <f t="shared" si="8"/>
        <v>23.000000000058208</v>
      </c>
      <c r="L27" s="83">
        <f>jar_information!G12</f>
        <v>1074.8014191661935</v>
      </c>
      <c r="M27" s="82">
        <f t="shared" ref="M27" si="19">F27*L27</f>
        <v>7.9949162336180262</v>
      </c>
      <c r="N27" s="82">
        <f t="shared" ref="N27" si="20">M27*1.83</f>
        <v>14.630696707520988</v>
      </c>
      <c r="O27" s="84">
        <f t="shared" ref="O27" si="21">N27*(12/(12+(16*2)))</f>
        <v>3.9901900111420874</v>
      </c>
      <c r="P27" s="85">
        <f t="shared" ref="P27" si="22">O27*(400/(400+L27))</f>
        <v>1.0822311286893163</v>
      </c>
      <c r="Q27" s="86"/>
      <c r="R27" s="86">
        <f t="shared" ref="R27" si="23">Q27/314.7</f>
        <v>0</v>
      </c>
      <c r="S27" s="86">
        <f t="shared" ref="S27" si="24">R27/P27*100</f>
        <v>0</v>
      </c>
      <c r="T27" s="87">
        <f t="shared" ref="T27" si="25">F27*1000000</f>
        <v>7438.5054681266611</v>
      </c>
      <c r="U27" s="10">
        <f t="shared" ref="U27" si="26">M27/L27*100</f>
        <v>0.74385054681266616</v>
      </c>
      <c r="V27" s="103">
        <f t="shared" si="15"/>
        <v>0.17348652222312996</v>
      </c>
    </row>
    <row r="28" spans="1:22" x14ac:dyDescent="0.25">
      <c r="A28" s="33" t="s">
        <v>162</v>
      </c>
      <c r="B28" s="77">
        <f t="shared" si="3"/>
        <v>43781.625</v>
      </c>
      <c r="C28" s="49">
        <v>1</v>
      </c>
      <c r="D28" s="90">
        <v>717.99</v>
      </c>
      <c r="E28" s="91">
        <v>202.13</v>
      </c>
      <c r="F28" s="80">
        <f t="shared" si="6"/>
        <v>6.1823879524768258E-3</v>
      </c>
      <c r="G28" s="80">
        <f t="shared" si="7"/>
        <v>6.1770761137820663E-3</v>
      </c>
      <c r="H28" s="111">
        <v>0.625</v>
      </c>
      <c r="I28" s="81">
        <f>jar_information!M13</f>
        <v>43780.666666666664</v>
      </c>
      <c r="J28" s="82">
        <f t="shared" si="4"/>
        <v>0.95833333333575865</v>
      </c>
      <c r="K28" s="82">
        <f t="shared" si="8"/>
        <v>23.000000000058208</v>
      </c>
      <c r="L28" s="83">
        <f>jar_information!G13</f>
        <v>1089.8750280625609</v>
      </c>
      <c r="M28" s="82">
        <f t="shared" si="9"/>
        <v>6.7380302431993186</v>
      </c>
      <c r="N28" s="82">
        <f t="shared" si="10"/>
        <v>12.330595345054753</v>
      </c>
      <c r="O28" s="84">
        <f t="shared" si="5"/>
        <v>3.3628896395603869</v>
      </c>
      <c r="P28" s="85">
        <f t="shared" si="11"/>
        <v>0.90286489167712314</v>
      </c>
      <c r="Q28" s="86"/>
      <c r="R28" s="86">
        <f t="shared" si="12"/>
        <v>0</v>
      </c>
      <c r="S28" s="86">
        <f t="shared" si="16"/>
        <v>0</v>
      </c>
      <c r="T28" s="87">
        <f t="shared" si="13"/>
        <v>6182.3879524768263</v>
      </c>
      <c r="U28" s="10">
        <f t="shared" si="14"/>
        <v>0.61823879524768255</v>
      </c>
      <c r="V28" s="103">
        <f t="shared" si="15"/>
        <v>0.14621259302399461</v>
      </c>
    </row>
    <row r="29" spans="1:22" x14ac:dyDescent="0.25">
      <c r="A29" s="33" t="s">
        <v>163</v>
      </c>
      <c r="B29" s="77">
        <f t="shared" si="3"/>
        <v>43781.625</v>
      </c>
      <c r="C29" s="49">
        <v>1</v>
      </c>
      <c r="D29" s="90">
        <v>691.57</v>
      </c>
      <c r="E29" s="91">
        <v>199.7</v>
      </c>
      <c r="F29" s="80">
        <f t="shared" si="6"/>
        <v>5.9495810442799224E-3</v>
      </c>
      <c r="G29" s="80">
        <f t="shared" si="7"/>
        <v>6.0981948534144298E-3</v>
      </c>
      <c r="H29" s="111">
        <v>0.625</v>
      </c>
      <c r="I29" s="81">
        <f>jar_information!M14</f>
        <v>43780.666666666664</v>
      </c>
      <c r="J29" s="82">
        <f t="shared" si="4"/>
        <v>0.95833333333575865</v>
      </c>
      <c r="K29" s="82">
        <f t="shared" si="8"/>
        <v>23.000000000058208</v>
      </c>
      <c r="L29" s="83">
        <f>jar_information!G14</f>
        <v>1089.8750280625609</v>
      </c>
      <c r="M29" s="82">
        <f t="shared" si="9"/>
        <v>6.4842998075950611</v>
      </c>
      <c r="N29" s="82">
        <f t="shared" si="10"/>
        <v>11.866268647898963</v>
      </c>
      <c r="O29" s="84">
        <f t="shared" si="5"/>
        <v>3.236255085790626</v>
      </c>
      <c r="P29" s="85">
        <f t="shared" si="11"/>
        <v>0.86886618671609372</v>
      </c>
      <c r="Q29" s="86"/>
      <c r="R29" s="86">
        <f t="shared" si="12"/>
        <v>0</v>
      </c>
      <c r="S29" s="86">
        <f t="shared" si="16"/>
        <v>0</v>
      </c>
      <c r="T29" s="87">
        <f t="shared" si="13"/>
        <v>5949.581044279922</v>
      </c>
      <c r="U29" s="10">
        <f t="shared" si="14"/>
        <v>0.59495810442799224</v>
      </c>
      <c r="V29" s="103">
        <f t="shared" si="15"/>
        <v>0.1407067428601059</v>
      </c>
    </row>
    <row r="30" spans="1:22" x14ac:dyDescent="0.25">
      <c r="A30" s="23"/>
      <c r="B30" s="77"/>
      <c r="C30" s="54"/>
      <c r="D30" s="54"/>
      <c r="E30" s="54"/>
      <c r="F30" s="100"/>
      <c r="G30" s="100"/>
      <c r="H30" s="100"/>
      <c r="I30" s="77"/>
      <c r="J30" s="82"/>
      <c r="K30" s="82"/>
      <c r="L30" s="83"/>
      <c r="M30" s="82"/>
      <c r="N30" s="82"/>
      <c r="O30" s="84"/>
      <c r="P30" s="85"/>
      <c r="Q30" s="86"/>
      <c r="R30" s="86"/>
      <c r="S30" s="86"/>
      <c r="T30" s="87"/>
      <c r="U30" s="10"/>
    </row>
    <row r="31" spans="1:22" x14ac:dyDescent="0.25">
      <c r="A31" s="23"/>
      <c r="B31" s="77"/>
      <c r="C31" s="54"/>
      <c r="D31" s="54"/>
      <c r="E31" s="54"/>
      <c r="F31" s="100"/>
      <c r="G31" s="100"/>
      <c r="H31" s="100"/>
      <c r="I31" s="77"/>
      <c r="J31" s="82"/>
      <c r="K31" s="82"/>
      <c r="L31" s="83"/>
      <c r="M31" s="82"/>
      <c r="N31" s="82"/>
      <c r="O31" s="84"/>
      <c r="P31" s="85"/>
      <c r="Q31" s="86"/>
      <c r="R31" s="86"/>
      <c r="S31" s="86"/>
      <c r="T31" s="87"/>
      <c r="U31" s="10"/>
    </row>
    <row r="32" spans="1:22" x14ac:dyDescent="0.25">
      <c r="A32" s="23"/>
      <c r="B32" s="77"/>
      <c r="C32" s="54"/>
      <c r="D32" s="54"/>
      <c r="E32" s="54"/>
      <c r="F32" s="100"/>
      <c r="G32" s="100"/>
      <c r="H32" s="100"/>
      <c r="I32" s="77"/>
      <c r="J32" s="82"/>
      <c r="K32" s="82"/>
      <c r="L32" s="83"/>
      <c r="M32" s="82"/>
      <c r="N32" s="82"/>
      <c r="O32" s="84"/>
      <c r="P32" s="85"/>
      <c r="Q32" s="86"/>
      <c r="R32" s="86"/>
      <c r="S32" s="86"/>
      <c r="T32" s="87"/>
      <c r="U32" s="10"/>
    </row>
    <row r="33" spans="1:21" x14ac:dyDescent="0.25">
      <c r="A33" s="23"/>
      <c r="B33" s="77"/>
      <c r="C33" s="54"/>
      <c r="D33" s="54"/>
      <c r="E33" s="54"/>
      <c r="F33" s="100"/>
      <c r="G33" s="100"/>
      <c r="H33" s="100"/>
      <c r="I33" s="77"/>
      <c r="J33" s="82"/>
      <c r="K33" s="82"/>
      <c r="L33" s="83"/>
      <c r="M33" s="82"/>
      <c r="N33" s="82"/>
      <c r="O33" s="84"/>
      <c r="P33" s="85"/>
      <c r="Q33" s="86"/>
      <c r="R33" s="86"/>
      <c r="S33" s="86"/>
      <c r="T33" s="87"/>
      <c r="U33" s="10"/>
    </row>
    <row r="34" spans="1:21" x14ac:dyDescent="0.25">
      <c r="A34" s="23"/>
      <c r="B34" s="77"/>
      <c r="C34" s="54"/>
      <c r="D34" s="54"/>
      <c r="E34" s="54"/>
      <c r="F34" s="100"/>
      <c r="G34" s="100"/>
      <c r="H34" s="101"/>
      <c r="I34" s="77"/>
      <c r="J34" s="82"/>
      <c r="K34" s="82"/>
      <c r="L34" s="83"/>
      <c r="M34" s="82"/>
      <c r="N34" s="82"/>
      <c r="O34" s="84"/>
      <c r="P34" s="85"/>
      <c r="Q34" s="86"/>
      <c r="R34" s="86"/>
      <c r="S34" s="86"/>
      <c r="T34" s="87"/>
      <c r="U34" s="10"/>
    </row>
    <row r="35" spans="1:21" x14ac:dyDescent="0.25">
      <c r="A35" s="23"/>
      <c r="B35" s="77"/>
      <c r="C35" s="54"/>
      <c r="D35" s="54"/>
      <c r="E35" s="54"/>
      <c r="F35" s="100"/>
      <c r="G35" s="100"/>
      <c r="H35" s="101"/>
      <c r="I35" s="77"/>
      <c r="J35" s="82"/>
      <c r="K35" s="82"/>
      <c r="L35" s="83"/>
      <c r="M35" s="82"/>
      <c r="N35" s="82"/>
      <c r="O35" s="84"/>
      <c r="P35" s="85"/>
      <c r="Q35" s="86"/>
      <c r="R35" s="86"/>
      <c r="S35" s="86"/>
      <c r="T35" s="87"/>
      <c r="U35" s="10"/>
    </row>
    <row r="36" spans="1:21" x14ac:dyDescent="0.25">
      <c r="A36" s="23"/>
      <c r="B36" s="77"/>
      <c r="C36" s="54"/>
      <c r="D36" s="54"/>
      <c r="E36" s="54"/>
      <c r="F36" s="100"/>
      <c r="G36" s="100"/>
      <c r="H36" s="101"/>
      <c r="I36" s="77"/>
      <c r="J36" s="82"/>
      <c r="K36" s="82"/>
      <c r="L36" s="83"/>
      <c r="M36" s="82"/>
      <c r="N36" s="82"/>
      <c r="O36" s="84"/>
      <c r="P36" s="85"/>
      <c r="Q36" s="86"/>
      <c r="R36" s="86"/>
      <c r="S36" s="86"/>
      <c r="T36" s="87"/>
      <c r="U36" s="10"/>
    </row>
    <row r="37" spans="1:21" x14ac:dyDescent="0.25">
      <c r="A37" s="23"/>
      <c r="B37" s="77"/>
      <c r="C37" s="54"/>
      <c r="D37" s="54"/>
      <c r="E37" s="54"/>
      <c r="F37" s="100"/>
      <c r="G37" s="100"/>
      <c r="H37" s="101"/>
      <c r="I37" s="77"/>
      <c r="J37" s="82"/>
      <c r="K37" s="82"/>
      <c r="L37" s="83"/>
      <c r="M37" s="82"/>
      <c r="N37" s="82"/>
      <c r="O37" s="84"/>
      <c r="P37" s="85"/>
      <c r="Q37" s="86"/>
      <c r="R37" s="86"/>
      <c r="S37" s="86"/>
      <c r="T37" s="87"/>
      <c r="U37" s="10"/>
    </row>
    <row r="38" spans="1:21" x14ac:dyDescent="0.25">
      <c r="A38" s="23"/>
      <c r="B38" s="77"/>
      <c r="C38" s="54"/>
      <c r="D38" s="54"/>
      <c r="E38" s="54"/>
      <c r="F38" s="100"/>
      <c r="G38" s="100"/>
      <c r="H38" s="101"/>
      <c r="I38" s="77"/>
      <c r="J38" s="82"/>
      <c r="K38" s="82"/>
      <c r="L38" s="83"/>
      <c r="M38" s="82"/>
      <c r="N38" s="82"/>
      <c r="O38" s="84"/>
      <c r="P38" s="85"/>
      <c r="Q38" s="86"/>
      <c r="R38" s="86"/>
      <c r="S38" s="86"/>
      <c r="T38" s="87"/>
      <c r="U38" s="10"/>
    </row>
    <row r="39" spans="1:21" x14ac:dyDescent="0.25">
      <c r="A39" s="23"/>
      <c r="B39" s="77"/>
      <c r="C39" s="54"/>
      <c r="D39" s="54"/>
      <c r="E39" s="54"/>
      <c r="F39" s="100"/>
      <c r="G39" s="100"/>
      <c r="H39" s="101"/>
      <c r="I39" s="77"/>
      <c r="J39" s="82"/>
      <c r="K39" s="82"/>
      <c r="L39" s="83"/>
      <c r="M39" s="82"/>
      <c r="N39" s="82"/>
      <c r="O39" s="84"/>
      <c r="P39" s="85"/>
      <c r="Q39" s="86"/>
      <c r="R39" s="86"/>
      <c r="S39" s="86"/>
      <c r="T39" s="87"/>
      <c r="U39" s="10"/>
    </row>
    <row r="40" spans="1:21" x14ac:dyDescent="0.25">
      <c r="A40" s="23"/>
      <c r="B40" s="77"/>
      <c r="C40" s="54"/>
      <c r="D40" s="54"/>
      <c r="E40" s="54"/>
      <c r="F40" s="100"/>
      <c r="G40" s="100"/>
      <c r="H40" s="101"/>
      <c r="I40" s="77"/>
      <c r="J40" s="82"/>
      <c r="K40" s="82"/>
      <c r="L40" s="83"/>
      <c r="M40" s="82"/>
      <c r="N40" s="82"/>
      <c r="O40" s="84"/>
      <c r="P40" s="85"/>
      <c r="Q40" s="86"/>
      <c r="R40" s="86"/>
      <c r="S40" s="86"/>
      <c r="T40" s="87"/>
      <c r="U40" s="10"/>
    </row>
    <row r="41" spans="1:21" x14ac:dyDescent="0.25">
      <c r="A41" s="23"/>
      <c r="B41" s="77"/>
      <c r="C41" s="54"/>
      <c r="D41" s="54"/>
      <c r="E41" s="54"/>
      <c r="F41" s="100"/>
      <c r="G41" s="100"/>
      <c r="H41" s="101"/>
      <c r="I41" s="77"/>
      <c r="J41" s="82"/>
      <c r="K41" s="82"/>
      <c r="L41" s="83"/>
      <c r="M41" s="82"/>
      <c r="N41" s="82"/>
      <c r="O41" s="84"/>
      <c r="P41" s="85"/>
      <c r="Q41" s="86"/>
      <c r="R41" s="86"/>
      <c r="S41" s="86"/>
      <c r="T41" s="87"/>
      <c r="U41" s="10"/>
    </row>
    <row r="42" spans="1:21" x14ac:dyDescent="0.25">
      <c r="A42" s="23"/>
      <c r="B42" s="77"/>
      <c r="C42" s="54"/>
      <c r="D42" s="54"/>
      <c r="E42" s="54"/>
      <c r="F42" s="100"/>
      <c r="G42" s="100"/>
      <c r="H42" s="101"/>
      <c r="I42" s="77"/>
      <c r="J42" s="82"/>
      <c r="K42" s="82"/>
      <c r="L42" s="83"/>
      <c r="M42" s="82"/>
      <c r="N42" s="82"/>
      <c r="O42" s="84"/>
      <c r="P42" s="85"/>
      <c r="Q42" s="86"/>
      <c r="R42" s="86"/>
      <c r="S42" s="86"/>
      <c r="T42" s="87"/>
      <c r="U42" s="10"/>
    </row>
    <row r="43" spans="1:21" x14ac:dyDescent="0.25">
      <c r="A43" s="23"/>
      <c r="B43" s="77"/>
      <c r="C43" s="54"/>
      <c r="D43" s="54"/>
      <c r="E43" s="54"/>
      <c r="F43" s="100"/>
      <c r="G43" s="100"/>
      <c r="H43" s="101"/>
      <c r="I43" s="77"/>
      <c r="J43" s="82"/>
      <c r="K43" s="82"/>
      <c r="L43" s="83"/>
      <c r="M43" s="82"/>
      <c r="N43" s="82"/>
      <c r="O43" s="84"/>
      <c r="P43" s="85"/>
      <c r="Q43" s="86"/>
      <c r="R43" s="86"/>
      <c r="S43" s="86"/>
      <c r="T43" s="87"/>
      <c r="U43" s="10"/>
    </row>
    <row r="44" spans="1:21" x14ac:dyDescent="0.25">
      <c r="C44" s="102"/>
      <c r="D44" s="102"/>
      <c r="E44" s="102"/>
      <c r="F44" s="102"/>
      <c r="G44" s="102"/>
      <c r="H44" s="102"/>
      <c r="I44" s="102"/>
    </row>
    <row r="45" spans="1:21" x14ac:dyDescent="0.25">
      <c r="C45" s="102"/>
      <c r="D45" s="102"/>
      <c r="E45" s="102"/>
      <c r="F45" s="102"/>
      <c r="G45" s="102"/>
      <c r="H45" s="102"/>
      <c r="I45" s="102"/>
    </row>
    <row r="46" spans="1:21" x14ac:dyDescent="0.25">
      <c r="C46" s="102"/>
      <c r="D46" s="102"/>
      <c r="E46" s="102"/>
      <c r="F46" s="102"/>
      <c r="G46" s="102"/>
      <c r="H46" s="102"/>
      <c r="I46" s="102"/>
    </row>
  </sheetData>
  <conditionalFormatting sqref="O18:O43">
    <cfRule type="cellIs" dxfId="13" priority="1" operator="greaterThan">
      <formula>4</formula>
    </cfRule>
    <cfRule type="cellIs" dxfId="12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scale="5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Methods</vt:lpstr>
      <vt:lpstr>Sieving</vt:lpstr>
      <vt:lpstr>Dryweights</vt:lpstr>
      <vt:lpstr>WHC</vt:lpstr>
      <vt:lpstr>CO2 Template</vt:lpstr>
      <vt:lpstr>Leakage</vt:lpstr>
      <vt:lpstr>jar_information</vt:lpstr>
      <vt:lpstr>13C</vt:lpstr>
      <vt:lpstr>Pre_12.11.19</vt:lpstr>
      <vt:lpstr>Pre_13.11.19</vt:lpstr>
      <vt:lpstr>Pre_14.11.19</vt:lpstr>
      <vt:lpstr>Pre_15.11.19</vt:lpstr>
      <vt:lpstr>Inc_18.11.19</vt:lpstr>
      <vt:lpstr>Inc_21.11.19</vt:lpstr>
      <vt:lpstr>Inc_22.11.19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Rost</dc:creator>
  <cp:lastModifiedBy>mrost</cp:lastModifiedBy>
  <cp:lastPrinted>2019-11-15T13:30:27Z</cp:lastPrinted>
  <dcterms:created xsi:type="dcterms:W3CDTF">2018-06-07T19:49:10Z</dcterms:created>
  <dcterms:modified xsi:type="dcterms:W3CDTF">2019-12-18T07:54:34Z</dcterms:modified>
</cp:coreProperties>
</file>