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60" yWindow="560" windowWidth="25040" windowHeight="16900" tabRatio="558" firstSheet="1" activeTab="6"/>
  </bookViews>
  <sheets>
    <sheet name="meta" sheetId="2" r:id="rId1"/>
    <sheet name="Dec25_copy" sheetId="3" r:id="rId2"/>
    <sheet name="Dec27_2009_copy" sheetId="4" r:id="rId3"/>
    <sheet name="Dec_30_copy" sheetId="5" r:id="rId4"/>
    <sheet name="Sheet1_copy" sheetId="1" r:id="rId5"/>
    <sheet name="arc-tme-misc" sheetId="6" r:id="rId6"/>
    <sheet name="arc-tme-misc-iso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D2" i="7"/>
  <c r="C2" i="7"/>
  <c r="I2" i="1"/>
  <c r="H2" i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" i="7"/>
  <c r="G23" i="4"/>
  <c r="H18" i="4"/>
  <c r="G18" i="4"/>
  <c r="H19" i="4"/>
  <c r="G19" i="4"/>
  <c r="H20" i="4"/>
  <c r="G20" i="4"/>
  <c r="I18" i="6"/>
  <c r="J18" i="6"/>
  <c r="K18" i="6"/>
  <c r="L18" i="6"/>
  <c r="N18" i="6"/>
  <c r="I19" i="6"/>
  <c r="J19" i="6"/>
  <c r="K19" i="6"/>
  <c r="L19" i="6"/>
  <c r="N19" i="6"/>
  <c r="I20" i="6"/>
  <c r="J20" i="6"/>
  <c r="K20" i="6"/>
  <c r="L20" i="6"/>
  <c r="N20" i="6"/>
  <c r="I21" i="6"/>
  <c r="J21" i="6"/>
  <c r="K21" i="6"/>
  <c r="L21" i="6"/>
  <c r="N21" i="6"/>
  <c r="I22" i="6"/>
  <c r="J22" i="6"/>
  <c r="K22" i="6"/>
  <c r="L22" i="6"/>
  <c r="N22" i="6"/>
  <c r="I23" i="6"/>
  <c r="J23" i="6"/>
  <c r="K23" i="6"/>
  <c r="L23" i="6"/>
  <c r="N23" i="6"/>
  <c r="I24" i="6"/>
  <c r="J24" i="6"/>
  <c r="K24" i="6"/>
  <c r="L24" i="6"/>
  <c r="N24" i="6"/>
  <c r="I25" i="6"/>
  <c r="J25" i="6"/>
  <c r="K25" i="6"/>
  <c r="L25" i="6"/>
  <c r="N25" i="6"/>
  <c r="I26" i="6"/>
  <c r="J26" i="6"/>
  <c r="K26" i="6"/>
  <c r="L26" i="6"/>
  <c r="N26" i="6"/>
  <c r="I27" i="6"/>
  <c r="J27" i="6"/>
  <c r="K27" i="6"/>
  <c r="L27" i="6"/>
  <c r="N27" i="6"/>
  <c r="I28" i="6"/>
  <c r="J28" i="6"/>
  <c r="K28" i="6"/>
  <c r="L28" i="6"/>
  <c r="N28" i="6"/>
  <c r="I29" i="6"/>
  <c r="J29" i="6"/>
  <c r="K29" i="6"/>
  <c r="L29" i="6"/>
  <c r="N29" i="6"/>
  <c r="I30" i="6"/>
  <c r="J30" i="6"/>
  <c r="K30" i="6"/>
  <c r="L30" i="6"/>
  <c r="N30" i="6"/>
  <c r="I31" i="6"/>
  <c r="J31" i="6"/>
  <c r="K31" i="6"/>
  <c r="L31" i="6"/>
  <c r="N31" i="6"/>
  <c r="I17" i="6"/>
  <c r="J17" i="6"/>
  <c r="K17" i="6"/>
  <c r="L17" i="6"/>
  <c r="N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17" i="6"/>
  <c r="F17" i="6"/>
  <c r="G17" i="6"/>
  <c r="H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J23" i="4"/>
  <c r="G21" i="4"/>
  <c r="I2" i="6"/>
  <c r="I3" i="6"/>
  <c r="J3" i="6"/>
  <c r="K3" i="6"/>
  <c r="L3" i="6"/>
  <c r="E2" i="6"/>
  <c r="E3" i="6"/>
  <c r="N3" i="6"/>
  <c r="I4" i="6"/>
  <c r="J4" i="6"/>
  <c r="K4" i="6"/>
  <c r="L4" i="6"/>
  <c r="E4" i="6"/>
  <c r="N4" i="6"/>
  <c r="I5" i="6"/>
  <c r="J5" i="6"/>
  <c r="K5" i="6"/>
  <c r="L5" i="6"/>
  <c r="E5" i="6"/>
  <c r="N5" i="6"/>
  <c r="I6" i="6"/>
  <c r="J6" i="6"/>
  <c r="K6" i="6"/>
  <c r="L6" i="6"/>
  <c r="E6" i="6"/>
  <c r="N6" i="6"/>
  <c r="I7" i="6"/>
  <c r="J7" i="6"/>
  <c r="K7" i="6"/>
  <c r="L7" i="6"/>
  <c r="E7" i="6"/>
  <c r="N7" i="6"/>
  <c r="I8" i="6"/>
  <c r="J8" i="6"/>
  <c r="K8" i="6"/>
  <c r="L8" i="6"/>
  <c r="E8" i="6"/>
  <c r="N8" i="6"/>
  <c r="I9" i="6"/>
  <c r="J9" i="6"/>
  <c r="K9" i="6"/>
  <c r="L9" i="6"/>
  <c r="E9" i="6"/>
  <c r="N9" i="6"/>
  <c r="I10" i="6"/>
  <c r="J10" i="6"/>
  <c r="K10" i="6"/>
  <c r="L10" i="6"/>
  <c r="E10" i="6"/>
  <c r="N10" i="6"/>
  <c r="I11" i="6"/>
  <c r="J11" i="6"/>
  <c r="K11" i="6"/>
  <c r="L11" i="6"/>
  <c r="E11" i="6"/>
  <c r="N11" i="6"/>
  <c r="I12" i="6"/>
  <c r="J12" i="6"/>
  <c r="K12" i="6"/>
  <c r="L12" i="6"/>
  <c r="E12" i="6"/>
  <c r="N12" i="6"/>
  <c r="I13" i="6"/>
  <c r="J13" i="6"/>
  <c r="K13" i="6"/>
  <c r="L13" i="6"/>
  <c r="E13" i="6"/>
  <c r="N13" i="6"/>
  <c r="I14" i="6"/>
  <c r="J14" i="6"/>
  <c r="K14" i="6"/>
  <c r="L14" i="6"/>
  <c r="E14" i="6"/>
  <c r="N14" i="6"/>
  <c r="I15" i="6"/>
  <c r="J15" i="6"/>
  <c r="K15" i="6"/>
  <c r="L15" i="6"/>
  <c r="E15" i="6"/>
  <c r="N15" i="6"/>
  <c r="I16" i="6"/>
  <c r="J16" i="6"/>
  <c r="K16" i="6"/>
  <c r="L16" i="6"/>
  <c r="E16" i="6"/>
  <c r="N16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O2" i="6"/>
  <c r="N2" i="6"/>
  <c r="P2" i="6"/>
  <c r="J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3" i="6"/>
  <c r="L2" i="6"/>
  <c r="K2" i="6"/>
  <c r="H2" i="6"/>
  <c r="G2" i="6"/>
  <c r="F2" i="6"/>
  <c r="D2" i="6"/>
  <c r="G106" i="5"/>
  <c r="G105" i="5"/>
  <c r="G104" i="5"/>
  <c r="G103" i="5"/>
  <c r="G102" i="5"/>
  <c r="G101" i="5"/>
  <c r="G100" i="5"/>
  <c r="G99" i="5"/>
  <c r="G98" i="5"/>
  <c r="G97" i="5"/>
  <c r="G96" i="5"/>
  <c r="G95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38" i="5"/>
  <c r="Q38" i="5"/>
  <c r="N38" i="5"/>
  <c r="L38" i="5"/>
  <c r="M38" i="5"/>
  <c r="J38" i="5"/>
  <c r="G37" i="5"/>
  <c r="Q37" i="5"/>
  <c r="N37" i="5"/>
  <c r="L37" i="5"/>
  <c r="M37" i="5"/>
  <c r="J37" i="5"/>
  <c r="G36" i="5"/>
  <c r="Q36" i="5"/>
  <c r="N36" i="5"/>
  <c r="L36" i="5"/>
  <c r="M36" i="5"/>
  <c r="J36" i="5"/>
  <c r="G35" i="5"/>
  <c r="Q35" i="5"/>
  <c r="N35" i="5"/>
  <c r="L35" i="5"/>
  <c r="M35" i="5"/>
  <c r="J35" i="5"/>
  <c r="G34" i="5"/>
  <c r="Q34" i="5"/>
  <c r="N34" i="5"/>
  <c r="L34" i="5"/>
  <c r="M34" i="5"/>
  <c r="J34" i="5"/>
  <c r="G33" i="5"/>
  <c r="Q33" i="5"/>
  <c r="L33" i="5"/>
  <c r="G32" i="5"/>
  <c r="Q32" i="5"/>
  <c r="N32" i="5"/>
  <c r="L32" i="5"/>
  <c r="M32" i="5"/>
  <c r="J32" i="5"/>
  <c r="G31" i="5"/>
  <c r="Q31" i="5"/>
  <c r="N31" i="5"/>
  <c r="L31" i="5"/>
  <c r="M31" i="5"/>
  <c r="J31" i="5"/>
  <c r="G30" i="5"/>
  <c r="Q30" i="5"/>
  <c r="N30" i="5"/>
  <c r="L30" i="5"/>
  <c r="M30" i="5"/>
  <c r="J30" i="5"/>
  <c r="G29" i="5"/>
  <c r="Q29" i="5"/>
  <c r="N29" i="5"/>
  <c r="L29" i="5"/>
  <c r="M29" i="5"/>
  <c r="J29" i="5"/>
  <c r="G28" i="5"/>
  <c r="Q28" i="5"/>
  <c r="N28" i="5"/>
  <c r="L28" i="5"/>
  <c r="M28" i="5"/>
  <c r="J28" i="5"/>
  <c r="G27" i="5"/>
  <c r="Q27" i="5"/>
  <c r="N27" i="5"/>
  <c r="L27" i="5"/>
  <c r="M27" i="5"/>
  <c r="J27" i="5"/>
  <c r="G26" i="5"/>
  <c r="Q26" i="5"/>
  <c r="N26" i="5"/>
  <c r="L26" i="5"/>
  <c r="M26" i="5"/>
  <c r="J26" i="5"/>
  <c r="G25" i="5"/>
  <c r="Q25" i="5"/>
  <c r="N25" i="5"/>
  <c r="L25" i="5"/>
  <c r="M25" i="5"/>
  <c r="J25" i="5"/>
  <c r="G24" i="5"/>
  <c r="Q24" i="5"/>
  <c r="N24" i="5"/>
  <c r="L24" i="5"/>
  <c r="M24" i="5"/>
  <c r="J24" i="5"/>
  <c r="G23" i="5"/>
  <c r="Q23" i="5"/>
  <c r="N23" i="5"/>
  <c r="L23" i="5"/>
  <c r="M23" i="5"/>
  <c r="J23" i="5"/>
  <c r="G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37" i="4"/>
  <c r="J37" i="4"/>
  <c r="G36" i="4"/>
  <c r="J36" i="4"/>
  <c r="G35" i="4"/>
  <c r="J35" i="4"/>
  <c r="G34" i="4"/>
  <c r="J34" i="4"/>
  <c r="G33" i="4"/>
  <c r="J33" i="4"/>
  <c r="G32" i="4"/>
  <c r="J32" i="4"/>
  <c r="G31" i="4"/>
  <c r="J31" i="4"/>
  <c r="G30" i="4"/>
  <c r="J30" i="4"/>
  <c r="G29" i="4"/>
  <c r="J29" i="4"/>
  <c r="G28" i="4"/>
  <c r="J28" i="4"/>
  <c r="G27" i="4"/>
  <c r="J27" i="4"/>
  <c r="G26" i="4"/>
  <c r="J26" i="4"/>
  <c r="G25" i="4"/>
  <c r="J25" i="4"/>
  <c r="G24" i="4"/>
  <c r="J24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H24" i="1"/>
  <c r="I24" i="1"/>
  <c r="G24" i="1"/>
  <c r="H23" i="1"/>
  <c r="I23" i="1"/>
  <c r="G23" i="1"/>
  <c r="H22" i="1"/>
  <c r="I22" i="1"/>
  <c r="G22" i="1"/>
  <c r="H18" i="1"/>
  <c r="I18" i="1"/>
  <c r="G18" i="1"/>
  <c r="H17" i="1"/>
  <c r="I17" i="1"/>
  <c r="G17" i="1"/>
  <c r="H16" i="1"/>
  <c r="I16" i="1"/>
  <c r="G16" i="1"/>
  <c r="H15" i="1"/>
  <c r="I15" i="1"/>
  <c r="G15" i="1"/>
  <c r="H14" i="1"/>
  <c r="I14" i="1"/>
  <c r="G14" i="1"/>
  <c r="H12" i="1"/>
  <c r="I12" i="1"/>
  <c r="G12" i="1"/>
  <c r="H11" i="1"/>
  <c r="I11" i="1"/>
  <c r="G11" i="1"/>
  <c r="H10" i="1"/>
  <c r="I10" i="1"/>
  <c r="G10" i="1"/>
  <c r="H9" i="1"/>
  <c r="I9" i="1"/>
  <c r="G9" i="1"/>
  <c r="H8" i="1"/>
  <c r="I8" i="1"/>
  <c r="G8" i="1"/>
  <c r="H7" i="1"/>
  <c r="I7" i="1"/>
  <c r="G7" i="1"/>
  <c r="E7" i="1"/>
  <c r="H6" i="1"/>
  <c r="I6" i="1"/>
  <c r="G6" i="1"/>
  <c r="E6" i="1"/>
  <c r="H5" i="1"/>
  <c r="I5" i="1"/>
  <c r="G5" i="1"/>
  <c r="H4" i="1"/>
  <c r="I4" i="1"/>
  <c r="G4" i="1"/>
  <c r="H3" i="1"/>
  <c r="I3" i="1"/>
  <c r="G3" i="1"/>
  <c r="G2" i="1"/>
</calcChain>
</file>

<file path=xl/sharedStrings.xml><?xml version="1.0" encoding="utf-8"?>
<sst xmlns="http://schemas.openxmlformats.org/spreadsheetml/2006/main" count="416" uniqueCount="162">
  <si>
    <t>year observed</t>
  </si>
  <si>
    <t>previous 13C</t>
  </si>
  <si>
    <t>previous 14C (Delta)</t>
  </si>
  <si>
    <t>new Delta 14C</t>
    <phoneticPr fontId="0" type="noConversion"/>
  </si>
  <si>
    <t>corrected for decay since year of first incubation</t>
  </si>
  <si>
    <t>Fraction Modern</t>
  </si>
  <si>
    <t>Xiaomei's correction formula</t>
  </si>
  <si>
    <t>NWN1 OiOe</t>
  </si>
  <si>
    <t>NWN-2 OiOe</t>
  </si>
  <si>
    <t>How OiOe #6</t>
  </si>
  <si>
    <t>How OeOa #17</t>
  </si>
  <si>
    <t>NWN-1 Ap (bag)</t>
  </si>
  <si>
    <t>NWN-1 Ap #27</t>
  </si>
  <si>
    <t>NWN-2 Ap #34</t>
  </si>
  <si>
    <t>NWN-1 Ap #44</t>
  </si>
  <si>
    <t>TVA 4E</t>
  </si>
  <si>
    <t>TVA 6E</t>
  </si>
  <si>
    <t>TVA 8E</t>
  </si>
  <si>
    <t>Corey's samples</t>
  </si>
  <si>
    <t>TVA2B-C_iT2</t>
  </si>
  <si>
    <t>TVA3-C_iT1</t>
  </si>
  <si>
    <t>WB4B-C_iT2</t>
  </si>
  <si>
    <t>WB5-C_iT2</t>
  </si>
  <si>
    <t>WB8-C_iT2</t>
  </si>
  <si>
    <t>NWN-1 Bw1 (Bag)</t>
  </si>
  <si>
    <t>NWN Bw1 #37</t>
  </si>
  <si>
    <t>How tower Bh/s #5</t>
  </si>
  <si>
    <t>sheet 'Sheet 1_copy' copied from "Sues_archiveInc_data.xls" sheet 'Sheet 1' rows 2:25, cols A:I</t>
  </si>
  <si>
    <t>Date</t>
  </si>
  <si>
    <t>volume</t>
  </si>
  <si>
    <t>conc</t>
  </si>
  <si>
    <t>peak area</t>
  </si>
  <si>
    <t>peak height</t>
  </si>
  <si>
    <t>Jar number</t>
  </si>
  <si>
    <t>time</t>
  </si>
  <si>
    <t>How NC Bh/s #15</t>
  </si>
  <si>
    <t>sheet 'Dec25_copy' copied from "Sues_archiveInc_data.xls" sheet 'Dec25' rows 2:25, cols A:I</t>
  </si>
  <si>
    <t>48 hours plus 2 since sealed and purged</t>
  </si>
  <si>
    <t>grams dry weight</t>
  </si>
  <si>
    <t>rate in mgrams CO2 per gram dry weght per hour</t>
  </si>
  <si>
    <t>1 (MA)</t>
  </si>
  <si>
    <t>C1</t>
  </si>
  <si>
    <t>2 (MA)</t>
  </si>
  <si>
    <t>3 (MA)</t>
  </si>
  <si>
    <t>13 (MA)</t>
  </si>
  <si>
    <t>C2</t>
  </si>
  <si>
    <t>14 (MA)</t>
  </si>
  <si>
    <t>15 (MA)</t>
  </si>
  <si>
    <t>25 (MA)</t>
  </si>
  <si>
    <t>P1</t>
  </si>
  <si>
    <t>26 (MA)</t>
  </si>
  <si>
    <t>27 (MA)</t>
  </si>
  <si>
    <t>37 (MA)</t>
  </si>
  <si>
    <t>P2</t>
  </si>
  <si>
    <t>38 (MA)</t>
  </si>
  <si>
    <t>39 (MA)</t>
  </si>
  <si>
    <t>4 (MB)</t>
  </si>
  <si>
    <t>5 (MB)</t>
  </si>
  <si>
    <t>6 (MB)</t>
  </si>
  <si>
    <t>16 (MB)</t>
  </si>
  <si>
    <t>17 (MB)</t>
  </si>
  <si>
    <t>18 (MB)</t>
  </si>
  <si>
    <t>28 (MB)</t>
  </si>
  <si>
    <t>29 (MB)</t>
  </si>
  <si>
    <t>30 (MB)</t>
  </si>
  <si>
    <t>40 (MB)</t>
  </si>
  <si>
    <t>41 (MB)</t>
  </si>
  <si>
    <t>42 (MB)</t>
  </si>
  <si>
    <t>Std</t>
  </si>
  <si>
    <t>7 (SA)</t>
  </si>
  <si>
    <t>8 (SA)</t>
  </si>
  <si>
    <t>9 (SA)</t>
  </si>
  <si>
    <t>19 (SA)</t>
  </si>
  <si>
    <t>20 (SA)</t>
  </si>
  <si>
    <t>21 (SA)</t>
  </si>
  <si>
    <t>31 (SA)</t>
  </si>
  <si>
    <t>32 (SA)</t>
  </si>
  <si>
    <t>33 (SA)</t>
  </si>
  <si>
    <t>43 (SA)</t>
  </si>
  <si>
    <t>44 (SA)</t>
  </si>
  <si>
    <t>45 (SA)</t>
  </si>
  <si>
    <t>10 (SB)</t>
  </si>
  <si>
    <t>11 (SB)</t>
  </si>
  <si>
    <t>12 (SB)</t>
  </si>
  <si>
    <t>22 (SB)</t>
  </si>
  <si>
    <t>23 (SB)</t>
  </si>
  <si>
    <t>24 (SB)</t>
  </si>
  <si>
    <t>34 (SB)</t>
  </si>
  <si>
    <t>35 (SB)</t>
  </si>
  <si>
    <t>36 (SB)</t>
  </si>
  <si>
    <t>46 (SB)</t>
  </si>
  <si>
    <t>47 (SB)</t>
  </si>
  <si>
    <t>48 (SB)</t>
  </si>
  <si>
    <t>52 (MB)</t>
  </si>
  <si>
    <t>C</t>
  </si>
  <si>
    <t>53 (MB)</t>
  </si>
  <si>
    <t>got a little bit of air in jar - stopcock came loose when purging</t>
  </si>
  <si>
    <t>54 (MB)</t>
  </si>
  <si>
    <t>58 (SB)</t>
  </si>
  <si>
    <t>59 (SB)</t>
  </si>
  <si>
    <t>60 (SB)</t>
  </si>
  <si>
    <t>76 (MB-P)</t>
  </si>
  <si>
    <t>P</t>
  </si>
  <si>
    <t>77 (MB-P)</t>
  </si>
  <si>
    <t>78 (MB-P)</t>
  </si>
  <si>
    <t>82 (SB-P)</t>
  </si>
  <si>
    <t>83 (SB-P)</t>
  </si>
  <si>
    <t>84 (SB-P)</t>
  </si>
  <si>
    <t>test jar</t>
  </si>
  <si>
    <t>test jar 64</t>
  </si>
  <si>
    <t>test jar 65</t>
  </si>
  <si>
    <t>test jar 66</t>
  </si>
  <si>
    <t>120 hours + 4.5 hours since sealed</t>
  </si>
  <si>
    <t>concentration 3 days ago</t>
  </si>
  <si>
    <t>rate last 3 days</t>
  </si>
  <si>
    <t>rate 1st 3 days</t>
  </si>
  <si>
    <t>amount (milliters) for 3000 pppm in vial</t>
  </si>
  <si>
    <t>Old UCIT #</t>
  </si>
  <si>
    <t>bag (same as 5483)</t>
  </si>
  <si>
    <t>UCIT5455</t>
  </si>
  <si>
    <t>UCIT5464</t>
  </si>
  <si>
    <t>UCIT5481</t>
  </si>
  <si>
    <t>not sure about ID</t>
  </si>
  <si>
    <t>duplicates for 5459/60</t>
  </si>
  <si>
    <t>duplicates for 5459/61</t>
  </si>
  <si>
    <t>UCIT5459</t>
  </si>
  <si>
    <t>UCIT5460</t>
  </si>
  <si>
    <t>duplicate for 5461</t>
  </si>
  <si>
    <t>UCIT5461</t>
  </si>
  <si>
    <t>UCIT5470</t>
  </si>
  <si>
    <t>UCIT5474</t>
  </si>
  <si>
    <t>UCIT8863</t>
  </si>
  <si>
    <t>UCIT8865</t>
  </si>
  <si>
    <t>UCIT8866</t>
  </si>
  <si>
    <t>13;10</t>
  </si>
  <si>
    <t>?? Checked twice!! Maybe Dec 27 value is off</t>
  </si>
  <si>
    <t>sheet 'Dec_30_copy' copied from "Sues_archiveInc_data.xls" sheet 'Dec_30' verbatim (no graph)</t>
  </si>
  <si>
    <t>sheet 'Dec27_2009_copy' copied from "Sues_archiveInc_data.xls" sheet 'Dec27_2009' verbatim (no graph)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</si>
  <si>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</si>
  <si>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</si>
  <si>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</si>
  <si>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</si>
  <si>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</si>
  <si>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</si>
  <si>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</si>
  <si>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</si>
  <si>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</si>
  <si>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</si>
  <si>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Period</t>
  </si>
  <si>
    <t>time_d</t>
  </si>
  <si>
    <t>mgCO2_jar</t>
  </si>
  <si>
    <t>time_d_cmtv</t>
  </si>
  <si>
    <t>d13c</t>
  </si>
  <si>
    <t>d14c</t>
  </si>
  <si>
    <t>d14c_err</t>
  </si>
  <si>
    <t>OG.SN</t>
  </si>
  <si>
    <t>inc</t>
  </si>
  <si>
    <t>dw_g</t>
  </si>
  <si>
    <t>SampleName</t>
  </si>
  <si>
    <t>d14C_t1</t>
  </si>
  <si>
    <t>YearSampled</t>
  </si>
  <si>
    <t>FM_t2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</si>
</sst>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h:mm:ss;@"/>
  </numFmts>
  <fonts count="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Verdana"/>
    </font>
    <font>
      <sz val="10"/>
      <name val="Arial"/>
      <family val="2"/>
    </font>
    <font>
      <sz val="9"/>
      <name val="Geneva"/>
      <family val="2"/>
    </font>
    <font>
      <sz val="10"/>
      <name val="Genev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indexed="206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2" applyFont="1"/>
    <xf numFmtId="164" fontId="4" fillId="2" borderId="0" xfId="3" applyNumberFormat="1" applyFont="1" applyFill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164" fontId="5" fillId="2" borderId="0" xfId="3" applyNumberFormat="1" applyFont="1" applyFill="1" applyAlignment="1">
      <alignment horizontal="center"/>
    </xf>
    <xf numFmtId="165" fontId="0" fillId="0" borderId="0" xfId="0" applyNumberFormat="1"/>
    <xf numFmtId="16" fontId="0" fillId="0" borderId="0" xfId="0" applyNumberForma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 applyFill="1"/>
    <xf numFmtId="0" fontId="0" fillId="3" borderId="0" xfId="0" applyFill="1"/>
    <xf numFmtId="2" fontId="0" fillId="3" borderId="0" xfId="0" applyNumberFormat="1" applyFill="1"/>
    <xf numFmtId="2" fontId="0" fillId="2" borderId="0" xfId="0" applyNumberFormat="1" applyFill="1"/>
    <xf numFmtId="10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1" fontId="0" fillId="2" borderId="0" xfId="0" applyNumberFormat="1" applyFill="1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8" fillId="0" borderId="0" xfId="0" applyFont="1"/>
  </cellXfs>
  <cellStyles count="18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2"/>
    <cellStyle name="Normal_Workbook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/arc-inc/data/external/trumbore_misc_2020-03-27/Sues_archiveInc_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25"/>
      <sheetName val="Dec27_2009"/>
      <sheetName val="Dec_30"/>
      <sheetName val="Sheet1"/>
    </sheetNames>
    <sheetDataSet>
      <sheetData sheetId="0"/>
      <sheetData sheetId="1">
        <row r="23">
          <cell r="G23">
            <v>0.32328000000000007</v>
          </cell>
          <cell r="J23">
            <v>0.32267226616536032</v>
          </cell>
        </row>
        <row r="24">
          <cell r="G24">
            <v>0.62203999999999993</v>
          </cell>
          <cell r="J24">
            <v>0.25890732102413344</v>
          </cell>
        </row>
        <row r="25">
          <cell r="G25">
            <v>0.22758000000000003</v>
          </cell>
          <cell r="J25">
            <v>0.19901552741928918</v>
          </cell>
        </row>
        <row r="26">
          <cell r="G26">
            <v>0.16905999999999999</v>
          </cell>
          <cell r="J26">
            <v>9.746632116407794E-2</v>
          </cell>
        </row>
        <row r="27">
          <cell r="G27">
            <v>9.0266666666666676E-2</v>
          </cell>
          <cell r="J27">
            <v>1.2474190489093619E-2</v>
          </cell>
        </row>
        <row r="28">
          <cell r="G28">
            <v>0.10236666666666666</v>
          </cell>
          <cell r="J28">
            <v>1.3486547884588406E-2</v>
          </cell>
        </row>
        <row r="29">
          <cell r="G29">
            <v>0.17122666666666667</v>
          </cell>
          <cell r="J29">
            <v>2.1092047389006469E-2</v>
          </cell>
        </row>
        <row r="30">
          <cell r="G30">
            <v>0.11188533333333334</v>
          </cell>
          <cell r="J30">
            <v>2.1023599616159964E-2</v>
          </cell>
        </row>
        <row r="31">
          <cell r="G31">
            <v>0.16615000000000002</v>
          </cell>
          <cell r="J31">
            <v>1.9020103875914216E-2</v>
          </cell>
        </row>
        <row r="32">
          <cell r="G32">
            <v>5.0264999999999997E-2</v>
          </cell>
          <cell r="J32">
            <v>4.5622634453342673E-3</v>
          </cell>
        </row>
        <row r="33">
          <cell r="G33">
            <v>0.16758000000000003</v>
          </cell>
          <cell r="J33">
            <v>2.115794525470199E-2</v>
          </cell>
        </row>
        <row r="34">
          <cell r="G34">
            <v>9.7086666666666668E-2</v>
          </cell>
          <cell r="J34">
            <v>9.7567798097642402E-3</v>
          </cell>
        </row>
        <row r="35">
          <cell r="G35">
            <v>0.16895333333333337</v>
          </cell>
          <cell r="J35">
            <v>1.5748547794133153E-2</v>
          </cell>
        </row>
        <row r="36">
          <cell r="G36">
            <v>0.23744666666666669</v>
          </cell>
          <cell r="J36">
            <v>2.3096267016263848E-2</v>
          </cell>
        </row>
        <row r="37">
          <cell r="G37">
            <v>0.67539199999999999</v>
          </cell>
          <cell r="J37">
            <v>8.1217805642633215E-2</v>
          </cell>
        </row>
      </sheetData>
      <sheetData sheetId="2">
        <row r="3">
          <cell r="D3">
            <v>7.6</v>
          </cell>
          <cell r="E3">
            <v>9.4</v>
          </cell>
          <cell r="F3">
            <v>0.08</v>
          </cell>
        </row>
        <row r="4">
          <cell r="F4">
            <v>7.0000000000000007E-2</v>
          </cell>
        </row>
        <row r="5">
          <cell r="D5">
            <v>53.1</v>
          </cell>
          <cell r="E5">
            <v>27</v>
          </cell>
          <cell r="F5">
            <v>0.14000000000000001</v>
          </cell>
        </row>
        <row r="6">
          <cell r="F6">
            <v>0.14000000000000001</v>
          </cell>
        </row>
        <row r="7">
          <cell r="F7">
            <v>0.28000000000000003</v>
          </cell>
        </row>
        <row r="8">
          <cell r="D8">
            <v>345.3</v>
          </cell>
          <cell r="E8">
            <v>150.1</v>
          </cell>
          <cell r="F8">
            <v>0.8</v>
          </cell>
        </row>
        <row r="9">
          <cell r="D9">
            <v>153.69999999999999</v>
          </cell>
          <cell r="E9">
            <v>67.55</v>
          </cell>
          <cell r="F9">
            <v>0.4</v>
          </cell>
        </row>
        <row r="10">
          <cell r="D10">
            <v>276.39999999999998</v>
          </cell>
          <cell r="E10">
            <v>123.3</v>
          </cell>
          <cell r="F10">
            <v>0.60000000000000009</v>
          </cell>
        </row>
        <row r="11">
          <cell r="D11">
            <v>35</v>
          </cell>
          <cell r="E11">
            <v>23.5</v>
          </cell>
          <cell r="F11">
            <v>0.2</v>
          </cell>
        </row>
        <row r="12">
          <cell r="D12">
            <v>484.8</v>
          </cell>
          <cell r="E12">
            <v>181</v>
          </cell>
          <cell r="F12">
            <v>1</v>
          </cell>
        </row>
        <row r="13">
          <cell r="F13">
            <v>1.6</v>
          </cell>
        </row>
        <row r="14">
          <cell r="D14">
            <v>635.79999999999995</v>
          </cell>
          <cell r="E14">
            <v>257.8</v>
          </cell>
          <cell r="F14">
            <v>1.5089999999999999</v>
          </cell>
        </row>
        <row r="15">
          <cell r="D15">
            <v>1435</v>
          </cell>
          <cell r="E15">
            <v>620.6</v>
          </cell>
          <cell r="F15">
            <v>3.0179999999999998</v>
          </cell>
        </row>
        <row r="16">
          <cell r="F16">
            <v>1.7353499999999997</v>
          </cell>
        </row>
        <row r="17">
          <cell r="F17">
            <v>4.5269999999999992</v>
          </cell>
        </row>
        <row r="18">
          <cell r="F18">
            <v>4.5269999999999992</v>
          </cell>
        </row>
        <row r="19">
          <cell r="F19">
            <v>6.0359999999999996</v>
          </cell>
        </row>
        <row r="20">
          <cell r="F20">
            <v>6.0359999999999996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baseColWidth="10" defaultRowHeight="15" x14ac:dyDescent="0"/>
  <sheetData>
    <row r="1" spans="1:1">
      <c r="A1" t="s">
        <v>27</v>
      </c>
    </row>
    <row r="2" spans="1:1">
      <c r="A2" t="s">
        <v>36</v>
      </c>
    </row>
    <row r="3" spans="1:1">
      <c r="A3" t="s">
        <v>137</v>
      </c>
    </row>
    <row r="4" spans="1:1">
      <c r="A4" t="s">
        <v>136</v>
      </c>
    </row>
    <row r="5" spans="1:1">
      <c r="A5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I21" sqref="I21"/>
    </sheetView>
  </sheetViews>
  <sheetFormatPr baseColWidth="10" defaultRowHeight="15" x14ac:dyDescent="0"/>
  <sheetData>
    <row r="1" spans="1:6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3" spans="1:6">
      <c r="A3">
        <v>40172</v>
      </c>
      <c r="B3">
        <v>2</v>
      </c>
      <c r="C3">
        <v>0.04</v>
      </c>
      <c r="D3">
        <v>24</v>
      </c>
      <c r="E3">
        <v>15</v>
      </c>
      <c r="F3">
        <v>0.08</v>
      </c>
    </row>
    <row r="4" spans="1:6">
      <c r="B4">
        <v>2</v>
      </c>
      <c r="C4">
        <v>3.5000000000000003E-2</v>
      </c>
      <c r="F4">
        <v>7.0000000000000007E-2</v>
      </c>
    </row>
    <row r="5" spans="1:6">
      <c r="B5">
        <v>4</v>
      </c>
      <c r="C5">
        <v>3.5000000000000003E-2</v>
      </c>
      <c r="F5">
        <v>0.14000000000000001</v>
      </c>
    </row>
    <row r="6" spans="1:6">
      <c r="B6">
        <v>4</v>
      </c>
      <c r="C6">
        <v>3.5000000000000003E-2</v>
      </c>
      <c r="F6">
        <v>0.14000000000000001</v>
      </c>
    </row>
    <row r="7" spans="1:6">
      <c r="B7">
        <v>8</v>
      </c>
      <c r="C7">
        <v>3.5000000000000003E-2</v>
      </c>
      <c r="F7">
        <v>0.28000000000000003</v>
      </c>
    </row>
    <row r="8" spans="1:6">
      <c r="B8">
        <v>5</v>
      </c>
      <c r="C8">
        <v>0.2</v>
      </c>
      <c r="D8">
        <v>494.7</v>
      </c>
      <c r="E8">
        <v>134.4</v>
      </c>
      <c r="F8">
        <v>1</v>
      </c>
    </row>
    <row r="9" spans="1:6">
      <c r="B9">
        <v>3</v>
      </c>
      <c r="C9">
        <v>0.2</v>
      </c>
      <c r="D9">
        <v>257.2</v>
      </c>
      <c r="E9">
        <v>109.6</v>
      </c>
      <c r="F9">
        <v>0.60000000000000009</v>
      </c>
    </row>
    <row r="10" spans="1:6">
      <c r="B10">
        <v>4</v>
      </c>
      <c r="C10">
        <v>0.2</v>
      </c>
      <c r="D10">
        <v>385.9</v>
      </c>
      <c r="E10">
        <v>153.1</v>
      </c>
      <c r="F10">
        <v>0.8</v>
      </c>
    </row>
    <row r="11" spans="1:6">
      <c r="B11">
        <v>5</v>
      </c>
      <c r="C11">
        <v>0.2</v>
      </c>
      <c r="D11">
        <v>492.2</v>
      </c>
      <c r="E11">
        <v>165.6</v>
      </c>
      <c r="F11">
        <v>1</v>
      </c>
    </row>
    <row r="12" spans="1:6">
      <c r="B12">
        <v>6</v>
      </c>
      <c r="C12">
        <v>0.2</v>
      </c>
      <c r="D12">
        <v>549.20000000000005</v>
      </c>
      <c r="E12">
        <v>132.80000000000001</v>
      </c>
      <c r="F12">
        <v>1.2000000000000002</v>
      </c>
    </row>
    <row r="13" spans="1:6">
      <c r="B13">
        <v>8</v>
      </c>
      <c r="C13">
        <v>0.2</v>
      </c>
      <c r="D13">
        <v>709.7</v>
      </c>
      <c r="E13">
        <v>174.7</v>
      </c>
      <c r="F13">
        <v>1.6</v>
      </c>
    </row>
    <row r="14" spans="1:6">
      <c r="B14">
        <v>1</v>
      </c>
      <c r="C14">
        <v>1.5089999999999999</v>
      </c>
      <c r="D14">
        <v>590.70000000000005</v>
      </c>
      <c r="E14">
        <v>254</v>
      </c>
      <c r="F14">
        <v>1.5089999999999999</v>
      </c>
    </row>
    <row r="15" spans="1:6">
      <c r="B15">
        <v>2</v>
      </c>
      <c r="C15">
        <v>1.5089999999999999</v>
      </c>
      <c r="D15">
        <v>1395</v>
      </c>
      <c r="E15">
        <v>569.29999999999995</v>
      </c>
      <c r="F15">
        <v>3.0179999999999998</v>
      </c>
    </row>
    <row r="16" spans="1:6">
      <c r="B16">
        <v>2</v>
      </c>
      <c r="C16">
        <v>1.5089999999999999</v>
      </c>
      <c r="D16">
        <v>1333</v>
      </c>
      <c r="E16">
        <v>609</v>
      </c>
      <c r="F16">
        <v>3.0179999999999998</v>
      </c>
    </row>
    <row r="17" spans="1:6">
      <c r="B17">
        <v>3</v>
      </c>
      <c r="C17">
        <v>1.5089999999999999</v>
      </c>
      <c r="F17">
        <v>4.5269999999999992</v>
      </c>
    </row>
    <row r="18" spans="1:6">
      <c r="B18">
        <v>3</v>
      </c>
      <c r="C18">
        <v>1.5089999999999999</v>
      </c>
      <c r="D18">
        <v>1985</v>
      </c>
      <c r="E18">
        <v>869.5</v>
      </c>
      <c r="F18">
        <v>4.5269999999999992</v>
      </c>
    </row>
    <row r="19" spans="1:6">
      <c r="B19">
        <v>4</v>
      </c>
      <c r="C19">
        <v>1.5089999999999999</v>
      </c>
      <c r="F19">
        <v>6.0359999999999996</v>
      </c>
    </row>
    <row r="20" spans="1:6">
      <c r="B20">
        <v>4</v>
      </c>
      <c r="C20">
        <v>1.5089999999999999</v>
      </c>
      <c r="F20">
        <v>6.0359999999999996</v>
      </c>
    </row>
    <row r="22" spans="1:6">
      <c r="A22" t="s">
        <v>33</v>
      </c>
      <c r="B22" t="s">
        <v>28</v>
      </c>
      <c r="C22" t="s">
        <v>34</v>
      </c>
      <c r="D22" t="s">
        <v>29</v>
      </c>
      <c r="E22" t="s">
        <v>31</v>
      </c>
      <c r="F22" t="s">
        <v>32</v>
      </c>
    </row>
    <row r="23" spans="1:6">
      <c r="A23" t="s">
        <v>7</v>
      </c>
      <c r="B23">
        <v>40172</v>
      </c>
      <c r="C23">
        <v>0.3979166666666667</v>
      </c>
      <c r="D23">
        <v>3</v>
      </c>
      <c r="E23">
        <v>1.1000000000000001</v>
      </c>
      <c r="F23">
        <v>1.9</v>
      </c>
    </row>
    <row r="24" spans="1:6">
      <c r="A24" t="s">
        <v>8</v>
      </c>
      <c r="C24">
        <v>0.39861111111111108</v>
      </c>
      <c r="D24">
        <v>2.5</v>
      </c>
      <c r="E24">
        <v>1.7</v>
      </c>
      <c r="F24">
        <v>2.1</v>
      </c>
    </row>
    <row r="25" spans="1:6">
      <c r="A25" t="s">
        <v>9</v>
      </c>
      <c r="C25">
        <v>0.4</v>
      </c>
      <c r="D25">
        <v>3</v>
      </c>
      <c r="E25">
        <v>1.7</v>
      </c>
      <c r="F25">
        <v>2.1</v>
      </c>
    </row>
    <row r="26" spans="1:6">
      <c r="A26" t="s">
        <v>10</v>
      </c>
      <c r="C26">
        <v>0.4</v>
      </c>
      <c r="D26">
        <v>3</v>
      </c>
      <c r="E26">
        <v>0</v>
      </c>
      <c r="F26">
        <v>1</v>
      </c>
    </row>
    <row r="27" spans="1:6">
      <c r="A27" t="s">
        <v>11</v>
      </c>
      <c r="C27">
        <v>0.4</v>
      </c>
      <c r="D27">
        <v>3</v>
      </c>
      <c r="E27">
        <v>0</v>
      </c>
      <c r="F27">
        <v>1</v>
      </c>
    </row>
    <row r="28" spans="1:6">
      <c r="A28" t="s">
        <v>12</v>
      </c>
      <c r="C28">
        <v>0.4</v>
      </c>
      <c r="D28">
        <v>3</v>
      </c>
      <c r="E28">
        <v>0</v>
      </c>
      <c r="F28">
        <v>1</v>
      </c>
    </row>
    <row r="29" spans="1:6">
      <c r="A29" t="s">
        <v>13</v>
      </c>
      <c r="C29">
        <v>0.4</v>
      </c>
      <c r="D29">
        <v>3</v>
      </c>
      <c r="E29">
        <v>0</v>
      </c>
      <c r="F29">
        <v>1</v>
      </c>
    </row>
    <row r="30" spans="1:6">
      <c r="A30" t="s">
        <v>14</v>
      </c>
      <c r="C30">
        <v>0.4</v>
      </c>
      <c r="D30">
        <v>3</v>
      </c>
      <c r="E30">
        <v>0</v>
      </c>
      <c r="F30">
        <v>1</v>
      </c>
    </row>
    <row r="31" spans="1:6">
      <c r="A31" t="s">
        <v>24</v>
      </c>
      <c r="C31">
        <v>0.4</v>
      </c>
      <c r="D31">
        <v>3</v>
      </c>
      <c r="E31">
        <v>0</v>
      </c>
      <c r="F31">
        <v>1</v>
      </c>
    </row>
    <row r="32" spans="1:6">
      <c r="A32" t="s">
        <v>25</v>
      </c>
      <c r="C32">
        <v>0.4</v>
      </c>
      <c r="D32">
        <v>3</v>
      </c>
      <c r="E32">
        <v>0</v>
      </c>
      <c r="F32">
        <v>1</v>
      </c>
    </row>
    <row r="33" spans="1:6">
      <c r="A33" t="s">
        <v>26</v>
      </c>
      <c r="C33">
        <v>0.4</v>
      </c>
      <c r="D33">
        <v>3</v>
      </c>
      <c r="E33">
        <v>0.08</v>
      </c>
      <c r="F33">
        <v>1.2</v>
      </c>
    </row>
    <row r="34" spans="1:6">
      <c r="A34" t="s">
        <v>35</v>
      </c>
      <c r="C34">
        <v>0.40277777777777773</v>
      </c>
      <c r="D34">
        <v>3</v>
      </c>
      <c r="E34">
        <v>0</v>
      </c>
      <c r="F34">
        <v>1</v>
      </c>
    </row>
    <row r="35" spans="1:6">
      <c r="A35" t="s">
        <v>15</v>
      </c>
      <c r="C35">
        <v>0.40277777777777773</v>
      </c>
      <c r="D35">
        <v>3</v>
      </c>
      <c r="E35">
        <v>0</v>
      </c>
      <c r="F35">
        <v>1</v>
      </c>
    </row>
    <row r="36" spans="1:6">
      <c r="A36" t="s">
        <v>16</v>
      </c>
      <c r="C36">
        <v>0.40277777777777773</v>
      </c>
      <c r="D36">
        <v>3</v>
      </c>
      <c r="E36">
        <v>0</v>
      </c>
      <c r="F36">
        <v>1</v>
      </c>
    </row>
    <row r="37" spans="1:6">
      <c r="A37" t="s">
        <v>17</v>
      </c>
      <c r="C37">
        <v>0.40625</v>
      </c>
      <c r="D37">
        <v>3</v>
      </c>
      <c r="E37">
        <v>0</v>
      </c>
      <c r="F3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G23" sqref="G23"/>
    </sheetView>
  </sheetViews>
  <sheetFormatPr baseColWidth="10" defaultRowHeight="15" x14ac:dyDescent="0"/>
  <sheetData>
    <row r="1" spans="1:6">
      <c r="A1" t="s">
        <v>28</v>
      </c>
      <c r="B1" t="s">
        <v>29</v>
      </c>
      <c r="C1" t="s">
        <v>30</v>
      </c>
      <c r="D1" t="s">
        <v>31</v>
      </c>
      <c r="E1" s="9" t="s">
        <v>32</v>
      </c>
      <c r="F1" s="9"/>
    </row>
    <row r="2" spans="1:6">
      <c r="A2" s="10"/>
      <c r="E2" s="9"/>
      <c r="F2" s="9"/>
    </row>
    <row r="3" spans="1:6">
      <c r="A3" s="10">
        <v>40172</v>
      </c>
      <c r="B3">
        <v>2</v>
      </c>
      <c r="C3">
        <v>0.04</v>
      </c>
      <c r="D3">
        <v>39.700000000000003</v>
      </c>
      <c r="E3">
        <v>14.2</v>
      </c>
      <c r="F3" s="9">
        <f t="shared" ref="F3:F20" si="0">B3*C3</f>
        <v>0.08</v>
      </c>
    </row>
    <row r="4" spans="1:6">
      <c r="A4" s="11"/>
      <c r="B4">
        <v>2</v>
      </c>
      <c r="C4">
        <v>3.5000000000000003E-2</v>
      </c>
      <c r="F4" s="9">
        <f t="shared" si="0"/>
        <v>7.0000000000000007E-2</v>
      </c>
    </row>
    <row r="5" spans="1:6">
      <c r="A5" s="10"/>
      <c r="B5">
        <v>4</v>
      </c>
      <c r="C5">
        <v>3.5000000000000003E-2</v>
      </c>
      <c r="F5" s="9">
        <f t="shared" si="0"/>
        <v>0.14000000000000001</v>
      </c>
    </row>
    <row r="6" spans="1:6">
      <c r="A6" s="11"/>
      <c r="B6">
        <v>4</v>
      </c>
      <c r="C6">
        <v>3.5000000000000003E-2</v>
      </c>
      <c r="F6" s="9">
        <f t="shared" si="0"/>
        <v>0.14000000000000001</v>
      </c>
    </row>
    <row r="7" spans="1:6">
      <c r="A7" s="10"/>
      <c r="B7">
        <v>8</v>
      </c>
      <c r="C7">
        <v>3.5000000000000003E-2</v>
      </c>
      <c r="F7" s="9">
        <f t="shared" si="0"/>
        <v>0.28000000000000003</v>
      </c>
    </row>
    <row r="8" spans="1:6">
      <c r="A8" s="10"/>
      <c r="B8">
        <v>1</v>
      </c>
      <c r="C8">
        <v>0.2</v>
      </c>
      <c r="D8">
        <v>66.7</v>
      </c>
      <c r="E8">
        <v>31.8</v>
      </c>
      <c r="F8" s="9">
        <f t="shared" si="0"/>
        <v>0.2</v>
      </c>
    </row>
    <row r="9" spans="1:6">
      <c r="A9" s="10"/>
      <c r="B9">
        <v>2</v>
      </c>
      <c r="C9">
        <v>0.2</v>
      </c>
      <c r="D9">
        <v>104.8</v>
      </c>
      <c r="E9">
        <v>58.8</v>
      </c>
      <c r="F9" s="9">
        <f t="shared" si="0"/>
        <v>0.4</v>
      </c>
    </row>
    <row r="10" spans="1:6">
      <c r="A10" s="10"/>
      <c r="B10">
        <v>3</v>
      </c>
      <c r="C10">
        <v>0.2</v>
      </c>
      <c r="D10">
        <v>201.4</v>
      </c>
      <c r="E10">
        <v>101.3</v>
      </c>
      <c r="F10" s="9">
        <f t="shared" si="0"/>
        <v>0.60000000000000009</v>
      </c>
    </row>
    <row r="11" spans="1:6">
      <c r="A11" s="10"/>
      <c r="B11">
        <v>5</v>
      </c>
      <c r="C11">
        <v>0.2</v>
      </c>
      <c r="D11">
        <v>500.3</v>
      </c>
      <c r="E11">
        <v>171.6</v>
      </c>
      <c r="F11" s="9">
        <f t="shared" si="0"/>
        <v>1</v>
      </c>
    </row>
    <row r="12" spans="1:6">
      <c r="A12" s="10"/>
      <c r="B12">
        <v>6</v>
      </c>
      <c r="C12">
        <v>0.2</v>
      </c>
      <c r="D12">
        <v>573.79999999999995</v>
      </c>
      <c r="E12">
        <v>128.19999999999999</v>
      </c>
      <c r="F12" s="9">
        <f t="shared" si="0"/>
        <v>1.2000000000000002</v>
      </c>
    </row>
    <row r="13" spans="1:6">
      <c r="A13" s="10"/>
      <c r="B13">
        <v>8</v>
      </c>
      <c r="C13">
        <v>0.2</v>
      </c>
      <c r="F13" s="9">
        <f t="shared" si="0"/>
        <v>1.6</v>
      </c>
    </row>
    <row r="14" spans="1:6">
      <c r="A14" s="10"/>
      <c r="B14">
        <v>1</v>
      </c>
      <c r="C14">
        <v>1.5089999999999999</v>
      </c>
      <c r="D14">
        <v>622</v>
      </c>
      <c r="E14">
        <v>260</v>
      </c>
      <c r="F14" s="9">
        <f t="shared" si="0"/>
        <v>1.5089999999999999</v>
      </c>
    </row>
    <row r="15" spans="1:6">
      <c r="A15" s="10"/>
      <c r="B15">
        <v>2</v>
      </c>
      <c r="C15">
        <v>1.5089999999999999</v>
      </c>
      <c r="D15">
        <v>1422.5</v>
      </c>
      <c r="E15">
        <v>610.70000000000005</v>
      </c>
      <c r="F15" s="9">
        <f t="shared" si="0"/>
        <v>3.0179999999999998</v>
      </c>
    </row>
    <row r="16" spans="1:6">
      <c r="A16" s="10"/>
      <c r="B16">
        <v>2</v>
      </c>
      <c r="C16">
        <v>1.5089999999999999</v>
      </c>
      <c r="D16">
        <v>1351</v>
      </c>
      <c r="E16">
        <v>551.5</v>
      </c>
      <c r="F16" s="9">
        <f t="shared" si="0"/>
        <v>3.0179999999999998</v>
      </c>
    </row>
    <row r="17" spans="1:10">
      <c r="A17" s="10"/>
      <c r="B17">
        <v>3</v>
      </c>
      <c r="C17">
        <v>1.5089999999999999</v>
      </c>
      <c r="D17">
        <v>2000</v>
      </c>
      <c r="E17">
        <v>874.4</v>
      </c>
      <c r="F17" s="9">
        <f t="shared" si="0"/>
        <v>4.5269999999999992</v>
      </c>
    </row>
    <row r="18" spans="1:10">
      <c r="A18" s="10"/>
      <c r="B18">
        <v>3</v>
      </c>
      <c r="C18">
        <v>1.5089999999999999</v>
      </c>
      <c r="D18">
        <v>2216.8000000000002</v>
      </c>
      <c r="E18">
        <v>850.9</v>
      </c>
      <c r="F18" s="9">
        <f t="shared" si="0"/>
        <v>4.5269999999999992</v>
      </c>
      <c r="G18">
        <f>SLOPE(C3:C20,F3:F20)</f>
        <v>0.28881060788009688</v>
      </c>
      <c r="H18">
        <f>INTERCEPT(C3:C20,F3:F20)</f>
        <v>0.11185569391524375</v>
      </c>
    </row>
    <row r="19" spans="1:10">
      <c r="A19" s="10"/>
      <c r="B19">
        <v>4</v>
      </c>
      <c r="C19">
        <v>1.5089999999999999</v>
      </c>
      <c r="F19" s="9">
        <f t="shared" si="0"/>
        <v>6.0359999999999996</v>
      </c>
      <c r="G19">
        <f>SLOPE(C3:C20,E3:E20)</f>
        <v>1.8479800016796008E-3</v>
      </c>
      <c r="H19">
        <f>INTERCEPT(C3:C20,E3:E20)</f>
        <v>0.16668998744215879</v>
      </c>
    </row>
    <row r="20" spans="1:10">
      <c r="A20" s="10"/>
      <c r="B20">
        <v>4</v>
      </c>
      <c r="C20">
        <v>1.5089999999999999</v>
      </c>
      <c r="F20" s="9">
        <f t="shared" si="0"/>
        <v>6.0359999999999996</v>
      </c>
      <c r="G20">
        <f>SLOPE(C3:C20,D3:D20)</f>
        <v>7.470138907716197E-4</v>
      </c>
      <c r="H20">
        <f>INTERCEPT(C3:C20,D3:D20)</f>
        <v>0.16253823707900306</v>
      </c>
    </row>
    <row r="21" spans="1:10">
      <c r="A21" s="10"/>
      <c r="E21" s="9"/>
      <c r="F21" s="9"/>
      <c r="G21">
        <f>50/24</f>
        <v>2.0833333333333335</v>
      </c>
      <c r="H21" t="s">
        <v>37</v>
      </c>
    </row>
    <row r="22" spans="1:10">
      <c r="A22" t="s">
        <v>33</v>
      </c>
      <c r="B22" t="s">
        <v>28</v>
      </c>
      <c r="C22" t="s">
        <v>34</v>
      </c>
      <c r="D22" t="s">
        <v>29</v>
      </c>
      <c r="E22" s="9" t="s">
        <v>31</v>
      </c>
      <c r="F22" s="9" t="s">
        <v>32</v>
      </c>
      <c r="G22" t="s">
        <v>30</v>
      </c>
      <c r="H22" t="s">
        <v>38</v>
      </c>
      <c r="J22" t="s">
        <v>39</v>
      </c>
    </row>
    <row r="23" spans="1:10">
      <c r="A23" t="s">
        <v>7</v>
      </c>
      <c r="B23" s="11">
        <v>40174</v>
      </c>
      <c r="C23" s="12">
        <v>0.375</v>
      </c>
      <c r="D23">
        <v>2</v>
      </c>
      <c r="E23">
        <v>275.3</v>
      </c>
      <c r="F23">
        <v>127.8</v>
      </c>
      <c r="G23" s="13">
        <f>(E23*0.0022+0.0409)/D23</f>
        <v>0.32328000000000007</v>
      </c>
      <c r="H23">
        <v>9.32</v>
      </c>
      <c r="I23">
        <v>938</v>
      </c>
      <c r="J23" s="9">
        <f>(G23*I23*12)/(H23*50*24.2)</f>
        <v>0.32267226616536032</v>
      </c>
    </row>
    <row r="24" spans="1:10">
      <c r="A24" t="s">
        <v>8</v>
      </c>
      <c r="C24" s="12">
        <v>0.375</v>
      </c>
      <c r="D24">
        <v>2</v>
      </c>
      <c r="E24">
        <v>546.9</v>
      </c>
      <c r="F24">
        <v>256.60000000000002</v>
      </c>
      <c r="G24" s="13">
        <f t="shared" ref="G24:G37" si="1">(E24*0.0022+0.0409)/D24</f>
        <v>0.62203999999999993</v>
      </c>
      <c r="H24">
        <v>22.04</v>
      </c>
      <c r="I24">
        <v>925</v>
      </c>
      <c r="J24" s="9">
        <f t="shared" ref="J24:J37" si="2">(G24*I24*12)/(H24*50*24.2)</f>
        <v>0.25890732102413344</v>
      </c>
    </row>
    <row r="25" spans="1:10">
      <c r="A25" t="s">
        <v>9</v>
      </c>
      <c r="C25" s="12">
        <v>0.375</v>
      </c>
      <c r="D25">
        <v>2</v>
      </c>
      <c r="E25">
        <v>188.3</v>
      </c>
      <c r="F25">
        <v>84.3</v>
      </c>
      <c r="G25" s="13">
        <f t="shared" si="1"/>
        <v>0.22758000000000003</v>
      </c>
      <c r="H25">
        <v>10.15</v>
      </c>
      <c r="I25">
        <v>895</v>
      </c>
      <c r="J25" s="9">
        <f t="shared" si="2"/>
        <v>0.19901552741928918</v>
      </c>
    </row>
    <row r="26" spans="1:10">
      <c r="A26" t="s">
        <v>10</v>
      </c>
      <c r="C26" s="12">
        <v>0.375</v>
      </c>
      <c r="D26">
        <v>2</v>
      </c>
      <c r="E26">
        <v>135.1</v>
      </c>
      <c r="F26">
        <v>57.4</v>
      </c>
      <c r="G26" s="13">
        <f t="shared" si="1"/>
        <v>0.16905999999999999</v>
      </c>
      <c r="H26">
        <v>16.170000000000002</v>
      </c>
      <c r="I26">
        <v>940</v>
      </c>
      <c r="J26" s="9">
        <f t="shared" si="2"/>
        <v>9.746632116407794E-2</v>
      </c>
    </row>
    <row r="27" spans="1:10">
      <c r="A27" t="s">
        <v>11</v>
      </c>
      <c r="C27" s="12">
        <v>0.375</v>
      </c>
      <c r="D27">
        <v>3</v>
      </c>
      <c r="E27">
        <v>104.5</v>
      </c>
      <c r="F27">
        <v>47</v>
      </c>
      <c r="G27" s="13">
        <f t="shared" si="1"/>
        <v>9.0266666666666676E-2</v>
      </c>
      <c r="H27">
        <v>62.22</v>
      </c>
      <c r="I27">
        <v>867</v>
      </c>
      <c r="J27" s="9">
        <f t="shared" si="2"/>
        <v>1.2474190489093619E-2</v>
      </c>
    </row>
    <row r="28" spans="1:10">
      <c r="A28" t="s">
        <v>12</v>
      </c>
      <c r="C28" s="12">
        <v>0.375</v>
      </c>
      <c r="D28">
        <v>3</v>
      </c>
      <c r="E28">
        <v>121</v>
      </c>
      <c r="F28">
        <v>57</v>
      </c>
      <c r="G28" s="13">
        <f t="shared" si="1"/>
        <v>0.10236666666666666</v>
      </c>
      <c r="H28">
        <v>64.209999999999994</v>
      </c>
      <c r="I28">
        <v>853</v>
      </c>
      <c r="J28" s="9">
        <f t="shared" si="2"/>
        <v>1.3486547884588406E-2</v>
      </c>
    </row>
    <row r="29" spans="1:10">
      <c r="A29" t="s">
        <v>13</v>
      </c>
      <c r="C29" s="12">
        <v>0.375</v>
      </c>
      <c r="D29">
        <v>3</v>
      </c>
      <c r="E29">
        <v>214.9</v>
      </c>
      <c r="F29">
        <v>88.2</v>
      </c>
      <c r="G29" s="13">
        <f t="shared" si="1"/>
        <v>0.17122666666666667</v>
      </c>
      <c r="H29">
        <v>74.23</v>
      </c>
      <c r="I29">
        <v>922</v>
      </c>
      <c r="J29" s="9">
        <f t="shared" si="2"/>
        <v>2.1092047389006469E-2</v>
      </c>
    </row>
    <row r="30" spans="1:10">
      <c r="A30" t="s">
        <v>14</v>
      </c>
      <c r="C30" s="12">
        <v>0.375</v>
      </c>
      <c r="D30">
        <v>3</v>
      </c>
      <c r="E30">
        <v>133.97999999999999</v>
      </c>
      <c r="F30">
        <v>55.8</v>
      </c>
      <c r="G30" s="13">
        <f t="shared" si="1"/>
        <v>0.11188533333333334</v>
      </c>
      <c r="H30">
        <v>44.44</v>
      </c>
      <c r="I30">
        <v>842</v>
      </c>
      <c r="J30" s="9">
        <f t="shared" si="2"/>
        <v>2.1023599616159964E-2</v>
      </c>
    </row>
    <row r="31" spans="1:10">
      <c r="A31" t="s">
        <v>24</v>
      </c>
      <c r="C31" s="12">
        <v>0.375</v>
      </c>
      <c r="D31">
        <v>4</v>
      </c>
      <c r="E31">
        <v>283.5</v>
      </c>
      <c r="F31">
        <v>117.8</v>
      </c>
      <c r="G31" s="13">
        <f t="shared" si="1"/>
        <v>0.16615000000000002</v>
      </c>
      <c r="H31">
        <v>77.19</v>
      </c>
      <c r="I31">
        <v>891</v>
      </c>
      <c r="J31" s="9">
        <f t="shared" si="2"/>
        <v>1.9020103875914216E-2</v>
      </c>
    </row>
    <row r="32" spans="1:10">
      <c r="A32" t="s">
        <v>25</v>
      </c>
      <c r="C32" s="12">
        <v>0.375</v>
      </c>
      <c r="D32">
        <v>4</v>
      </c>
      <c r="E32">
        <v>72.8</v>
      </c>
      <c r="F32">
        <v>30.3</v>
      </c>
      <c r="G32" s="13">
        <f t="shared" si="1"/>
        <v>5.0264999999999997E-2</v>
      </c>
      <c r="H32">
        <v>98.12</v>
      </c>
      <c r="I32">
        <v>898</v>
      </c>
      <c r="J32" s="9">
        <f t="shared" si="2"/>
        <v>4.5622634453342673E-3</v>
      </c>
    </row>
    <row r="33" spans="1:10">
      <c r="A33" t="s">
        <v>26</v>
      </c>
      <c r="C33" s="12">
        <v>0.375</v>
      </c>
      <c r="D33">
        <v>4</v>
      </c>
      <c r="E33">
        <v>286.10000000000002</v>
      </c>
      <c r="F33">
        <v>105.9</v>
      </c>
      <c r="G33" s="13">
        <f t="shared" si="1"/>
        <v>0.16758000000000003</v>
      </c>
      <c r="H33">
        <v>67.16</v>
      </c>
      <c r="I33">
        <v>855</v>
      </c>
      <c r="J33" s="9">
        <f t="shared" si="2"/>
        <v>2.115794525470199E-2</v>
      </c>
    </row>
    <row r="34" spans="1:10">
      <c r="A34" t="s">
        <v>35</v>
      </c>
      <c r="C34" s="12">
        <v>0.375</v>
      </c>
      <c r="D34">
        <v>3</v>
      </c>
      <c r="E34">
        <v>113.8</v>
      </c>
      <c r="F34">
        <v>51.4</v>
      </c>
      <c r="G34" s="13">
        <f t="shared" si="1"/>
        <v>9.7086666666666668E-2</v>
      </c>
      <c r="H34">
        <v>88.52</v>
      </c>
      <c r="I34">
        <v>897</v>
      </c>
      <c r="J34" s="9">
        <f t="shared" si="2"/>
        <v>9.7567798097642402E-3</v>
      </c>
    </row>
    <row r="35" spans="1:10">
      <c r="A35" t="s">
        <v>15</v>
      </c>
      <c r="C35" s="12">
        <v>0.375</v>
      </c>
      <c r="D35">
        <v>3</v>
      </c>
      <c r="E35">
        <v>211.8</v>
      </c>
      <c r="F35">
        <v>86.7</v>
      </c>
      <c r="G35" s="13">
        <f t="shared" si="1"/>
        <v>0.16895333333333337</v>
      </c>
      <c r="H35">
        <v>97.99</v>
      </c>
      <c r="I35">
        <v>921</v>
      </c>
      <c r="J35" s="9">
        <f t="shared" si="2"/>
        <v>1.5748547794133153E-2</v>
      </c>
    </row>
    <row r="36" spans="1:10">
      <c r="A36" t="s">
        <v>16</v>
      </c>
      <c r="C36" s="12">
        <v>0.375</v>
      </c>
      <c r="D36">
        <v>3</v>
      </c>
      <c r="E36">
        <v>305.2</v>
      </c>
      <c r="F36">
        <v>138</v>
      </c>
      <c r="G36" s="13">
        <f t="shared" si="1"/>
        <v>0.23744666666666669</v>
      </c>
      <c r="H36">
        <v>91.66</v>
      </c>
      <c r="I36">
        <v>899</v>
      </c>
      <c r="J36" s="9">
        <f t="shared" si="2"/>
        <v>2.3096267016263848E-2</v>
      </c>
    </row>
    <row r="37" spans="1:10">
      <c r="A37" t="s">
        <v>17</v>
      </c>
      <c r="C37" s="12">
        <v>0.375</v>
      </c>
      <c r="D37">
        <v>2.5</v>
      </c>
      <c r="E37">
        <v>748.9</v>
      </c>
      <c r="F37">
        <v>295.39999999999998</v>
      </c>
      <c r="G37" s="13">
        <f t="shared" si="1"/>
        <v>0.67539199999999999</v>
      </c>
      <c r="H37">
        <v>70.760000000000005</v>
      </c>
      <c r="I37">
        <v>858</v>
      </c>
      <c r="J37" s="9">
        <f t="shared" si="2"/>
        <v>8.1217805642633215E-2</v>
      </c>
    </row>
    <row r="38" spans="1:10">
      <c r="E38" s="9"/>
      <c r="F38" s="9"/>
    </row>
    <row r="39" spans="1:10">
      <c r="E39" s="9"/>
      <c r="F39" s="9"/>
    </row>
    <row r="40" spans="1:10">
      <c r="E40" s="9"/>
      <c r="F40" s="9"/>
    </row>
    <row r="43" spans="1:10">
      <c r="A43" s="14" t="s">
        <v>40</v>
      </c>
      <c r="B43" s="11">
        <v>40174</v>
      </c>
      <c r="C43" s="15">
        <v>0.40277777777777773</v>
      </c>
      <c r="D43">
        <v>2</v>
      </c>
      <c r="E43">
        <v>630.5</v>
      </c>
      <c r="F43">
        <v>265.2</v>
      </c>
      <c r="G43" s="13">
        <f t="shared" ref="G43:G119" si="3">(E43*0.0022+0.0409)/D43</f>
        <v>0.71399999999999997</v>
      </c>
      <c r="H43" s="16" t="s">
        <v>41</v>
      </c>
    </row>
    <row r="44" spans="1:10">
      <c r="A44" s="14" t="s">
        <v>42</v>
      </c>
      <c r="B44" s="11"/>
      <c r="C44" s="15"/>
      <c r="D44">
        <v>2</v>
      </c>
      <c r="E44">
        <v>599.9</v>
      </c>
      <c r="F44">
        <v>255</v>
      </c>
      <c r="G44" s="13">
        <f t="shared" si="3"/>
        <v>0.68033999999999994</v>
      </c>
      <c r="H44" s="16"/>
    </row>
    <row r="45" spans="1:10">
      <c r="A45" s="14" t="s">
        <v>43</v>
      </c>
      <c r="B45" s="11"/>
      <c r="C45" s="15"/>
      <c r="D45">
        <v>1.8</v>
      </c>
      <c r="E45">
        <v>1057.4000000000001</v>
      </c>
      <c r="F45">
        <v>418.8</v>
      </c>
      <c r="G45" s="13">
        <f t="shared" si="3"/>
        <v>1.3151000000000002</v>
      </c>
      <c r="H45" s="17"/>
    </row>
    <row r="46" spans="1:10">
      <c r="A46" s="14" t="s">
        <v>44</v>
      </c>
      <c r="B46" s="11"/>
      <c r="C46" s="15"/>
      <c r="D46">
        <v>2</v>
      </c>
      <c r="E46">
        <v>562.29999999999995</v>
      </c>
      <c r="F46">
        <v>233.1</v>
      </c>
      <c r="G46" s="13">
        <f>(E55*0.0022+0.0409)/D46</f>
        <v>0.16839999999999999</v>
      </c>
      <c r="H46" s="17" t="s">
        <v>45</v>
      </c>
    </row>
    <row r="47" spans="1:10">
      <c r="A47" s="14" t="s">
        <v>46</v>
      </c>
      <c r="B47" s="11"/>
      <c r="C47" s="15"/>
      <c r="D47">
        <v>2</v>
      </c>
      <c r="E47">
        <v>428.6</v>
      </c>
      <c r="F47">
        <v>198.8</v>
      </c>
      <c r="G47" s="13">
        <f>(E56*0.0022+0.0409)/D47</f>
        <v>0.20085</v>
      </c>
      <c r="H47" s="17"/>
    </row>
    <row r="48" spans="1:10">
      <c r="A48" s="14" t="s">
        <v>47</v>
      </c>
      <c r="B48" s="11"/>
      <c r="C48" s="15"/>
      <c r="D48">
        <v>2</v>
      </c>
      <c r="E48">
        <v>395</v>
      </c>
      <c r="F48">
        <v>182</v>
      </c>
      <c r="G48" s="13">
        <f>(E57*0.0022+0.0409)/D48</f>
        <v>9.4809999999999992E-2</v>
      </c>
      <c r="H48" s="17"/>
    </row>
    <row r="49" spans="1:8">
      <c r="A49" s="14" t="s">
        <v>48</v>
      </c>
      <c r="B49" s="11"/>
      <c r="C49" s="15"/>
      <c r="D49">
        <v>2</v>
      </c>
      <c r="E49">
        <v>312.7</v>
      </c>
      <c r="F49">
        <v>150</v>
      </c>
      <c r="G49" s="13">
        <f t="shared" si="3"/>
        <v>0.36442000000000002</v>
      </c>
      <c r="H49" s="17" t="s">
        <v>49</v>
      </c>
    </row>
    <row r="50" spans="1:8">
      <c r="A50" s="14" t="s">
        <v>50</v>
      </c>
      <c r="B50" s="11"/>
      <c r="C50" s="15"/>
      <c r="D50">
        <v>2</v>
      </c>
      <c r="E50">
        <v>753.4</v>
      </c>
      <c r="F50">
        <v>278</v>
      </c>
      <c r="G50" s="13">
        <f t="shared" si="3"/>
        <v>0.84919</v>
      </c>
      <c r="H50" s="17"/>
    </row>
    <row r="51" spans="1:8">
      <c r="A51" s="14" t="s">
        <v>51</v>
      </c>
      <c r="B51" s="11"/>
      <c r="C51" s="15"/>
      <c r="D51">
        <v>2</v>
      </c>
      <c r="E51">
        <v>562.20000000000005</v>
      </c>
      <c r="F51">
        <v>239.8</v>
      </c>
      <c r="G51" s="13">
        <f t="shared" si="3"/>
        <v>0.63887000000000005</v>
      </c>
      <c r="H51" s="17"/>
    </row>
    <row r="52" spans="1:8">
      <c r="A52" s="14" t="s">
        <v>52</v>
      </c>
      <c r="B52" s="11"/>
      <c r="C52" s="15"/>
      <c r="D52">
        <v>1.8</v>
      </c>
      <c r="E52">
        <v>1684</v>
      </c>
      <c r="F52">
        <v>705</v>
      </c>
      <c r="G52" s="13">
        <f t="shared" si="3"/>
        <v>2.0809444444444445</v>
      </c>
      <c r="H52" s="17" t="s">
        <v>53</v>
      </c>
    </row>
    <row r="53" spans="1:8">
      <c r="A53" s="14" t="s">
        <v>54</v>
      </c>
      <c r="B53" s="11"/>
      <c r="C53" s="15"/>
      <c r="D53">
        <v>2</v>
      </c>
      <c r="E53">
        <v>1229</v>
      </c>
      <c r="F53">
        <v>531.9</v>
      </c>
      <c r="G53" s="13">
        <f t="shared" si="3"/>
        <v>1.3723500000000002</v>
      </c>
      <c r="H53" s="17"/>
    </row>
    <row r="54" spans="1:8">
      <c r="A54" s="14" t="s">
        <v>55</v>
      </c>
      <c r="B54" s="11"/>
      <c r="C54" s="15"/>
      <c r="D54">
        <v>2</v>
      </c>
      <c r="E54">
        <v>1386</v>
      </c>
      <c r="F54">
        <v>552</v>
      </c>
      <c r="G54" s="13">
        <f t="shared" si="3"/>
        <v>1.5450500000000003</v>
      </c>
      <c r="H54" s="17"/>
    </row>
    <row r="55" spans="1:8">
      <c r="A55" s="14" t="s">
        <v>56</v>
      </c>
      <c r="B55" s="11"/>
      <c r="C55" s="15">
        <v>0.40625</v>
      </c>
      <c r="D55">
        <v>2</v>
      </c>
      <c r="E55">
        <v>134.5</v>
      </c>
      <c r="F55">
        <v>64.2</v>
      </c>
      <c r="G55" s="13">
        <f t="shared" si="3"/>
        <v>0.16839999999999999</v>
      </c>
      <c r="H55" s="18" t="s">
        <v>41</v>
      </c>
    </row>
    <row r="56" spans="1:8">
      <c r="A56" s="14" t="s">
        <v>57</v>
      </c>
      <c r="B56" s="11"/>
      <c r="C56" s="15">
        <v>0.40625</v>
      </c>
      <c r="D56">
        <v>2</v>
      </c>
      <c r="E56">
        <v>164</v>
      </c>
      <c r="F56">
        <v>83.1</v>
      </c>
      <c r="G56" s="13">
        <f t="shared" si="3"/>
        <v>0.20085</v>
      </c>
      <c r="H56" s="18"/>
    </row>
    <row r="57" spans="1:8">
      <c r="A57" s="14" t="s">
        <v>58</v>
      </c>
      <c r="B57" s="11"/>
      <c r="C57" s="15">
        <v>0.40625</v>
      </c>
      <c r="D57">
        <v>2</v>
      </c>
      <c r="E57">
        <v>67.599999999999994</v>
      </c>
      <c r="F57">
        <v>37.200000000000003</v>
      </c>
      <c r="G57" s="13">
        <f t="shared" si="3"/>
        <v>9.4809999999999992E-2</v>
      </c>
      <c r="H57" s="18"/>
    </row>
    <row r="58" spans="1:8">
      <c r="A58" s="14" t="s">
        <v>59</v>
      </c>
      <c r="B58" s="11"/>
      <c r="C58" s="15"/>
      <c r="D58">
        <v>2</v>
      </c>
      <c r="E58">
        <v>152</v>
      </c>
      <c r="F58">
        <v>65.099999999999994</v>
      </c>
      <c r="G58" s="13">
        <f t="shared" si="3"/>
        <v>0.18765000000000001</v>
      </c>
      <c r="H58" s="18" t="s">
        <v>45</v>
      </c>
    </row>
    <row r="59" spans="1:8">
      <c r="A59" s="14" t="s">
        <v>60</v>
      </c>
      <c r="B59" s="11"/>
      <c r="C59" s="15"/>
      <c r="D59">
        <v>2</v>
      </c>
      <c r="E59">
        <v>200</v>
      </c>
      <c r="F59">
        <v>102</v>
      </c>
      <c r="G59" s="13">
        <f t="shared" si="3"/>
        <v>0.24045</v>
      </c>
      <c r="H59" s="18"/>
    </row>
    <row r="60" spans="1:8">
      <c r="A60" s="14" t="s">
        <v>61</v>
      </c>
      <c r="B60" s="11"/>
      <c r="C60" s="15"/>
      <c r="D60">
        <v>2</v>
      </c>
      <c r="E60">
        <v>452.7</v>
      </c>
      <c r="F60">
        <v>186</v>
      </c>
      <c r="G60" s="13">
        <f t="shared" si="3"/>
        <v>0.51841999999999999</v>
      </c>
      <c r="H60" s="18"/>
    </row>
    <row r="61" spans="1:8">
      <c r="A61" s="14" t="s">
        <v>62</v>
      </c>
      <c r="B61" s="11"/>
      <c r="C61" s="15"/>
      <c r="D61">
        <v>2</v>
      </c>
      <c r="E61">
        <v>191.2</v>
      </c>
      <c r="F61">
        <v>82</v>
      </c>
      <c r="G61" s="13">
        <f t="shared" si="3"/>
        <v>0.23077</v>
      </c>
      <c r="H61" s="18" t="s">
        <v>49</v>
      </c>
    </row>
    <row r="62" spans="1:8">
      <c r="A62" s="14" t="s">
        <v>63</v>
      </c>
      <c r="B62" s="11"/>
      <c r="C62" s="15"/>
      <c r="D62">
        <v>2</v>
      </c>
      <c r="E62">
        <v>181.6</v>
      </c>
      <c r="F62">
        <v>86.9</v>
      </c>
      <c r="G62" s="13">
        <f t="shared" si="3"/>
        <v>0.22020999999999999</v>
      </c>
      <c r="H62" s="18"/>
    </row>
    <row r="63" spans="1:8">
      <c r="A63" s="14" t="s">
        <v>64</v>
      </c>
      <c r="B63" s="11"/>
      <c r="C63" s="15"/>
      <c r="D63">
        <v>2</v>
      </c>
      <c r="E63">
        <v>169.6</v>
      </c>
      <c r="F63">
        <v>72.900000000000006</v>
      </c>
      <c r="G63" s="13">
        <f t="shared" si="3"/>
        <v>0.20701</v>
      </c>
      <c r="H63" s="18"/>
    </row>
    <row r="64" spans="1:8">
      <c r="A64" s="14" t="s">
        <v>65</v>
      </c>
      <c r="B64" s="11"/>
      <c r="C64" s="15"/>
      <c r="D64">
        <v>2</v>
      </c>
      <c r="E64">
        <v>289.89999999999998</v>
      </c>
      <c r="F64">
        <v>128.4</v>
      </c>
      <c r="G64" s="13">
        <f t="shared" si="3"/>
        <v>0.33934000000000003</v>
      </c>
      <c r="H64" s="18" t="s">
        <v>53</v>
      </c>
    </row>
    <row r="65" spans="1:9">
      <c r="A65" s="14" t="s">
        <v>66</v>
      </c>
      <c r="B65" s="11"/>
      <c r="C65" s="15"/>
      <c r="D65">
        <v>2</v>
      </c>
      <c r="E65">
        <v>151.5</v>
      </c>
      <c r="F65">
        <v>74.7</v>
      </c>
      <c r="G65" s="13">
        <f t="shared" si="3"/>
        <v>0.18710000000000002</v>
      </c>
      <c r="H65" s="18"/>
    </row>
    <row r="66" spans="1:9">
      <c r="A66" s="14" t="s">
        <v>67</v>
      </c>
      <c r="B66" s="11">
        <v>40170</v>
      </c>
      <c r="C66" s="15">
        <v>0.41319444444444442</v>
      </c>
      <c r="D66">
        <v>2</v>
      </c>
      <c r="E66">
        <v>276.7</v>
      </c>
      <c r="F66">
        <v>129.30000000000001</v>
      </c>
      <c r="G66" s="13">
        <f t="shared" si="3"/>
        <v>0.32482000000000005</v>
      </c>
      <c r="H66" s="18"/>
    </row>
    <row r="67" spans="1:9">
      <c r="A67" s="14"/>
      <c r="B67" s="11"/>
      <c r="C67" s="15"/>
      <c r="D67">
        <v>2</v>
      </c>
      <c r="E67">
        <v>153.6</v>
      </c>
      <c r="F67">
        <v>66.7</v>
      </c>
      <c r="G67" s="13">
        <f t="shared" si="3"/>
        <v>0.18941</v>
      </c>
      <c r="H67" s="13" t="s">
        <v>68</v>
      </c>
      <c r="I67" s="19">
        <v>2E-3</v>
      </c>
    </row>
    <row r="68" spans="1:9">
      <c r="A68" s="14"/>
      <c r="B68" s="11"/>
      <c r="C68" s="15"/>
      <c r="D68">
        <v>2</v>
      </c>
      <c r="E68">
        <v>1155.8</v>
      </c>
      <c r="F68">
        <v>301.39999999999998</v>
      </c>
      <c r="G68" s="13">
        <f t="shared" si="3"/>
        <v>1.29183</v>
      </c>
      <c r="H68" s="13" t="s">
        <v>68</v>
      </c>
      <c r="I68" s="19">
        <v>1.5089999999999999E-2</v>
      </c>
    </row>
    <row r="69" spans="1:9">
      <c r="A69" s="14" t="s">
        <v>69</v>
      </c>
      <c r="B69" s="11">
        <v>40174</v>
      </c>
      <c r="C69" s="15">
        <v>0.41666666666666669</v>
      </c>
      <c r="D69">
        <v>2</v>
      </c>
      <c r="E69">
        <v>1384</v>
      </c>
      <c r="F69">
        <v>584</v>
      </c>
      <c r="G69" s="13">
        <f t="shared" si="3"/>
        <v>1.5428500000000003</v>
      </c>
      <c r="H69" s="20" t="s">
        <v>41</v>
      </c>
    </row>
    <row r="70" spans="1:9">
      <c r="A70" s="14" t="s">
        <v>70</v>
      </c>
      <c r="B70" s="11"/>
      <c r="C70" s="15"/>
      <c r="D70">
        <v>2</v>
      </c>
      <c r="E70">
        <v>1577</v>
      </c>
      <c r="F70">
        <v>669</v>
      </c>
      <c r="G70" s="13">
        <f t="shared" si="3"/>
        <v>1.7551500000000002</v>
      </c>
      <c r="H70" s="20"/>
    </row>
    <row r="71" spans="1:9">
      <c r="A71" s="14" t="s">
        <v>71</v>
      </c>
      <c r="B71" s="11"/>
      <c r="C71" s="15"/>
      <c r="D71">
        <v>2</v>
      </c>
      <c r="E71">
        <v>1429</v>
      </c>
      <c r="F71">
        <v>596</v>
      </c>
      <c r="G71" s="13">
        <f t="shared" si="3"/>
        <v>1.5923500000000002</v>
      </c>
      <c r="H71" s="20"/>
    </row>
    <row r="72" spans="1:9">
      <c r="A72" s="14" t="s">
        <v>72</v>
      </c>
      <c r="B72" s="11"/>
      <c r="C72" s="15"/>
      <c r="D72">
        <v>2</v>
      </c>
      <c r="E72">
        <v>906.9</v>
      </c>
      <c r="F72">
        <v>356</v>
      </c>
      <c r="G72" s="13">
        <f t="shared" si="3"/>
        <v>1.0180400000000001</v>
      </c>
      <c r="H72" s="20" t="s">
        <v>45</v>
      </c>
    </row>
    <row r="73" spans="1:9">
      <c r="A73" s="14" t="s">
        <v>73</v>
      </c>
      <c r="B73" s="11"/>
      <c r="C73" s="15"/>
      <c r="D73">
        <v>2</v>
      </c>
      <c r="E73">
        <v>729.2</v>
      </c>
      <c r="F73">
        <v>350.8</v>
      </c>
      <c r="G73" s="13">
        <f t="shared" si="3"/>
        <v>0.82257000000000002</v>
      </c>
      <c r="H73" s="20"/>
    </row>
    <row r="74" spans="1:9">
      <c r="A74" s="14" t="s">
        <v>74</v>
      </c>
      <c r="B74" s="11"/>
      <c r="C74" s="15"/>
      <c r="D74">
        <v>2</v>
      </c>
      <c r="E74">
        <v>877.7</v>
      </c>
      <c r="F74">
        <v>372.6</v>
      </c>
      <c r="G74" s="13">
        <f t="shared" si="3"/>
        <v>0.98592000000000013</v>
      </c>
      <c r="H74" s="20"/>
    </row>
    <row r="75" spans="1:9">
      <c r="A75" s="14" t="s">
        <v>75</v>
      </c>
      <c r="B75" s="11"/>
      <c r="C75" s="15"/>
      <c r="D75">
        <v>2</v>
      </c>
      <c r="E75">
        <v>899.4</v>
      </c>
      <c r="F75">
        <v>376</v>
      </c>
      <c r="G75" s="13">
        <f t="shared" si="3"/>
        <v>1.00979</v>
      </c>
      <c r="H75" s="20" t="s">
        <v>49</v>
      </c>
    </row>
    <row r="76" spans="1:9">
      <c r="A76" s="14" t="s">
        <v>76</v>
      </c>
      <c r="B76" s="11"/>
      <c r="C76" s="15"/>
      <c r="D76">
        <v>1.9</v>
      </c>
      <c r="E76">
        <v>791.2</v>
      </c>
      <c r="F76">
        <v>339.3</v>
      </c>
      <c r="G76" s="13">
        <f t="shared" si="3"/>
        <v>0.93765263157894752</v>
      </c>
      <c r="H76" s="20"/>
    </row>
    <row r="77" spans="1:9">
      <c r="A77" s="14" t="s">
        <v>77</v>
      </c>
      <c r="B77" s="11"/>
      <c r="C77" s="15"/>
      <c r="D77">
        <v>2</v>
      </c>
      <c r="E77">
        <v>818</v>
      </c>
      <c r="F77">
        <v>352</v>
      </c>
      <c r="G77" s="13">
        <f t="shared" si="3"/>
        <v>0.92025000000000001</v>
      </c>
      <c r="H77" s="20"/>
    </row>
    <row r="78" spans="1:9">
      <c r="A78" s="14" t="s">
        <v>78</v>
      </c>
      <c r="B78" s="11"/>
      <c r="C78" s="15"/>
      <c r="D78">
        <v>2</v>
      </c>
      <c r="E78">
        <v>1452.7</v>
      </c>
      <c r="F78">
        <v>631</v>
      </c>
      <c r="G78" s="13">
        <f t="shared" si="3"/>
        <v>1.6184200000000002</v>
      </c>
      <c r="H78" s="20" t="s">
        <v>53</v>
      </c>
    </row>
    <row r="79" spans="1:9">
      <c r="A79" s="14" t="s">
        <v>79</v>
      </c>
      <c r="B79" s="11"/>
      <c r="C79" s="15"/>
      <c r="D79">
        <v>2</v>
      </c>
      <c r="E79">
        <v>2474</v>
      </c>
      <c r="F79">
        <v>955</v>
      </c>
      <c r="G79" s="13">
        <f t="shared" si="3"/>
        <v>2.7418499999999999</v>
      </c>
      <c r="H79" s="20"/>
    </row>
    <row r="80" spans="1:9">
      <c r="A80" s="14" t="s">
        <v>80</v>
      </c>
      <c r="B80" s="11"/>
      <c r="C80" s="15"/>
      <c r="D80">
        <v>2</v>
      </c>
      <c r="E80">
        <v>1702</v>
      </c>
      <c r="F80">
        <v>714</v>
      </c>
      <c r="G80" s="13">
        <f t="shared" si="3"/>
        <v>1.8926500000000002</v>
      </c>
      <c r="H80" s="20"/>
    </row>
    <row r="81" spans="1:8">
      <c r="A81" s="14" t="s">
        <v>81</v>
      </c>
      <c r="B81" s="11"/>
      <c r="C81" s="15"/>
      <c r="D81">
        <v>2</v>
      </c>
      <c r="E81">
        <v>172.8</v>
      </c>
      <c r="F81">
        <v>81.2</v>
      </c>
      <c r="G81" s="13">
        <f t="shared" si="3"/>
        <v>0.21053000000000002</v>
      </c>
      <c r="H81" s="21" t="s">
        <v>41</v>
      </c>
    </row>
    <row r="82" spans="1:8">
      <c r="A82" s="14" t="s">
        <v>82</v>
      </c>
      <c r="B82" s="11"/>
      <c r="C82" s="15"/>
      <c r="D82">
        <v>2</v>
      </c>
      <c r="E82">
        <v>286.10000000000002</v>
      </c>
      <c r="F82">
        <v>113.6</v>
      </c>
      <c r="G82" s="13">
        <f t="shared" si="3"/>
        <v>0.33516000000000007</v>
      </c>
      <c r="H82" s="21"/>
    </row>
    <row r="83" spans="1:8">
      <c r="A83" s="14" t="s">
        <v>83</v>
      </c>
      <c r="B83" s="11"/>
      <c r="C83" s="15"/>
      <c r="D83">
        <v>2</v>
      </c>
      <c r="E83">
        <v>216.1</v>
      </c>
      <c r="F83">
        <v>88.4</v>
      </c>
      <c r="G83" s="13">
        <f t="shared" si="3"/>
        <v>0.25816</v>
      </c>
      <c r="H83" s="21"/>
    </row>
    <row r="84" spans="1:8">
      <c r="A84" s="14" t="s">
        <v>84</v>
      </c>
      <c r="B84" s="11"/>
      <c r="C84" s="15"/>
      <c r="D84">
        <v>2</v>
      </c>
      <c r="E84">
        <v>692.4</v>
      </c>
      <c r="F84">
        <v>313.5</v>
      </c>
      <c r="G84" s="13">
        <f t="shared" si="3"/>
        <v>0.78208999999999995</v>
      </c>
      <c r="H84" s="21" t="s">
        <v>45</v>
      </c>
    </row>
    <row r="85" spans="1:8">
      <c r="A85" s="14" t="s">
        <v>85</v>
      </c>
      <c r="B85" s="11"/>
      <c r="C85" s="15"/>
      <c r="D85">
        <v>2</v>
      </c>
      <c r="E85">
        <v>802.3</v>
      </c>
      <c r="F85">
        <v>329</v>
      </c>
      <c r="G85" s="13">
        <f t="shared" si="3"/>
        <v>0.90298</v>
      </c>
      <c r="H85" s="21"/>
    </row>
    <row r="86" spans="1:8">
      <c r="A86" s="14" t="s">
        <v>86</v>
      </c>
      <c r="B86" s="11"/>
      <c r="C86" s="15"/>
      <c r="D86">
        <v>2</v>
      </c>
      <c r="E86">
        <v>782.1</v>
      </c>
      <c r="F86">
        <v>341.5</v>
      </c>
      <c r="G86" s="13">
        <f t="shared" si="3"/>
        <v>0.8807600000000001</v>
      </c>
      <c r="H86" s="21"/>
    </row>
    <row r="87" spans="1:8">
      <c r="A87" s="14" t="s">
        <v>87</v>
      </c>
      <c r="B87" s="11"/>
      <c r="C87" s="15"/>
      <c r="D87">
        <v>2</v>
      </c>
      <c r="E87">
        <v>762.5</v>
      </c>
      <c r="F87">
        <v>327.39999999999998</v>
      </c>
      <c r="G87" s="13">
        <f t="shared" si="3"/>
        <v>0.85919999999999996</v>
      </c>
      <c r="H87" s="21" t="s">
        <v>49</v>
      </c>
    </row>
    <row r="88" spans="1:8">
      <c r="A88" s="14" t="s">
        <v>88</v>
      </c>
      <c r="B88" s="11"/>
      <c r="C88" s="15"/>
      <c r="D88">
        <v>2</v>
      </c>
      <c r="E88">
        <v>556.5</v>
      </c>
      <c r="F88">
        <v>220.9</v>
      </c>
      <c r="G88" s="13">
        <f t="shared" si="3"/>
        <v>0.63260000000000005</v>
      </c>
      <c r="H88" s="21"/>
    </row>
    <row r="89" spans="1:8">
      <c r="A89" s="14" t="s">
        <v>89</v>
      </c>
      <c r="B89" s="11"/>
      <c r="C89" s="15"/>
      <c r="D89">
        <v>2</v>
      </c>
      <c r="E89">
        <v>938.5</v>
      </c>
      <c r="F89">
        <v>364.5</v>
      </c>
      <c r="G89" s="13">
        <f t="shared" si="3"/>
        <v>1.0528000000000002</v>
      </c>
      <c r="H89" s="21"/>
    </row>
    <row r="90" spans="1:8">
      <c r="A90" s="14" t="s">
        <v>90</v>
      </c>
      <c r="B90" s="11"/>
      <c r="C90" s="15"/>
      <c r="D90">
        <v>2</v>
      </c>
      <c r="E90">
        <v>672</v>
      </c>
      <c r="F90">
        <v>272.7</v>
      </c>
      <c r="G90" s="13">
        <f t="shared" si="3"/>
        <v>0.75965000000000005</v>
      </c>
      <c r="H90" s="21" t="s">
        <v>53</v>
      </c>
    </row>
    <row r="91" spans="1:8">
      <c r="A91" s="14" t="s">
        <v>91</v>
      </c>
      <c r="B91" s="11"/>
      <c r="C91" s="15"/>
      <c r="D91">
        <v>2</v>
      </c>
      <c r="E91">
        <v>920.5</v>
      </c>
      <c r="F91">
        <v>370.5</v>
      </c>
      <c r="G91" s="13">
        <f t="shared" si="3"/>
        <v>1.0330000000000001</v>
      </c>
      <c r="H91" s="21"/>
    </row>
    <row r="92" spans="1:8">
      <c r="A92" s="14" t="s">
        <v>92</v>
      </c>
      <c r="B92" s="11">
        <v>40170</v>
      </c>
      <c r="C92" s="15">
        <v>0.43055555555555558</v>
      </c>
      <c r="D92">
        <v>2</v>
      </c>
      <c r="E92">
        <v>374.2</v>
      </c>
      <c r="F92">
        <v>167.5</v>
      </c>
      <c r="G92" s="13">
        <f t="shared" si="3"/>
        <v>0.43207000000000001</v>
      </c>
      <c r="H92" s="21"/>
    </row>
    <row r="93" spans="1:8">
      <c r="A93" s="14"/>
      <c r="B93" s="11"/>
      <c r="C93" s="15"/>
      <c r="G93" s="13"/>
      <c r="H93" s="21"/>
    </row>
    <row r="94" spans="1:8">
      <c r="A94" s="14">
        <v>49</v>
      </c>
      <c r="B94" s="11"/>
      <c r="C94" s="15"/>
      <c r="D94">
        <v>2</v>
      </c>
      <c r="E94">
        <v>28</v>
      </c>
      <c r="F94">
        <v>12</v>
      </c>
      <c r="G94" s="13">
        <f t="shared" si="3"/>
        <v>5.1250000000000004E-2</v>
      </c>
      <c r="H94" s="21"/>
    </row>
    <row r="95" spans="1:8">
      <c r="A95" s="14">
        <v>50</v>
      </c>
      <c r="B95" s="11"/>
      <c r="C95" s="15"/>
      <c r="D95">
        <v>2</v>
      </c>
      <c r="E95">
        <v>15.6</v>
      </c>
      <c r="F95">
        <v>10.8</v>
      </c>
      <c r="G95" s="13">
        <f t="shared" si="3"/>
        <v>3.7610000000000005E-2</v>
      </c>
      <c r="H95" s="21"/>
    </row>
    <row r="96" spans="1:8">
      <c r="A96" s="14">
        <v>51</v>
      </c>
      <c r="B96" s="11"/>
      <c r="C96" s="15"/>
      <c r="D96">
        <v>2</v>
      </c>
      <c r="E96">
        <v>27.8</v>
      </c>
      <c r="F96">
        <v>14.2</v>
      </c>
      <c r="G96" s="13">
        <f t="shared" si="3"/>
        <v>5.1030000000000006E-2</v>
      </c>
      <c r="H96" s="21"/>
    </row>
    <row r="97" spans="1:8">
      <c r="A97" s="14">
        <v>55</v>
      </c>
      <c r="B97" s="11"/>
      <c r="C97" s="15"/>
      <c r="D97">
        <v>2</v>
      </c>
      <c r="E97">
        <v>16.5</v>
      </c>
      <c r="F97">
        <v>11.3</v>
      </c>
      <c r="G97" s="13">
        <f t="shared" si="3"/>
        <v>3.8599999999999995E-2</v>
      </c>
      <c r="H97" s="21"/>
    </row>
    <row r="98" spans="1:8">
      <c r="A98" s="14">
        <v>56</v>
      </c>
      <c r="B98" s="11"/>
      <c r="C98" s="15"/>
      <c r="D98">
        <v>2</v>
      </c>
      <c r="E98">
        <v>42</v>
      </c>
      <c r="F98">
        <v>25.6</v>
      </c>
      <c r="G98" s="13">
        <f t="shared" si="3"/>
        <v>6.6650000000000001E-2</v>
      </c>
      <c r="H98" s="21"/>
    </row>
    <row r="99" spans="1:8">
      <c r="A99" s="14">
        <v>57</v>
      </c>
      <c r="B99" s="11"/>
      <c r="C99" s="15"/>
      <c r="D99">
        <v>2</v>
      </c>
      <c r="E99">
        <v>17.2</v>
      </c>
      <c r="F99">
        <v>11.45</v>
      </c>
      <c r="G99" s="13">
        <f t="shared" si="3"/>
        <v>3.9370000000000002E-2</v>
      </c>
      <c r="H99" s="21"/>
    </row>
    <row r="100" spans="1:8">
      <c r="A100" s="14">
        <v>73</v>
      </c>
      <c r="B100" s="11"/>
      <c r="C100" s="15"/>
      <c r="D100">
        <v>2</v>
      </c>
      <c r="E100">
        <v>13.8</v>
      </c>
      <c r="F100">
        <v>11.3</v>
      </c>
      <c r="G100" s="13">
        <f t="shared" si="3"/>
        <v>3.5630000000000002E-2</v>
      </c>
      <c r="H100" s="21"/>
    </row>
    <row r="101" spans="1:8">
      <c r="A101" s="14">
        <v>74</v>
      </c>
      <c r="B101" s="11"/>
      <c r="C101" s="15"/>
      <c r="D101">
        <v>2</v>
      </c>
      <c r="E101">
        <v>15.9</v>
      </c>
      <c r="F101">
        <v>10.3</v>
      </c>
      <c r="G101" s="13">
        <f t="shared" si="3"/>
        <v>3.7940000000000002E-2</v>
      </c>
      <c r="H101" s="21"/>
    </row>
    <row r="102" spans="1:8">
      <c r="A102" s="14">
        <v>75</v>
      </c>
      <c r="B102" s="11"/>
      <c r="C102" s="15"/>
      <c r="D102">
        <v>2</v>
      </c>
      <c r="E102">
        <v>25.8</v>
      </c>
      <c r="F102">
        <v>12.2</v>
      </c>
      <c r="G102" s="13">
        <f t="shared" si="3"/>
        <v>4.8829999999999998E-2</v>
      </c>
      <c r="H102" s="21"/>
    </row>
    <row r="103" spans="1:8">
      <c r="A103" s="14">
        <v>79</v>
      </c>
      <c r="B103" s="11"/>
      <c r="C103" s="15"/>
      <c r="D103">
        <v>2</v>
      </c>
      <c r="E103">
        <v>13.7</v>
      </c>
      <c r="F103">
        <v>10.4</v>
      </c>
      <c r="G103" s="13">
        <f t="shared" si="3"/>
        <v>3.5519999999999996E-2</v>
      </c>
      <c r="H103" s="21"/>
    </row>
    <row r="104" spans="1:8">
      <c r="A104" s="14">
        <v>80</v>
      </c>
      <c r="B104" s="11"/>
      <c r="C104" s="15"/>
      <c r="D104">
        <v>2</v>
      </c>
      <c r="E104">
        <v>20</v>
      </c>
      <c r="F104">
        <v>10.5</v>
      </c>
      <c r="G104" s="13">
        <f t="shared" si="3"/>
        <v>4.2450000000000002E-2</v>
      </c>
      <c r="H104" s="21"/>
    </row>
    <row r="105" spans="1:8">
      <c r="A105" s="14">
        <v>81</v>
      </c>
      <c r="B105" s="11"/>
      <c r="C105" s="15"/>
      <c r="D105">
        <v>2</v>
      </c>
      <c r="E105">
        <v>37.799999999999997</v>
      </c>
      <c r="F105">
        <v>19.3</v>
      </c>
      <c r="G105" s="13">
        <f t="shared" si="3"/>
        <v>6.2030000000000002E-2</v>
      </c>
      <c r="H105" s="21"/>
    </row>
    <row r="106" spans="1:8">
      <c r="A106" s="22" t="s">
        <v>93</v>
      </c>
      <c r="B106" s="11">
        <v>40170</v>
      </c>
      <c r="C106" s="15">
        <v>0.4375</v>
      </c>
      <c r="D106">
        <v>2</v>
      </c>
      <c r="E106">
        <v>227.1</v>
      </c>
      <c r="F106">
        <v>93</v>
      </c>
      <c r="G106" s="13">
        <f t="shared" si="3"/>
        <v>0.27026</v>
      </c>
      <c r="H106" s="21" t="s">
        <v>94</v>
      </c>
    </row>
    <row r="107" spans="1:8">
      <c r="A107" s="22" t="s">
        <v>95</v>
      </c>
      <c r="B107" s="11"/>
      <c r="C107" s="15"/>
      <c r="D107">
        <v>2</v>
      </c>
      <c r="E107">
        <v>240</v>
      </c>
      <c r="F107">
        <v>98.5</v>
      </c>
      <c r="G107" s="13">
        <f t="shared" si="3"/>
        <v>0.28445000000000004</v>
      </c>
      <c r="H107" s="21" t="s">
        <v>96</v>
      </c>
    </row>
    <row r="108" spans="1:8">
      <c r="A108" s="22" t="s">
        <v>97</v>
      </c>
      <c r="B108" s="11"/>
      <c r="C108" s="15"/>
      <c r="D108">
        <v>2</v>
      </c>
      <c r="E108">
        <v>274.39999999999998</v>
      </c>
      <c r="F108">
        <v>109.7</v>
      </c>
      <c r="G108" s="13">
        <f t="shared" si="3"/>
        <v>0.32229000000000002</v>
      </c>
      <c r="H108" s="21"/>
    </row>
    <row r="109" spans="1:8">
      <c r="A109" s="22" t="s">
        <v>98</v>
      </c>
      <c r="B109" s="11"/>
      <c r="C109" s="15"/>
      <c r="D109">
        <v>2</v>
      </c>
      <c r="E109">
        <v>523.70000000000005</v>
      </c>
      <c r="F109">
        <v>239.3</v>
      </c>
      <c r="G109" s="13">
        <f t="shared" si="3"/>
        <v>0.59652000000000005</v>
      </c>
      <c r="H109" s="21" t="s">
        <v>94</v>
      </c>
    </row>
    <row r="110" spans="1:8">
      <c r="A110" s="22" t="s">
        <v>99</v>
      </c>
      <c r="B110" s="11"/>
      <c r="C110" s="15"/>
      <c r="D110">
        <v>2</v>
      </c>
      <c r="E110">
        <v>640.70000000000005</v>
      </c>
      <c r="F110">
        <v>221</v>
      </c>
      <c r="G110" s="13">
        <f t="shared" si="3"/>
        <v>0.72522000000000009</v>
      </c>
      <c r="H110" s="21"/>
    </row>
    <row r="111" spans="1:8">
      <c r="A111" s="22" t="s">
        <v>100</v>
      </c>
      <c r="B111" s="11"/>
      <c r="C111" s="15"/>
      <c r="D111">
        <v>2</v>
      </c>
      <c r="E111">
        <v>496</v>
      </c>
      <c r="F111">
        <v>217</v>
      </c>
      <c r="G111" s="13">
        <f t="shared" si="3"/>
        <v>0.56605000000000005</v>
      </c>
      <c r="H111" s="21"/>
    </row>
    <row r="112" spans="1:8">
      <c r="A112" s="22" t="s">
        <v>101</v>
      </c>
      <c r="B112" s="11"/>
      <c r="C112" s="15"/>
      <c r="D112">
        <v>2</v>
      </c>
      <c r="E112">
        <v>475.4</v>
      </c>
      <c r="F112">
        <v>195.5</v>
      </c>
      <c r="G112" s="13">
        <f t="shared" si="3"/>
        <v>0.54338999999999993</v>
      </c>
      <c r="H112" s="21" t="s">
        <v>102</v>
      </c>
    </row>
    <row r="113" spans="1:8">
      <c r="A113" s="22" t="s">
        <v>103</v>
      </c>
      <c r="B113" s="11"/>
      <c r="C113" s="15"/>
      <c r="D113">
        <v>2</v>
      </c>
      <c r="E113">
        <v>440.1</v>
      </c>
      <c r="F113">
        <v>183.2</v>
      </c>
      <c r="G113" s="13">
        <f t="shared" si="3"/>
        <v>0.50456000000000001</v>
      </c>
      <c r="H113" s="21"/>
    </row>
    <row r="114" spans="1:8">
      <c r="A114" s="22" t="s">
        <v>104</v>
      </c>
      <c r="B114" s="11"/>
      <c r="C114" s="15"/>
      <c r="D114">
        <v>2</v>
      </c>
      <c r="E114">
        <v>430.6</v>
      </c>
      <c r="F114">
        <v>168.3</v>
      </c>
      <c r="G114" s="13">
        <f t="shared" si="3"/>
        <v>0.4941100000000001</v>
      </c>
      <c r="H114" s="21"/>
    </row>
    <row r="115" spans="1:8">
      <c r="A115" s="22" t="s">
        <v>105</v>
      </c>
      <c r="B115" s="11"/>
      <c r="C115" s="15"/>
      <c r="D115">
        <v>2</v>
      </c>
      <c r="E115">
        <v>662.9</v>
      </c>
      <c r="F115">
        <v>279.2</v>
      </c>
      <c r="G115" s="13">
        <f t="shared" si="3"/>
        <v>0.74963999999999997</v>
      </c>
      <c r="H115" s="21" t="s">
        <v>102</v>
      </c>
    </row>
    <row r="116" spans="1:8">
      <c r="A116" s="22" t="s">
        <v>106</v>
      </c>
      <c r="B116" s="11"/>
      <c r="C116" s="15"/>
      <c r="D116">
        <v>2</v>
      </c>
      <c r="E116">
        <v>819.4</v>
      </c>
      <c r="F116">
        <v>298</v>
      </c>
      <c r="G116" s="13">
        <f t="shared" si="3"/>
        <v>0.92179</v>
      </c>
      <c r="H116" s="21"/>
    </row>
    <row r="117" spans="1:8">
      <c r="A117" s="22" t="s">
        <v>107</v>
      </c>
      <c r="B117" s="11"/>
      <c r="C117" s="15"/>
      <c r="D117">
        <v>2</v>
      </c>
      <c r="E117">
        <v>665.2</v>
      </c>
      <c r="F117">
        <v>274.89999999999998</v>
      </c>
      <c r="G117" s="13">
        <f t="shared" si="3"/>
        <v>0.75217000000000012</v>
      </c>
      <c r="H117" s="21"/>
    </row>
    <row r="118" spans="1:8">
      <c r="A118" s="14" t="s">
        <v>108</v>
      </c>
      <c r="B118" s="11"/>
      <c r="C118" s="15"/>
      <c r="D118">
        <v>2</v>
      </c>
      <c r="G118" s="13">
        <f t="shared" si="3"/>
        <v>2.0449999999999999E-2</v>
      </c>
      <c r="H118" s="13" t="s">
        <v>108</v>
      </c>
    </row>
    <row r="119" spans="1:8">
      <c r="A119" s="14" t="s">
        <v>109</v>
      </c>
      <c r="B119" s="11"/>
      <c r="C119" s="15"/>
      <c r="D119">
        <v>2</v>
      </c>
      <c r="G119" s="13">
        <f t="shared" si="3"/>
        <v>2.0449999999999999E-2</v>
      </c>
      <c r="H119" s="13"/>
    </row>
    <row r="120" spans="1:8">
      <c r="A120" s="14" t="s">
        <v>110</v>
      </c>
      <c r="B120" s="11"/>
      <c r="C120" s="15"/>
      <c r="D120">
        <v>2</v>
      </c>
      <c r="G120" s="13">
        <f>(E120*0.0022+0.0409)/D120</f>
        <v>2.0449999999999999E-2</v>
      </c>
      <c r="H120" s="13"/>
    </row>
    <row r="121" spans="1:8">
      <c r="A121" s="14" t="s">
        <v>111</v>
      </c>
      <c r="B121" s="11">
        <v>40170</v>
      </c>
      <c r="C121" s="15">
        <v>0.47430555555555554</v>
      </c>
      <c r="D121">
        <v>2</v>
      </c>
      <c r="G121" s="13">
        <f>(E121*0.0022+0.0409)/D121</f>
        <v>2.0449999999999999E-2</v>
      </c>
      <c r="H121" s="13"/>
    </row>
    <row r="122" spans="1:8">
      <c r="A122" s="14"/>
      <c r="B122" s="11"/>
      <c r="C122" s="15"/>
      <c r="D122">
        <v>2</v>
      </c>
      <c r="G122" s="13">
        <f>(E122*0.0022+0.0409)/D122</f>
        <v>2.0449999999999999E-2</v>
      </c>
      <c r="H122" s="13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workbookViewId="0">
      <selection activeCell="O22" sqref="O22"/>
    </sheetView>
  </sheetViews>
  <sheetFormatPr baseColWidth="10" defaultRowHeight="15" x14ac:dyDescent="0"/>
  <sheetData>
    <row r="1" spans="1:6">
      <c r="A1" t="s">
        <v>28</v>
      </c>
      <c r="B1" t="s">
        <v>29</v>
      </c>
      <c r="C1" t="s">
        <v>30</v>
      </c>
      <c r="D1" t="s">
        <v>31</v>
      </c>
      <c r="E1" s="9" t="s">
        <v>32</v>
      </c>
      <c r="F1" s="9"/>
    </row>
    <row r="2" spans="1:6">
      <c r="A2" s="10"/>
      <c r="E2" s="9"/>
      <c r="F2" s="9"/>
    </row>
    <row r="3" spans="1:6">
      <c r="A3" s="10">
        <v>40177</v>
      </c>
      <c r="B3">
        <v>2</v>
      </c>
      <c r="C3">
        <v>0.04</v>
      </c>
      <c r="D3">
        <v>7.6</v>
      </c>
      <c r="E3">
        <v>9.4</v>
      </c>
      <c r="F3" s="9">
        <f t="shared" ref="F3:F20" si="0">B3*C3</f>
        <v>0.08</v>
      </c>
    </row>
    <row r="4" spans="1:6">
      <c r="A4" s="11"/>
      <c r="B4">
        <v>2</v>
      </c>
      <c r="C4">
        <v>3.5000000000000003E-2</v>
      </c>
      <c r="F4" s="9">
        <f t="shared" si="0"/>
        <v>7.0000000000000007E-2</v>
      </c>
    </row>
    <row r="5" spans="1:6">
      <c r="A5" s="10"/>
      <c r="B5">
        <v>4</v>
      </c>
      <c r="C5">
        <v>3.5000000000000003E-2</v>
      </c>
      <c r="D5">
        <v>53.1</v>
      </c>
      <c r="E5">
        <v>27</v>
      </c>
      <c r="F5" s="9">
        <f t="shared" si="0"/>
        <v>0.14000000000000001</v>
      </c>
    </row>
    <row r="6" spans="1:6">
      <c r="A6" s="11"/>
      <c r="B6">
        <v>4</v>
      </c>
      <c r="C6">
        <v>3.5000000000000003E-2</v>
      </c>
      <c r="F6" s="9">
        <f t="shared" si="0"/>
        <v>0.14000000000000001</v>
      </c>
    </row>
    <row r="7" spans="1:6">
      <c r="A7" s="10"/>
      <c r="B7">
        <v>8</v>
      </c>
      <c r="C7">
        <v>3.5000000000000003E-2</v>
      </c>
      <c r="F7" s="9">
        <f t="shared" si="0"/>
        <v>0.28000000000000003</v>
      </c>
    </row>
    <row r="8" spans="1:6">
      <c r="A8" s="10"/>
      <c r="B8">
        <v>4</v>
      </c>
      <c r="C8">
        <v>0.2</v>
      </c>
      <c r="D8">
        <v>345.3</v>
      </c>
      <c r="E8">
        <v>150.1</v>
      </c>
      <c r="F8" s="9">
        <f t="shared" si="0"/>
        <v>0.8</v>
      </c>
    </row>
    <row r="9" spans="1:6">
      <c r="A9" s="10"/>
      <c r="B9">
        <v>2</v>
      </c>
      <c r="C9">
        <v>0.2</v>
      </c>
      <c r="D9">
        <v>153.69999999999999</v>
      </c>
      <c r="E9">
        <v>67.55</v>
      </c>
      <c r="F9" s="9">
        <f t="shared" si="0"/>
        <v>0.4</v>
      </c>
    </row>
    <row r="10" spans="1:6">
      <c r="A10" s="10"/>
      <c r="B10">
        <v>3</v>
      </c>
      <c r="C10">
        <v>0.2</v>
      </c>
      <c r="D10">
        <v>276.39999999999998</v>
      </c>
      <c r="E10">
        <v>123.3</v>
      </c>
      <c r="F10" s="9">
        <f t="shared" si="0"/>
        <v>0.60000000000000009</v>
      </c>
    </row>
    <row r="11" spans="1:6">
      <c r="A11" s="10"/>
      <c r="B11">
        <v>1</v>
      </c>
      <c r="C11">
        <v>0.2</v>
      </c>
      <c r="D11">
        <v>35</v>
      </c>
      <c r="E11">
        <v>23.5</v>
      </c>
      <c r="F11" s="9">
        <f t="shared" si="0"/>
        <v>0.2</v>
      </c>
    </row>
    <row r="12" spans="1:6">
      <c r="A12" s="10"/>
      <c r="B12">
        <v>5</v>
      </c>
      <c r="C12">
        <v>0.2</v>
      </c>
      <c r="D12">
        <v>484.8</v>
      </c>
      <c r="E12">
        <v>181</v>
      </c>
      <c r="F12" s="9">
        <f t="shared" si="0"/>
        <v>1</v>
      </c>
    </row>
    <row r="13" spans="1:6">
      <c r="A13" s="10"/>
      <c r="B13">
        <v>8</v>
      </c>
      <c r="C13">
        <v>0.2</v>
      </c>
      <c r="F13" s="9">
        <f t="shared" si="0"/>
        <v>1.6</v>
      </c>
    </row>
    <row r="14" spans="1:6">
      <c r="A14" s="10"/>
      <c r="B14">
        <v>1</v>
      </c>
      <c r="C14">
        <v>1.5089999999999999</v>
      </c>
      <c r="D14">
        <v>635.79999999999995</v>
      </c>
      <c r="E14">
        <v>257.8</v>
      </c>
      <c r="F14" s="9">
        <f t="shared" si="0"/>
        <v>1.5089999999999999</v>
      </c>
    </row>
    <row r="15" spans="1:6">
      <c r="A15" s="10"/>
      <c r="B15">
        <v>2</v>
      </c>
      <c r="C15">
        <v>1.5089999999999999</v>
      </c>
      <c r="D15">
        <v>1435</v>
      </c>
      <c r="E15">
        <v>620.6</v>
      </c>
      <c r="F15" s="9">
        <f t="shared" si="0"/>
        <v>3.0179999999999998</v>
      </c>
    </row>
    <row r="16" spans="1:6">
      <c r="A16" s="10"/>
      <c r="B16">
        <v>1.1499999999999999</v>
      </c>
      <c r="C16">
        <v>1.5089999999999999</v>
      </c>
      <c r="F16" s="9">
        <f t="shared" si="0"/>
        <v>1.7353499999999997</v>
      </c>
    </row>
    <row r="17" spans="1:24">
      <c r="A17" s="10"/>
      <c r="B17">
        <v>3</v>
      </c>
      <c r="C17">
        <v>1.5089999999999999</v>
      </c>
      <c r="F17" s="9">
        <f t="shared" si="0"/>
        <v>4.5269999999999992</v>
      </c>
    </row>
    <row r="18" spans="1:24">
      <c r="A18" s="10"/>
      <c r="B18">
        <v>3</v>
      </c>
      <c r="C18">
        <v>1.5089999999999999</v>
      </c>
      <c r="F18" s="9">
        <f t="shared" si="0"/>
        <v>4.5269999999999992</v>
      </c>
    </row>
    <row r="19" spans="1:24">
      <c r="A19" s="10"/>
      <c r="B19">
        <v>4</v>
      </c>
      <c r="C19">
        <v>1.5089999999999999</v>
      </c>
      <c r="F19" s="9">
        <f t="shared" si="0"/>
        <v>6.0359999999999996</v>
      </c>
    </row>
    <row r="20" spans="1:24">
      <c r="A20" s="10"/>
      <c r="B20">
        <v>4</v>
      </c>
      <c r="C20">
        <v>1.5089999999999999</v>
      </c>
      <c r="F20" s="9">
        <f t="shared" si="0"/>
        <v>6.0359999999999996</v>
      </c>
    </row>
    <row r="21" spans="1:24">
      <c r="A21" s="10"/>
      <c r="E21" s="9"/>
      <c r="F21" s="9"/>
      <c r="G21">
        <f>5*24</f>
        <v>120</v>
      </c>
      <c r="H21" t="s">
        <v>112</v>
      </c>
    </row>
    <row r="22" spans="1:24">
      <c r="A22" t="s">
        <v>33</v>
      </c>
      <c r="B22" t="s">
        <v>28</v>
      </c>
      <c r="C22" t="s">
        <v>34</v>
      </c>
      <c r="D22" t="s">
        <v>29</v>
      </c>
      <c r="E22" s="9" t="s">
        <v>31</v>
      </c>
      <c r="F22" s="9" t="s">
        <v>32</v>
      </c>
      <c r="G22" t="s">
        <v>30</v>
      </c>
      <c r="H22" t="s">
        <v>38</v>
      </c>
      <c r="J22" t="s">
        <v>39</v>
      </c>
      <c r="L22" t="s">
        <v>113</v>
      </c>
      <c r="M22" t="s">
        <v>114</v>
      </c>
      <c r="N22" t="s">
        <v>115</v>
      </c>
      <c r="Q22" t="s">
        <v>116</v>
      </c>
      <c r="U22" t="s">
        <v>117</v>
      </c>
      <c r="V22" t="s">
        <v>1</v>
      </c>
      <c r="W22" t="s">
        <v>2</v>
      </c>
    </row>
    <row r="23" spans="1:24">
      <c r="A23" t="s">
        <v>7</v>
      </c>
      <c r="B23" s="11">
        <v>40177</v>
      </c>
      <c r="C23" s="12">
        <v>0.5</v>
      </c>
      <c r="D23">
        <v>1</v>
      </c>
      <c r="E23">
        <v>1309</v>
      </c>
      <c r="F23">
        <v>578</v>
      </c>
      <c r="G23" s="13">
        <f>(E23*0.0021+0.073)/D23</f>
        <v>2.8218999999999999</v>
      </c>
      <c r="H23">
        <v>9.32</v>
      </c>
      <c r="I23">
        <v>938</v>
      </c>
      <c r="J23" s="9">
        <f>(G23*I23*12)/(H23*124.5*24.2)</f>
        <v>1.1311626956875136</v>
      </c>
      <c r="L23" s="13">
        <f>[1]Dec27_2009!G23</f>
        <v>0.32328000000000007</v>
      </c>
      <c r="M23" s="9">
        <f>(12*(G23-L23)*I23)/(24.2*74*H23)</f>
        <v>1.6850830041192895</v>
      </c>
      <c r="N23" s="9">
        <f>[1]Dec27_2009!J23</f>
        <v>0.32267226616536032</v>
      </c>
      <c r="Q23" s="4">
        <f>0.003*12*100/G23</f>
        <v>1.2757362061022717</v>
      </c>
      <c r="R23" s="23">
        <v>21506</v>
      </c>
      <c r="U23" t="s">
        <v>118</v>
      </c>
      <c r="V23">
        <v>-27.3</v>
      </c>
      <c r="W23">
        <v>123</v>
      </c>
    </row>
    <row r="24" spans="1:24">
      <c r="A24" t="s">
        <v>8</v>
      </c>
      <c r="C24" s="12"/>
      <c r="D24">
        <v>0.5</v>
      </c>
      <c r="E24">
        <v>1375</v>
      </c>
      <c r="F24">
        <v>643</v>
      </c>
      <c r="G24" s="13">
        <f t="shared" ref="G24:G38" si="1">(E24*0.0021+0.073)/D24</f>
        <v>5.9209999999999994</v>
      </c>
      <c r="H24">
        <v>22.04</v>
      </c>
      <c r="I24">
        <v>925</v>
      </c>
      <c r="J24" s="9">
        <f t="shared" ref="J24:J38" si="2">(G24*I24*12)/(H24*124.5*24.2)</f>
        <v>0.98974138970123571</v>
      </c>
      <c r="L24" s="13">
        <f>[1]Dec27_2009!G24</f>
        <v>0.62203999999999993</v>
      </c>
      <c r="M24" s="9">
        <f t="shared" ref="M24:M38" si="3">(12*(G24-L24)*I24)/(24.2*74*H24)</f>
        <v>1.4902356346837455</v>
      </c>
      <c r="N24" s="9">
        <f>[1]Dec27_2009!J24</f>
        <v>0.25890732102413344</v>
      </c>
      <c r="Q24" s="4">
        <f t="shared" ref="Q24:Q38" si="4">0.003*12*100/G24</f>
        <v>0.60800540449248452</v>
      </c>
      <c r="R24" s="23">
        <v>21507</v>
      </c>
      <c r="U24" t="s">
        <v>119</v>
      </c>
      <c r="V24">
        <v>-27.5</v>
      </c>
      <c r="W24">
        <v>117</v>
      </c>
    </row>
    <row r="25" spans="1:24">
      <c r="A25" t="s">
        <v>9</v>
      </c>
      <c r="C25" s="12"/>
      <c r="D25">
        <v>1</v>
      </c>
      <c r="E25">
        <v>1008</v>
      </c>
      <c r="F25">
        <v>430.4</v>
      </c>
      <c r="G25" s="13">
        <f t="shared" si="1"/>
        <v>2.1898</v>
      </c>
      <c r="H25">
        <v>10.15</v>
      </c>
      <c r="I25">
        <v>895</v>
      </c>
      <c r="J25" s="9">
        <f t="shared" si="2"/>
        <v>0.76905601480137864</v>
      </c>
      <c r="L25" s="13">
        <f>[1]Dec27_2009!G25</f>
        <v>0.22758000000000003</v>
      </c>
      <c r="M25" s="9">
        <f t="shared" si="3"/>
        <v>1.1594148307000971</v>
      </c>
      <c r="N25" s="9">
        <f>[1]Dec27_2009!J25</f>
        <v>0.19901552741928918</v>
      </c>
      <c r="Q25" s="4">
        <f t="shared" si="4"/>
        <v>1.643985752123482</v>
      </c>
      <c r="R25" s="23">
        <v>21508</v>
      </c>
      <c r="U25" t="s">
        <v>120</v>
      </c>
      <c r="V25">
        <v>-26.4</v>
      </c>
      <c r="W25">
        <v>153</v>
      </c>
    </row>
    <row r="26" spans="1:24">
      <c r="A26" t="s">
        <v>10</v>
      </c>
      <c r="C26" s="12"/>
      <c r="D26">
        <v>1</v>
      </c>
      <c r="E26">
        <v>958.6</v>
      </c>
      <c r="F26">
        <v>376</v>
      </c>
      <c r="G26" s="13">
        <f t="shared" si="1"/>
        <v>2.0860599999999998</v>
      </c>
      <c r="H26">
        <v>16.170000000000002</v>
      </c>
      <c r="I26">
        <v>940</v>
      </c>
      <c r="J26" s="9">
        <f t="shared" si="2"/>
        <v>0.4829933573820574</v>
      </c>
      <c r="L26" s="13">
        <f>[1]Dec27_2009!G26</f>
        <v>0.16905999999999999</v>
      </c>
      <c r="M26" s="9">
        <f t="shared" si="3"/>
        <v>0.74674806670084115</v>
      </c>
      <c r="N26" s="9">
        <f>[1]Dec27_2009!J26</f>
        <v>9.746632116407794E-2</v>
      </c>
      <c r="Q26" s="4">
        <f t="shared" si="4"/>
        <v>1.7257413497214849</v>
      </c>
      <c r="R26" s="23">
        <v>21509</v>
      </c>
      <c r="U26" t="s">
        <v>121</v>
      </c>
      <c r="V26">
        <v>-26.4</v>
      </c>
      <c r="W26">
        <v>72</v>
      </c>
      <c r="X26" t="s">
        <v>122</v>
      </c>
    </row>
    <row r="27" spans="1:24">
      <c r="A27" t="s">
        <v>11</v>
      </c>
      <c r="C27" s="12"/>
      <c r="D27">
        <v>1</v>
      </c>
      <c r="E27">
        <v>354.3</v>
      </c>
      <c r="F27">
        <v>180.6</v>
      </c>
      <c r="G27" s="13">
        <f t="shared" si="1"/>
        <v>0.81702999999999992</v>
      </c>
      <c r="H27">
        <v>62.22</v>
      </c>
      <c r="I27">
        <v>867</v>
      </c>
      <c r="J27" s="9">
        <f t="shared" si="2"/>
        <v>4.5344396145753592E-2</v>
      </c>
      <c r="L27" s="13">
        <f>[1]Dec27_2009!G27</f>
        <v>9.0266666666666676E-2</v>
      </c>
      <c r="M27" s="9">
        <f t="shared" si="3"/>
        <v>6.7860375617454588E-2</v>
      </c>
      <c r="N27" s="9">
        <f>[1]Dec27_2009!J27</f>
        <v>1.2474190489093619E-2</v>
      </c>
      <c r="Q27" s="4">
        <f t="shared" si="4"/>
        <v>4.406202954603871</v>
      </c>
      <c r="R27" s="23">
        <v>21510</v>
      </c>
      <c r="U27" t="s">
        <v>123</v>
      </c>
    </row>
    <row r="28" spans="1:24">
      <c r="A28" t="s">
        <v>12</v>
      </c>
      <c r="C28" s="12"/>
      <c r="D28">
        <v>0.5</v>
      </c>
      <c r="E28">
        <v>1032</v>
      </c>
      <c r="F28">
        <v>453.3</v>
      </c>
      <c r="G28" s="13">
        <f t="shared" si="1"/>
        <v>4.4803999999999995</v>
      </c>
      <c r="H28">
        <v>64.209999999999994</v>
      </c>
      <c r="I28">
        <v>853</v>
      </c>
      <c r="J28" s="9">
        <f t="shared" si="2"/>
        <v>0.23706076330895665</v>
      </c>
      <c r="L28" s="13">
        <f>[1]Dec27_2009!G28</f>
        <v>0.10236666666666666</v>
      </c>
      <c r="M28" s="9">
        <f t="shared" si="3"/>
        <v>0.38972618429372546</v>
      </c>
      <c r="N28" s="9">
        <f>[1]Dec27_2009!J28</f>
        <v>1.3486547884588406E-2</v>
      </c>
      <c r="Q28" s="4">
        <f t="shared" si="4"/>
        <v>0.80349968752789946</v>
      </c>
      <c r="R28" s="23">
        <v>21511</v>
      </c>
      <c r="U28" t="s">
        <v>124</v>
      </c>
    </row>
    <row r="29" spans="1:24">
      <c r="A29" t="s">
        <v>13</v>
      </c>
      <c r="C29" s="12"/>
      <c r="D29">
        <v>1</v>
      </c>
      <c r="E29">
        <v>119.5</v>
      </c>
      <c r="F29">
        <v>54.8</v>
      </c>
      <c r="G29" s="13">
        <f t="shared" si="1"/>
        <v>0.32395000000000002</v>
      </c>
      <c r="H29">
        <v>74.23</v>
      </c>
      <c r="I29">
        <v>922</v>
      </c>
      <c r="J29" s="9">
        <f t="shared" si="2"/>
        <v>1.6026030813024675E-2</v>
      </c>
      <c r="L29" s="13">
        <f>[1]Dec27_2009!G29</f>
        <v>0.17122666666666667</v>
      </c>
      <c r="M29" s="9">
        <f t="shared" si="3"/>
        <v>1.2711330632043896E-2</v>
      </c>
      <c r="N29" s="9">
        <f>[1]Dec27_2009!J29</f>
        <v>2.1092047389006469E-2</v>
      </c>
      <c r="Q29" s="4">
        <f t="shared" si="4"/>
        <v>11.112826053403303</v>
      </c>
      <c r="R29" s="23">
        <v>21512</v>
      </c>
      <c r="U29" t="s">
        <v>125</v>
      </c>
      <c r="V29">
        <v>-26.5</v>
      </c>
      <c r="W29">
        <v>125</v>
      </c>
    </row>
    <row r="30" spans="1:24">
      <c r="A30" t="s">
        <v>14</v>
      </c>
      <c r="C30" s="12"/>
      <c r="D30">
        <v>1</v>
      </c>
      <c r="E30">
        <v>1327</v>
      </c>
      <c r="F30">
        <v>624</v>
      </c>
      <c r="G30" s="13">
        <f t="shared" si="1"/>
        <v>2.8596999999999997</v>
      </c>
      <c r="H30">
        <v>44.44</v>
      </c>
      <c r="I30">
        <v>842</v>
      </c>
      <c r="J30" s="9">
        <f t="shared" si="2"/>
        <v>0.21580179127143026</v>
      </c>
      <c r="L30" s="13">
        <f>[1]Dec27_2009!G30</f>
        <v>0.11188533333333334</v>
      </c>
      <c r="M30" s="9">
        <f t="shared" si="3"/>
        <v>0.34886679773628471</v>
      </c>
      <c r="N30" s="9">
        <f>[1]Dec27_2009!J30</f>
        <v>2.1023599616159964E-2</v>
      </c>
      <c r="Q30" s="4">
        <f t="shared" si="4"/>
        <v>1.2588733083889923</v>
      </c>
      <c r="R30" s="23">
        <v>21513</v>
      </c>
      <c r="U30" t="s">
        <v>126</v>
      </c>
      <c r="V30">
        <v>-26.9</v>
      </c>
      <c r="W30">
        <v>116</v>
      </c>
    </row>
    <row r="31" spans="1:24">
      <c r="A31" t="s">
        <v>24</v>
      </c>
      <c r="C31" s="12"/>
      <c r="D31">
        <v>1.8</v>
      </c>
      <c r="E31">
        <v>1991</v>
      </c>
      <c r="F31">
        <v>885.5</v>
      </c>
      <c r="G31" s="13">
        <f t="shared" si="1"/>
        <v>2.3633888888888888</v>
      </c>
      <c r="H31">
        <v>77.19</v>
      </c>
      <c r="I31">
        <v>891</v>
      </c>
      <c r="J31" s="9">
        <f t="shared" si="2"/>
        <v>0.10865466600883981</v>
      </c>
      <c r="L31" s="13">
        <f>[1]Dec27_2009!G31</f>
        <v>0.16615000000000002</v>
      </c>
      <c r="M31" s="9">
        <f t="shared" si="3"/>
        <v>0.16995271249060601</v>
      </c>
      <c r="N31" s="9">
        <f>[1]Dec27_2009!J31</f>
        <v>1.9020103875914216E-2</v>
      </c>
      <c r="Q31" s="4">
        <f t="shared" si="4"/>
        <v>1.5232364072306719</v>
      </c>
      <c r="R31" s="23">
        <v>21514</v>
      </c>
      <c r="U31" t="s">
        <v>127</v>
      </c>
      <c r="V31">
        <v>-23.7</v>
      </c>
      <c r="W31">
        <v>76</v>
      </c>
    </row>
    <row r="32" spans="1:24">
      <c r="A32" t="s">
        <v>25</v>
      </c>
      <c r="C32" s="12"/>
      <c r="D32">
        <v>1</v>
      </c>
      <c r="E32">
        <v>63.2</v>
      </c>
      <c r="F32">
        <v>38.9</v>
      </c>
      <c r="G32" s="13">
        <f t="shared" si="1"/>
        <v>0.20572000000000001</v>
      </c>
      <c r="H32">
        <v>98.12</v>
      </c>
      <c r="I32">
        <v>898</v>
      </c>
      <c r="J32" s="9">
        <f t="shared" si="2"/>
        <v>7.4988012207921756E-3</v>
      </c>
      <c r="L32" s="13">
        <f>[1]Dec27_2009!G32</f>
        <v>5.0264999999999997E-2</v>
      </c>
      <c r="M32" s="9">
        <f t="shared" si="3"/>
        <v>9.5336159421880069E-3</v>
      </c>
      <c r="N32" s="9">
        <f>[1]Dec27_2009!J32</f>
        <v>4.5622634453342673E-3</v>
      </c>
      <c r="Q32" s="4">
        <f t="shared" si="4"/>
        <v>17.499513902391602</v>
      </c>
      <c r="R32" s="23">
        <v>21515</v>
      </c>
      <c r="U32" t="s">
        <v>128</v>
      </c>
      <c r="V32">
        <v>-23.7</v>
      </c>
      <c r="W32">
        <v>76</v>
      </c>
    </row>
    <row r="33" spans="1:23">
      <c r="C33" s="12"/>
      <c r="D33">
        <v>2</v>
      </c>
      <c r="E33">
        <v>170</v>
      </c>
      <c r="F33">
        <v>82.26</v>
      </c>
      <c r="G33" s="13">
        <f t="shared" si="1"/>
        <v>0.215</v>
      </c>
      <c r="J33" s="9"/>
      <c r="L33" s="13">
        <f>[1]Dec27_2009!G32</f>
        <v>5.0264999999999997E-2</v>
      </c>
      <c r="M33" s="9"/>
      <c r="N33" s="9"/>
      <c r="Q33" s="4">
        <f t="shared" si="4"/>
        <v>16.744186046511629</v>
      </c>
    </row>
    <row r="34" spans="1:23">
      <c r="A34" t="s">
        <v>26</v>
      </c>
      <c r="C34" s="12"/>
      <c r="D34">
        <v>1</v>
      </c>
      <c r="E34">
        <v>106</v>
      </c>
      <c r="F34">
        <v>46.5</v>
      </c>
      <c r="G34" s="13">
        <f t="shared" si="1"/>
        <v>0.29559999999999997</v>
      </c>
      <c r="H34">
        <v>67.16</v>
      </c>
      <c r="I34">
        <v>855</v>
      </c>
      <c r="J34" s="9">
        <f t="shared" si="2"/>
        <v>1.4988438339321975E-2</v>
      </c>
      <c r="L34" s="13">
        <f>[1]Dec27_2009!G33</f>
        <v>0.16758000000000003</v>
      </c>
      <c r="M34" s="9">
        <f t="shared" si="3"/>
        <v>1.0921125817709277E-2</v>
      </c>
      <c r="N34" s="9">
        <f>[1]Dec27_2009!J33</f>
        <v>2.115794525470199E-2</v>
      </c>
      <c r="Q34" s="4">
        <f t="shared" si="4"/>
        <v>12.178619756427608</v>
      </c>
      <c r="R34" s="23">
        <v>21516</v>
      </c>
      <c r="U34" t="s">
        <v>129</v>
      </c>
      <c r="V34">
        <v>-26.8</v>
      </c>
      <c r="W34">
        <v>117</v>
      </c>
    </row>
    <row r="35" spans="1:23">
      <c r="A35" t="s">
        <v>35</v>
      </c>
      <c r="C35" s="12"/>
      <c r="D35">
        <v>2</v>
      </c>
      <c r="E35">
        <v>195.5</v>
      </c>
      <c r="F35">
        <v>80</v>
      </c>
      <c r="G35" s="13">
        <f t="shared" si="1"/>
        <v>0.24177499999999999</v>
      </c>
      <c r="H35">
        <v>88.52</v>
      </c>
      <c r="I35">
        <v>897</v>
      </c>
      <c r="J35" s="9">
        <f t="shared" si="2"/>
        <v>9.7579583120192756E-3</v>
      </c>
      <c r="L35" s="13">
        <f>[1]Dec27_2009!G34</f>
        <v>9.7086666666666668E-2</v>
      </c>
      <c r="M35" s="9">
        <f t="shared" si="3"/>
        <v>9.8246867480836168E-3</v>
      </c>
      <c r="N35" s="9">
        <f>[1]Dec27_2009!J34</f>
        <v>9.7567798097642402E-3</v>
      </c>
      <c r="Q35" s="4">
        <f t="shared" si="4"/>
        <v>14.889876951711305</v>
      </c>
      <c r="R35" s="23">
        <v>21517</v>
      </c>
      <c r="U35" t="s">
        <v>130</v>
      </c>
      <c r="V35">
        <v>-25.6</v>
      </c>
      <c r="W35">
        <v>75</v>
      </c>
    </row>
    <row r="36" spans="1:23">
      <c r="A36" t="s">
        <v>15</v>
      </c>
      <c r="C36" s="12"/>
      <c r="D36">
        <v>2</v>
      </c>
      <c r="E36">
        <v>1644</v>
      </c>
      <c r="F36">
        <v>693</v>
      </c>
      <c r="G36" s="13">
        <f t="shared" si="1"/>
        <v>1.7626999999999999</v>
      </c>
      <c r="H36">
        <v>97.99</v>
      </c>
      <c r="I36">
        <v>921</v>
      </c>
      <c r="J36" s="9">
        <f t="shared" si="2"/>
        <v>6.5986152390927796E-2</v>
      </c>
      <c r="L36" s="13">
        <f>[1]Dec27_2009!G35</f>
        <v>0.16895333333333337</v>
      </c>
      <c r="M36" s="9">
        <f t="shared" si="3"/>
        <v>0.10037633220221427</v>
      </c>
      <c r="N36" s="9">
        <f>[1]Dec27_2009!J35</f>
        <v>1.5748547794133153E-2</v>
      </c>
      <c r="Q36" s="4">
        <f t="shared" si="4"/>
        <v>2.0423214387019915</v>
      </c>
      <c r="R36" s="23">
        <v>21518</v>
      </c>
      <c r="U36" t="s">
        <v>131</v>
      </c>
      <c r="V36">
        <v>-25.89</v>
      </c>
      <c r="W36">
        <v>342.6</v>
      </c>
    </row>
    <row r="37" spans="1:23">
      <c r="A37" t="s">
        <v>16</v>
      </c>
      <c r="C37" s="12"/>
      <c r="D37">
        <v>1</v>
      </c>
      <c r="E37">
        <v>1841</v>
      </c>
      <c r="F37">
        <v>776</v>
      </c>
      <c r="G37" s="13">
        <f t="shared" si="1"/>
        <v>3.9390999999999998</v>
      </c>
      <c r="H37">
        <v>91.66</v>
      </c>
      <c r="I37">
        <v>899</v>
      </c>
      <c r="J37" s="9">
        <f t="shared" si="2"/>
        <v>0.15387688058085994</v>
      </c>
      <c r="L37" s="13">
        <f>[1]Dec27_2009!G36</f>
        <v>0.23744666666666669</v>
      </c>
      <c r="M37" s="9">
        <f t="shared" si="3"/>
        <v>0.2432818686689712</v>
      </c>
      <c r="N37" s="9">
        <f>[1]Dec27_2009!J36</f>
        <v>2.3096267016263848E-2</v>
      </c>
      <c r="Q37" s="4">
        <f t="shared" si="4"/>
        <v>0.91391434591658005</v>
      </c>
      <c r="R37" s="23">
        <v>21519</v>
      </c>
      <c r="U37" t="s">
        <v>132</v>
      </c>
      <c r="V37">
        <v>-26.79</v>
      </c>
      <c r="W37">
        <v>329.7</v>
      </c>
    </row>
    <row r="38" spans="1:23">
      <c r="A38" t="s">
        <v>17</v>
      </c>
      <c r="C38" s="12">
        <v>0.52083333333333337</v>
      </c>
      <c r="D38">
        <v>1</v>
      </c>
      <c r="E38">
        <v>1931</v>
      </c>
      <c r="F38">
        <v>891</v>
      </c>
      <c r="G38" s="13">
        <f t="shared" si="1"/>
        <v>4.1280999999999999</v>
      </c>
      <c r="H38">
        <v>70.760000000000005</v>
      </c>
      <c r="I38">
        <v>858</v>
      </c>
      <c r="J38" s="9">
        <f t="shared" si="2"/>
        <v>0.19936375338447165</v>
      </c>
      <c r="L38" s="13">
        <f>[1]Dec27_2009!G37</f>
        <v>0.67539199999999999</v>
      </c>
      <c r="M38" s="9">
        <f t="shared" si="3"/>
        <v>0.28053914884101433</v>
      </c>
      <c r="N38" s="9">
        <f>[1]Dec27_2009!J37</f>
        <v>8.1217805642633215E-2</v>
      </c>
      <c r="Q38" s="4">
        <f t="shared" si="4"/>
        <v>0.87207189748310376</v>
      </c>
      <c r="R38" s="23">
        <v>21520</v>
      </c>
      <c r="U38" t="s">
        <v>133</v>
      </c>
      <c r="V38">
        <v>-26.5</v>
      </c>
      <c r="W38">
        <v>338.3</v>
      </c>
    </row>
    <row r="39" spans="1:23">
      <c r="E39" s="9"/>
      <c r="F39" s="9"/>
      <c r="L39" s="13"/>
      <c r="N39" s="9"/>
    </row>
    <row r="40" spans="1:23">
      <c r="E40" s="9"/>
      <c r="F40" s="9"/>
      <c r="N40" s="9"/>
    </row>
    <row r="41" spans="1:23">
      <c r="E41" s="9"/>
      <c r="F41" s="9"/>
    </row>
    <row r="44" spans="1:23">
      <c r="A44" s="14" t="s">
        <v>40</v>
      </c>
      <c r="B44" s="11">
        <v>40177</v>
      </c>
      <c r="C44" s="15">
        <v>0.52777777777777779</v>
      </c>
      <c r="D44">
        <v>1</v>
      </c>
      <c r="E44">
        <v>277.3</v>
      </c>
      <c r="F44">
        <v>126</v>
      </c>
      <c r="G44" s="13">
        <f t="shared" ref="G44:G106" si="5">(E44*0.0021+0.073)/D44</f>
        <v>0.65532999999999997</v>
      </c>
      <c r="H44" s="16" t="s">
        <v>41</v>
      </c>
    </row>
    <row r="45" spans="1:23">
      <c r="A45" s="14" t="s">
        <v>42</v>
      </c>
      <c r="B45" s="11"/>
      <c r="C45" s="15"/>
      <c r="D45">
        <v>2</v>
      </c>
      <c r="E45">
        <v>668.1</v>
      </c>
      <c r="F45">
        <v>275.8</v>
      </c>
      <c r="G45" s="13">
        <f t="shared" si="5"/>
        <v>0.73800499999999991</v>
      </c>
      <c r="H45" s="16"/>
    </row>
    <row r="46" spans="1:23">
      <c r="A46" s="14" t="s">
        <v>43</v>
      </c>
      <c r="B46" s="11"/>
      <c r="C46" s="15"/>
      <c r="D46">
        <v>1.5</v>
      </c>
      <c r="E46">
        <v>961.2</v>
      </c>
      <c r="F46">
        <v>385</v>
      </c>
      <c r="G46" s="13">
        <f t="shared" si="5"/>
        <v>1.3943466666666666</v>
      </c>
      <c r="H46" s="17"/>
    </row>
    <row r="47" spans="1:23">
      <c r="A47" s="14" t="s">
        <v>44</v>
      </c>
      <c r="B47" s="11"/>
      <c r="C47" s="15"/>
      <c r="D47">
        <v>2</v>
      </c>
      <c r="E47">
        <v>863</v>
      </c>
      <c r="F47">
        <v>370.5</v>
      </c>
      <c r="G47" s="13">
        <f t="shared" si="5"/>
        <v>0.94264999999999988</v>
      </c>
      <c r="H47" s="17" t="s">
        <v>45</v>
      </c>
    </row>
    <row r="48" spans="1:23">
      <c r="A48" s="14" t="s">
        <v>46</v>
      </c>
      <c r="B48" s="11"/>
      <c r="C48" s="15"/>
      <c r="D48">
        <v>2</v>
      </c>
      <c r="E48">
        <v>1056.2</v>
      </c>
      <c r="F48">
        <v>461</v>
      </c>
      <c r="G48" s="13">
        <f t="shared" si="5"/>
        <v>1.14551</v>
      </c>
      <c r="H48" s="17"/>
    </row>
    <row r="49" spans="1:8">
      <c r="A49" s="14" t="s">
        <v>47</v>
      </c>
      <c r="B49" s="11"/>
      <c r="C49" s="15"/>
      <c r="D49">
        <v>2</v>
      </c>
      <c r="E49">
        <v>910.9</v>
      </c>
      <c r="F49">
        <v>383.4</v>
      </c>
      <c r="G49" s="13">
        <f t="shared" si="5"/>
        <v>0.99294499999999986</v>
      </c>
      <c r="H49" s="17"/>
    </row>
    <row r="50" spans="1:8">
      <c r="A50" s="14" t="s">
        <v>48</v>
      </c>
      <c r="B50" s="11"/>
      <c r="C50" s="15"/>
      <c r="D50">
        <v>2</v>
      </c>
      <c r="E50">
        <v>688.8</v>
      </c>
      <c r="F50">
        <v>326.7</v>
      </c>
      <c r="G50" s="13">
        <f t="shared" si="5"/>
        <v>0.75973999999999986</v>
      </c>
      <c r="H50" s="17" t="s">
        <v>49</v>
      </c>
    </row>
    <row r="51" spans="1:8">
      <c r="A51" s="14" t="s">
        <v>50</v>
      </c>
      <c r="B51" s="11"/>
      <c r="C51" s="15"/>
      <c r="D51">
        <v>2</v>
      </c>
      <c r="E51">
        <v>1259.2</v>
      </c>
      <c r="F51">
        <v>529.20000000000005</v>
      </c>
      <c r="G51" s="13">
        <f t="shared" si="5"/>
        <v>1.35866</v>
      </c>
      <c r="H51" s="17"/>
    </row>
    <row r="52" spans="1:8">
      <c r="A52" s="14" t="s">
        <v>51</v>
      </c>
      <c r="B52" s="11"/>
      <c r="C52" s="15"/>
      <c r="D52">
        <v>2</v>
      </c>
      <c r="E52">
        <v>956.8</v>
      </c>
      <c r="F52">
        <v>426.3</v>
      </c>
      <c r="G52" s="13">
        <f t="shared" si="5"/>
        <v>1.04114</v>
      </c>
      <c r="H52" s="17"/>
    </row>
    <row r="53" spans="1:8">
      <c r="A53" s="14" t="s">
        <v>52</v>
      </c>
      <c r="B53" s="11"/>
      <c r="C53" s="15"/>
      <c r="D53">
        <v>1.8</v>
      </c>
      <c r="E53">
        <v>2003</v>
      </c>
      <c r="F53">
        <v>881</v>
      </c>
      <c r="G53" s="13">
        <f t="shared" si="5"/>
        <v>2.377388888888889</v>
      </c>
      <c r="H53" s="17" t="s">
        <v>53</v>
      </c>
    </row>
    <row r="54" spans="1:8">
      <c r="A54" s="14" t="s">
        <v>54</v>
      </c>
      <c r="B54" s="11"/>
      <c r="C54" s="15"/>
      <c r="D54">
        <v>2</v>
      </c>
      <c r="E54">
        <v>1404.6</v>
      </c>
      <c r="F54">
        <v>597.20000000000005</v>
      </c>
      <c r="G54" s="13">
        <f t="shared" si="5"/>
        <v>1.5113299999999998</v>
      </c>
      <c r="H54" s="17"/>
    </row>
    <row r="55" spans="1:8">
      <c r="A55" s="14" t="s">
        <v>55</v>
      </c>
      <c r="B55" s="11"/>
      <c r="C55" s="15"/>
      <c r="D55">
        <v>2</v>
      </c>
      <c r="E55">
        <v>1533.2</v>
      </c>
      <c r="F55">
        <v>630.20000000000005</v>
      </c>
      <c r="G55" s="13">
        <f t="shared" si="5"/>
        <v>1.6463599999999998</v>
      </c>
      <c r="H55" s="17"/>
    </row>
    <row r="56" spans="1:8">
      <c r="A56" s="14" t="s">
        <v>56</v>
      </c>
      <c r="B56" s="11"/>
      <c r="C56" s="15"/>
      <c r="D56">
        <v>1.8</v>
      </c>
      <c r="E56">
        <v>133.1</v>
      </c>
      <c r="F56">
        <v>57.2</v>
      </c>
      <c r="G56" s="13">
        <f t="shared" si="5"/>
        <v>0.19583888888888887</v>
      </c>
      <c r="H56" s="18" t="s">
        <v>41</v>
      </c>
    </row>
    <row r="57" spans="1:8">
      <c r="A57" s="14" t="s">
        <v>57</v>
      </c>
      <c r="B57" s="11"/>
      <c r="C57" s="15"/>
      <c r="D57">
        <v>2</v>
      </c>
      <c r="E57">
        <v>274.02999999999997</v>
      </c>
      <c r="F57">
        <v>106.9</v>
      </c>
      <c r="G57" s="13">
        <f t="shared" si="5"/>
        <v>0.32423149999999995</v>
      </c>
      <c r="H57" s="18"/>
    </row>
    <row r="58" spans="1:8">
      <c r="A58" s="14" t="s">
        <v>58</v>
      </c>
      <c r="B58" s="11"/>
      <c r="C58" s="15"/>
      <c r="D58">
        <v>2</v>
      </c>
      <c r="E58">
        <v>108.05</v>
      </c>
      <c r="F58">
        <v>45.6</v>
      </c>
      <c r="G58" s="13">
        <f t="shared" si="5"/>
        <v>0.14995249999999999</v>
      </c>
      <c r="H58" s="18"/>
    </row>
    <row r="59" spans="1:8">
      <c r="A59" s="14" t="s">
        <v>59</v>
      </c>
      <c r="B59" s="11"/>
      <c r="C59" s="15"/>
      <c r="D59">
        <v>2</v>
      </c>
      <c r="E59">
        <v>164.1</v>
      </c>
      <c r="F59">
        <v>77.8</v>
      </c>
      <c r="G59" s="13">
        <f t="shared" si="5"/>
        <v>0.20880499999999999</v>
      </c>
      <c r="H59" s="18" t="s">
        <v>45</v>
      </c>
    </row>
    <row r="60" spans="1:8">
      <c r="A60" s="14" t="s">
        <v>60</v>
      </c>
      <c r="B60" s="11"/>
      <c r="C60" s="15"/>
      <c r="D60">
        <v>2</v>
      </c>
      <c r="E60">
        <v>132.30000000000001</v>
      </c>
      <c r="F60">
        <v>127.6</v>
      </c>
      <c r="G60" s="13">
        <f t="shared" si="5"/>
        <v>0.17541500000000002</v>
      </c>
      <c r="H60" s="18"/>
    </row>
    <row r="61" spans="1:8">
      <c r="A61" s="14" t="s">
        <v>61</v>
      </c>
      <c r="B61" s="11"/>
      <c r="C61" s="15"/>
      <c r="D61">
        <v>2</v>
      </c>
      <c r="E61">
        <v>460.5</v>
      </c>
      <c r="F61">
        <v>186</v>
      </c>
      <c r="G61" s="13">
        <f t="shared" si="5"/>
        <v>0.52002499999999996</v>
      </c>
      <c r="H61" s="18"/>
    </row>
    <row r="62" spans="1:8">
      <c r="A62" s="14" t="s">
        <v>62</v>
      </c>
      <c r="B62" s="11"/>
      <c r="C62" s="15"/>
      <c r="D62">
        <v>2</v>
      </c>
      <c r="E62">
        <v>201</v>
      </c>
      <c r="F62">
        <v>83.09</v>
      </c>
      <c r="G62" s="13">
        <f t="shared" si="5"/>
        <v>0.24754999999999999</v>
      </c>
      <c r="H62" s="18" t="s">
        <v>49</v>
      </c>
    </row>
    <row r="63" spans="1:8">
      <c r="A63" s="14" t="s">
        <v>63</v>
      </c>
      <c r="B63" s="11"/>
      <c r="C63" s="15"/>
      <c r="D63">
        <v>2</v>
      </c>
      <c r="E63">
        <v>194.7</v>
      </c>
      <c r="F63">
        <v>92.8</v>
      </c>
      <c r="G63" s="13">
        <f t="shared" si="5"/>
        <v>0.24093499999999998</v>
      </c>
      <c r="H63" s="18"/>
    </row>
    <row r="64" spans="1:8">
      <c r="A64" s="14" t="s">
        <v>64</v>
      </c>
      <c r="B64" s="11"/>
      <c r="C64" s="15"/>
      <c r="D64">
        <v>2</v>
      </c>
      <c r="E64">
        <v>111.9</v>
      </c>
      <c r="F64">
        <v>65.099999999999994</v>
      </c>
      <c r="G64" s="13">
        <f t="shared" si="5"/>
        <v>0.15399499999999999</v>
      </c>
      <c r="H64" s="18"/>
    </row>
    <row r="65" spans="1:9">
      <c r="A65" s="14" t="s">
        <v>65</v>
      </c>
      <c r="B65" s="11"/>
      <c r="C65" s="15"/>
      <c r="D65">
        <v>2</v>
      </c>
      <c r="E65">
        <v>276.39999999999998</v>
      </c>
      <c r="F65">
        <v>143.1</v>
      </c>
      <c r="G65" s="13">
        <f t="shared" si="5"/>
        <v>0.32671999999999995</v>
      </c>
      <c r="H65" s="18" t="s">
        <v>53</v>
      </c>
    </row>
    <row r="66" spans="1:9">
      <c r="A66" s="14" t="s">
        <v>66</v>
      </c>
      <c r="B66" s="11"/>
      <c r="C66" s="15"/>
      <c r="D66">
        <v>2</v>
      </c>
      <c r="E66">
        <v>172</v>
      </c>
      <c r="F66">
        <v>87.6</v>
      </c>
      <c r="G66" s="13">
        <f t="shared" si="5"/>
        <v>0.21709999999999999</v>
      </c>
      <c r="H66" s="18"/>
    </row>
    <row r="67" spans="1:9">
      <c r="A67" s="14" t="s">
        <v>67</v>
      </c>
      <c r="B67" s="11">
        <v>40177</v>
      </c>
      <c r="C67" s="15" t="s">
        <v>134</v>
      </c>
      <c r="D67">
        <v>2</v>
      </c>
      <c r="E67">
        <v>282.92</v>
      </c>
      <c r="F67">
        <v>130.69999999999999</v>
      </c>
      <c r="G67" s="13">
        <f t="shared" si="5"/>
        <v>0.33356599999999997</v>
      </c>
      <c r="H67" s="18"/>
    </row>
    <row r="68" spans="1:9">
      <c r="A68" s="14"/>
      <c r="B68" s="11"/>
      <c r="C68" s="15"/>
      <c r="D68">
        <v>3</v>
      </c>
      <c r="E68">
        <v>214.9</v>
      </c>
      <c r="F68">
        <v>107.2</v>
      </c>
      <c r="G68" s="13">
        <f t="shared" si="5"/>
        <v>0.1747633333333333</v>
      </c>
      <c r="H68" s="13" t="s">
        <v>68</v>
      </c>
      <c r="I68" s="19">
        <v>2E-3</v>
      </c>
    </row>
    <row r="69" spans="1:9">
      <c r="A69" s="14"/>
      <c r="B69" s="11"/>
      <c r="C69" s="15"/>
      <c r="G69" s="13"/>
      <c r="H69" s="13" t="s">
        <v>68</v>
      </c>
      <c r="I69" s="19"/>
    </row>
    <row r="70" spans="1:9">
      <c r="A70" s="14" t="s">
        <v>69</v>
      </c>
      <c r="B70" s="11">
        <v>40177</v>
      </c>
      <c r="C70" s="15">
        <v>0.54861111111111105</v>
      </c>
      <c r="D70">
        <v>2</v>
      </c>
      <c r="E70">
        <v>1895</v>
      </c>
      <c r="F70">
        <v>753.3</v>
      </c>
      <c r="G70" s="13">
        <f t="shared" si="5"/>
        <v>2.0262500000000001</v>
      </c>
      <c r="H70" s="20" t="s">
        <v>41</v>
      </c>
    </row>
    <row r="71" spans="1:9">
      <c r="A71" s="14" t="s">
        <v>70</v>
      </c>
      <c r="B71" s="11"/>
      <c r="C71" s="15"/>
      <c r="D71">
        <v>2</v>
      </c>
      <c r="E71">
        <v>1820.9</v>
      </c>
      <c r="F71">
        <v>768</v>
      </c>
      <c r="G71" s="13">
        <f t="shared" si="5"/>
        <v>1.948445</v>
      </c>
      <c r="H71" s="20"/>
    </row>
    <row r="72" spans="1:9">
      <c r="A72" s="14" t="s">
        <v>71</v>
      </c>
      <c r="B72" s="11"/>
      <c r="C72" s="15"/>
      <c r="D72">
        <v>1.7</v>
      </c>
      <c r="E72">
        <v>1370</v>
      </c>
      <c r="F72">
        <v>600.9</v>
      </c>
      <c r="G72" s="13">
        <f t="shared" si="5"/>
        <v>1.7352941176470587</v>
      </c>
      <c r="H72" s="20"/>
    </row>
    <row r="73" spans="1:9">
      <c r="A73" s="14" t="s">
        <v>72</v>
      </c>
      <c r="B73" s="11"/>
      <c r="C73" s="15"/>
      <c r="D73">
        <v>1</v>
      </c>
      <c r="E73">
        <v>635.5</v>
      </c>
      <c r="F73">
        <v>287</v>
      </c>
      <c r="G73" s="13">
        <f t="shared" si="5"/>
        <v>1.4075499999999999</v>
      </c>
      <c r="H73" s="20" t="s">
        <v>45</v>
      </c>
    </row>
    <row r="74" spans="1:9">
      <c r="A74" s="14" t="s">
        <v>73</v>
      </c>
      <c r="B74" s="11"/>
      <c r="C74" s="15"/>
      <c r="D74">
        <v>2</v>
      </c>
      <c r="E74">
        <v>1645.5</v>
      </c>
      <c r="F74">
        <v>655</v>
      </c>
      <c r="G74" s="13">
        <f t="shared" si="5"/>
        <v>1.7642749999999998</v>
      </c>
      <c r="H74" s="20"/>
    </row>
    <row r="75" spans="1:9">
      <c r="A75" s="14" t="s">
        <v>74</v>
      </c>
      <c r="B75" s="11"/>
      <c r="C75" s="15"/>
      <c r="D75">
        <v>2</v>
      </c>
      <c r="E75">
        <v>1501.8</v>
      </c>
      <c r="F75">
        <v>646</v>
      </c>
      <c r="G75" s="13">
        <f t="shared" si="5"/>
        <v>1.6133899999999999</v>
      </c>
      <c r="H75" s="20"/>
    </row>
    <row r="76" spans="1:9">
      <c r="A76" s="14" t="s">
        <v>75</v>
      </c>
      <c r="B76" s="11"/>
      <c r="C76" s="15"/>
      <c r="D76">
        <v>2</v>
      </c>
      <c r="E76">
        <v>1817.9</v>
      </c>
      <c r="F76">
        <v>781</v>
      </c>
      <c r="G76" s="13">
        <f t="shared" si="5"/>
        <v>1.945295</v>
      </c>
      <c r="H76" s="20" t="s">
        <v>49</v>
      </c>
    </row>
    <row r="77" spans="1:9">
      <c r="A77" s="14" t="s">
        <v>76</v>
      </c>
      <c r="B77" s="11"/>
      <c r="C77" s="15"/>
      <c r="D77">
        <v>2</v>
      </c>
      <c r="E77">
        <v>1987</v>
      </c>
      <c r="F77">
        <v>805.1</v>
      </c>
      <c r="G77" s="13">
        <f t="shared" si="5"/>
        <v>2.1228500000000001</v>
      </c>
      <c r="H77" s="20"/>
    </row>
    <row r="78" spans="1:9">
      <c r="A78" s="14" t="s">
        <v>77</v>
      </c>
      <c r="B78" s="11"/>
      <c r="C78" s="15"/>
      <c r="D78">
        <v>2</v>
      </c>
      <c r="E78">
        <v>1714</v>
      </c>
      <c r="F78">
        <v>685.8</v>
      </c>
      <c r="G78" s="13">
        <f t="shared" si="5"/>
        <v>1.8361999999999998</v>
      </c>
      <c r="H78" s="20"/>
    </row>
    <row r="79" spans="1:9">
      <c r="A79" s="14" t="s">
        <v>78</v>
      </c>
      <c r="B79" s="11"/>
      <c r="C79" s="15"/>
      <c r="D79">
        <v>2</v>
      </c>
      <c r="E79">
        <v>1550</v>
      </c>
      <c r="F79">
        <v>664.9</v>
      </c>
      <c r="G79" s="13">
        <f t="shared" si="5"/>
        <v>1.6639999999999999</v>
      </c>
      <c r="H79" s="20" t="s">
        <v>53</v>
      </c>
    </row>
    <row r="80" spans="1:9">
      <c r="A80" s="14" t="s">
        <v>79</v>
      </c>
      <c r="B80" s="11"/>
      <c r="C80" s="15"/>
      <c r="D80">
        <v>0.9</v>
      </c>
      <c r="E80">
        <v>991</v>
      </c>
      <c r="F80">
        <v>454.4</v>
      </c>
      <c r="G80" s="13">
        <f t="shared" si="5"/>
        <v>2.393444444444444</v>
      </c>
      <c r="H80" s="20"/>
    </row>
    <row r="81" spans="1:8">
      <c r="A81" s="14" t="s">
        <v>80</v>
      </c>
      <c r="B81" s="11"/>
      <c r="C81" s="15"/>
      <c r="D81">
        <v>0.9</v>
      </c>
      <c r="E81">
        <v>981.7</v>
      </c>
      <c r="F81">
        <v>410.7</v>
      </c>
      <c r="G81" s="13">
        <f t="shared" si="5"/>
        <v>2.3717444444444444</v>
      </c>
      <c r="H81" s="20"/>
    </row>
    <row r="82" spans="1:8">
      <c r="A82" s="14" t="s">
        <v>81</v>
      </c>
      <c r="B82" s="11"/>
      <c r="C82" s="15"/>
      <c r="D82">
        <v>2</v>
      </c>
      <c r="E82">
        <v>237.4</v>
      </c>
      <c r="F82">
        <v>94.2</v>
      </c>
      <c r="G82" s="13">
        <f t="shared" si="5"/>
        <v>0.28576999999999997</v>
      </c>
      <c r="H82" s="21" t="s">
        <v>41</v>
      </c>
    </row>
    <row r="83" spans="1:8">
      <c r="A83" s="14" t="s">
        <v>82</v>
      </c>
      <c r="B83" s="11"/>
      <c r="C83" s="15"/>
      <c r="D83">
        <v>2</v>
      </c>
      <c r="E83">
        <v>332.1</v>
      </c>
      <c r="F83">
        <v>137.30000000000001</v>
      </c>
      <c r="G83" s="13">
        <f t="shared" si="5"/>
        <v>0.38520499999999996</v>
      </c>
      <c r="H83" s="21"/>
    </row>
    <row r="84" spans="1:8">
      <c r="A84" s="14" t="s">
        <v>83</v>
      </c>
      <c r="B84" s="11"/>
      <c r="C84" s="15"/>
      <c r="D84">
        <v>2</v>
      </c>
      <c r="E84">
        <v>248.4</v>
      </c>
      <c r="F84">
        <v>101.2</v>
      </c>
      <c r="G84" s="13">
        <f t="shared" si="5"/>
        <v>0.29731999999999997</v>
      </c>
      <c r="H84" s="21"/>
    </row>
    <row r="85" spans="1:8">
      <c r="A85" s="14" t="s">
        <v>84</v>
      </c>
      <c r="B85" s="11"/>
      <c r="C85" s="15"/>
      <c r="D85">
        <v>2</v>
      </c>
      <c r="E85">
        <v>923.7</v>
      </c>
      <c r="F85">
        <v>403</v>
      </c>
      <c r="G85" s="13">
        <f t="shared" si="5"/>
        <v>1.0063850000000001</v>
      </c>
      <c r="H85" s="21" t="s">
        <v>45</v>
      </c>
    </row>
    <row r="86" spans="1:8">
      <c r="A86" s="14" t="s">
        <v>85</v>
      </c>
      <c r="B86" s="11"/>
      <c r="C86" s="15"/>
      <c r="D86">
        <v>2</v>
      </c>
      <c r="E86">
        <v>452.4</v>
      </c>
      <c r="F86">
        <v>177.2</v>
      </c>
      <c r="G86" s="13">
        <f t="shared" si="5"/>
        <v>0.51151999999999997</v>
      </c>
      <c r="H86" s="21" t="s">
        <v>135</v>
      </c>
    </row>
    <row r="87" spans="1:8">
      <c r="A87" s="14" t="s">
        <v>86</v>
      </c>
      <c r="B87" s="11"/>
      <c r="C87" s="15"/>
      <c r="D87">
        <v>2</v>
      </c>
      <c r="E87">
        <v>915.5</v>
      </c>
      <c r="F87">
        <v>402.8</v>
      </c>
      <c r="G87" s="13">
        <f t="shared" si="5"/>
        <v>0.99777499999999997</v>
      </c>
      <c r="H87" s="21"/>
    </row>
    <row r="88" spans="1:8">
      <c r="A88" s="14" t="s">
        <v>87</v>
      </c>
      <c r="B88" s="11"/>
      <c r="C88" s="15"/>
      <c r="D88">
        <v>2</v>
      </c>
      <c r="E88">
        <v>843</v>
      </c>
      <c r="F88">
        <v>380.8</v>
      </c>
      <c r="G88" s="13">
        <f t="shared" si="5"/>
        <v>0.92164999999999997</v>
      </c>
      <c r="H88" s="21" t="s">
        <v>49</v>
      </c>
    </row>
    <row r="89" spans="1:8">
      <c r="A89" s="14" t="s">
        <v>88</v>
      </c>
      <c r="B89" s="11"/>
      <c r="C89" s="15"/>
      <c r="D89">
        <v>1.9</v>
      </c>
      <c r="E89">
        <v>612.1</v>
      </c>
      <c r="F89">
        <v>258.89999999999998</v>
      </c>
      <c r="G89" s="13">
        <f t="shared" si="5"/>
        <v>0.7149526315789474</v>
      </c>
      <c r="H89" s="21"/>
    </row>
    <row r="90" spans="1:8">
      <c r="A90" s="14" t="s">
        <v>89</v>
      </c>
      <c r="B90" s="11"/>
      <c r="C90" s="15"/>
      <c r="D90">
        <v>2</v>
      </c>
      <c r="E90">
        <v>1180.0999999999999</v>
      </c>
      <c r="F90">
        <v>497.6</v>
      </c>
      <c r="G90" s="13">
        <f t="shared" si="5"/>
        <v>1.2756049999999999</v>
      </c>
      <c r="H90" s="21"/>
    </row>
    <row r="91" spans="1:8">
      <c r="A91" s="14" t="s">
        <v>90</v>
      </c>
      <c r="B91" s="11"/>
      <c r="C91" s="15"/>
      <c r="D91">
        <v>2</v>
      </c>
      <c r="E91">
        <v>690.2</v>
      </c>
      <c r="F91">
        <v>293.2</v>
      </c>
      <c r="G91" s="13">
        <f t="shared" si="5"/>
        <v>0.76120999999999994</v>
      </c>
      <c r="H91" s="21" t="s">
        <v>53</v>
      </c>
    </row>
    <row r="92" spans="1:8">
      <c r="A92" s="14" t="s">
        <v>91</v>
      </c>
      <c r="B92" s="11"/>
      <c r="C92" s="15"/>
      <c r="D92">
        <v>2</v>
      </c>
      <c r="E92">
        <v>1183</v>
      </c>
      <c r="F92">
        <v>469.5</v>
      </c>
      <c r="G92" s="13">
        <f t="shared" si="5"/>
        <v>1.2786499999999998</v>
      </c>
      <c r="H92" s="21"/>
    </row>
    <row r="93" spans="1:8">
      <c r="A93" s="14" t="s">
        <v>92</v>
      </c>
      <c r="B93" s="11">
        <v>40177</v>
      </c>
      <c r="C93" s="15">
        <v>0.57638888888888895</v>
      </c>
      <c r="D93">
        <v>2</v>
      </c>
      <c r="E93">
        <v>375.14</v>
      </c>
      <c r="F93">
        <v>180.61</v>
      </c>
      <c r="G93" s="13">
        <f t="shared" si="5"/>
        <v>0.43039699999999992</v>
      </c>
      <c r="H93" s="21"/>
    </row>
    <row r="94" spans="1:8">
      <c r="A94" s="14"/>
      <c r="B94" s="11"/>
      <c r="C94" s="15"/>
      <c r="G94" s="13"/>
      <c r="H94" s="21"/>
    </row>
    <row r="95" spans="1:8">
      <c r="A95" s="22" t="s">
        <v>93</v>
      </c>
      <c r="B95" s="11">
        <v>40177</v>
      </c>
      <c r="C95" s="15">
        <v>0.58333333333333337</v>
      </c>
      <c r="D95">
        <v>2</v>
      </c>
      <c r="E95">
        <v>235.5</v>
      </c>
      <c r="F95">
        <v>110.2</v>
      </c>
      <c r="G95" s="13">
        <f t="shared" si="5"/>
        <v>0.283775</v>
      </c>
      <c r="H95" s="21" t="s">
        <v>94</v>
      </c>
    </row>
    <row r="96" spans="1:8">
      <c r="A96" s="22" t="s">
        <v>95</v>
      </c>
      <c r="B96" s="11"/>
      <c r="C96" s="15"/>
      <c r="D96">
        <v>2</v>
      </c>
      <c r="E96">
        <v>291.89999999999998</v>
      </c>
      <c r="F96">
        <v>118.77</v>
      </c>
      <c r="G96" s="13">
        <f t="shared" si="5"/>
        <v>0.34299499999999994</v>
      </c>
      <c r="H96" s="21" t="s">
        <v>96</v>
      </c>
    </row>
    <row r="97" spans="1:8">
      <c r="A97" s="22" t="s">
        <v>97</v>
      </c>
      <c r="B97" s="11"/>
      <c r="C97" s="15"/>
      <c r="D97">
        <v>2</v>
      </c>
      <c r="E97">
        <v>279.8</v>
      </c>
      <c r="F97">
        <v>109.7</v>
      </c>
      <c r="G97" s="13">
        <f t="shared" si="5"/>
        <v>0.33028999999999997</v>
      </c>
      <c r="H97" s="21"/>
    </row>
    <row r="98" spans="1:8">
      <c r="A98" s="22" t="s">
        <v>98</v>
      </c>
      <c r="B98" s="11"/>
      <c r="C98" s="15"/>
      <c r="D98">
        <v>2</v>
      </c>
      <c r="E98">
        <v>611.4</v>
      </c>
      <c r="F98">
        <v>279.3</v>
      </c>
      <c r="G98" s="13">
        <f t="shared" si="5"/>
        <v>0.67846999999999991</v>
      </c>
      <c r="H98" s="21" t="s">
        <v>94</v>
      </c>
    </row>
    <row r="99" spans="1:8">
      <c r="A99" s="22" t="s">
        <v>99</v>
      </c>
      <c r="B99" s="11"/>
      <c r="C99" s="15"/>
      <c r="D99">
        <v>2</v>
      </c>
      <c r="E99">
        <v>594.9</v>
      </c>
      <c r="F99">
        <v>271.5</v>
      </c>
      <c r="G99" s="13">
        <f t="shared" si="5"/>
        <v>0.66114499999999987</v>
      </c>
      <c r="H99" s="21"/>
    </row>
    <row r="100" spans="1:8">
      <c r="A100" s="22" t="s">
        <v>100</v>
      </c>
      <c r="B100" s="11"/>
      <c r="C100" s="15"/>
      <c r="D100">
        <v>2</v>
      </c>
      <c r="E100">
        <v>792.5</v>
      </c>
      <c r="F100">
        <v>332</v>
      </c>
      <c r="G100" s="13">
        <f t="shared" si="5"/>
        <v>0.86862499999999998</v>
      </c>
      <c r="H100" s="21"/>
    </row>
    <row r="101" spans="1:8">
      <c r="A101" s="22" t="s">
        <v>101</v>
      </c>
      <c r="B101" s="11"/>
      <c r="C101" s="15"/>
      <c r="D101">
        <v>2</v>
      </c>
      <c r="E101">
        <v>569.4</v>
      </c>
      <c r="F101">
        <v>283.2</v>
      </c>
      <c r="G101" s="13">
        <f t="shared" si="5"/>
        <v>0.63436999999999988</v>
      </c>
      <c r="H101" s="21" t="s">
        <v>102</v>
      </c>
    </row>
    <row r="102" spans="1:8">
      <c r="A102" s="22" t="s">
        <v>103</v>
      </c>
      <c r="B102" s="11"/>
      <c r="C102" s="15"/>
      <c r="D102">
        <v>2</v>
      </c>
      <c r="E102">
        <v>602.33000000000004</v>
      </c>
      <c r="F102">
        <v>254.4</v>
      </c>
      <c r="G102" s="13">
        <f t="shared" si="5"/>
        <v>0.6689465</v>
      </c>
      <c r="H102" s="21"/>
    </row>
    <row r="103" spans="1:8">
      <c r="A103" s="22" t="s">
        <v>104</v>
      </c>
      <c r="B103" s="11"/>
      <c r="C103" s="15"/>
      <c r="D103">
        <v>2</v>
      </c>
      <c r="E103">
        <v>563.79999999999995</v>
      </c>
      <c r="F103">
        <v>199.5</v>
      </c>
      <c r="G103" s="13">
        <f t="shared" si="5"/>
        <v>0.62848999999999988</v>
      </c>
      <c r="H103" s="21"/>
    </row>
    <row r="104" spans="1:8">
      <c r="A104" s="22" t="s">
        <v>105</v>
      </c>
      <c r="B104" s="11"/>
      <c r="C104" s="15"/>
      <c r="D104">
        <v>2</v>
      </c>
      <c r="E104">
        <v>904.1</v>
      </c>
      <c r="F104">
        <v>333.7</v>
      </c>
      <c r="G104" s="13">
        <f t="shared" si="5"/>
        <v>0.98580499999999993</v>
      </c>
      <c r="H104" s="21" t="s">
        <v>102</v>
      </c>
    </row>
    <row r="105" spans="1:8">
      <c r="A105" s="22" t="s">
        <v>106</v>
      </c>
      <c r="B105" s="11"/>
      <c r="C105" s="15"/>
      <c r="D105">
        <v>2</v>
      </c>
      <c r="E105">
        <v>845</v>
      </c>
      <c r="F105">
        <v>347.2</v>
      </c>
      <c r="G105" s="13">
        <f t="shared" si="5"/>
        <v>0.92374999999999996</v>
      </c>
      <c r="H105" s="21"/>
    </row>
    <row r="106" spans="1:8">
      <c r="A106" s="22" t="s">
        <v>107</v>
      </c>
      <c r="B106" s="11"/>
      <c r="C106" s="15"/>
      <c r="D106">
        <v>2</v>
      </c>
      <c r="E106">
        <v>802.9</v>
      </c>
      <c r="F106">
        <v>305.2</v>
      </c>
      <c r="G106" s="13">
        <f t="shared" si="5"/>
        <v>0.87954499999999991</v>
      </c>
      <c r="H106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15" sqref="G15"/>
    </sheetView>
  </sheetViews>
  <sheetFormatPr baseColWidth="10" defaultRowHeight="15" x14ac:dyDescent="0"/>
  <sheetData>
    <row r="1" spans="1:9" ht="75">
      <c r="C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 s="2">
        <v>21506</v>
      </c>
      <c r="B2" s="3" t="s">
        <v>7</v>
      </c>
      <c r="C2">
        <v>1999</v>
      </c>
      <c r="D2">
        <v>-27.3</v>
      </c>
      <c r="E2">
        <v>123</v>
      </c>
      <c r="F2" s="4">
        <v>163.30992439499801</v>
      </c>
      <c r="G2" s="4">
        <f>((H2*EXP((2010-1999)/8267))-1)*1000</f>
        <v>164.85884496379444</v>
      </c>
      <c r="H2">
        <f>F2/1000+1</f>
        <v>1.163309924394998</v>
      </c>
      <c r="I2" s="4">
        <f>((H2*EXP((-C2+1950)/8267))-1)*1000</f>
        <v>156.43517074268254</v>
      </c>
    </row>
    <row r="3" spans="1:9">
      <c r="A3" s="2">
        <v>21507</v>
      </c>
      <c r="B3" s="3" t="s">
        <v>8</v>
      </c>
      <c r="C3">
        <v>1999</v>
      </c>
      <c r="D3">
        <v>-27.5</v>
      </c>
      <c r="E3">
        <v>117</v>
      </c>
      <c r="F3" s="4">
        <v>166.05941092993399</v>
      </c>
      <c r="G3" s="4">
        <f t="shared" ref="G3:G9" si="0">((H3*EXP((2010-1999)/8267))-1)*1000</f>
        <v>167.61199237719305</v>
      </c>
      <c r="H3">
        <f t="shared" ref="H3:H12" si="1">F3/1000+1</f>
        <v>1.166059410929934</v>
      </c>
      <c r="I3" s="4">
        <f t="shared" ref="I3:I24" si="2">((H3*EXP((-C3+1950)/8267))-1)*1000</f>
        <v>159.16840877650839</v>
      </c>
    </row>
    <row r="4" spans="1:9">
      <c r="A4" s="2">
        <v>21508</v>
      </c>
      <c r="B4" s="3" t="s">
        <v>9</v>
      </c>
      <c r="C4">
        <v>1999</v>
      </c>
      <c r="D4">
        <v>-26.4</v>
      </c>
      <c r="E4">
        <v>153</v>
      </c>
      <c r="F4" s="4">
        <v>232.297323098014</v>
      </c>
      <c r="G4" s="4">
        <f t="shared" si="0"/>
        <v>233.93809881099713</v>
      </c>
      <c r="H4">
        <f t="shared" si="1"/>
        <v>1.2322973230980141</v>
      </c>
      <c r="I4" s="4">
        <f t="shared" si="2"/>
        <v>225.01487811490907</v>
      </c>
    </row>
    <row r="5" spans="1:9">
      <c r="A5" s="2">
        <v>21509</v>
      </c>
      <c r="B5" s="3" t="s">
        <v>10</v>
      </c>
      <c r="C5">
        <v>1999</v>
      </c>
      <c r="D5">
        <v>-26.4</v>
      </c>
      <c r="E5">
        <v>72</v>
      </c>
      <c r="F5" s="4">
        <v>254.42143513317399</v>
      </c>
      <c r="G5" s="4">
        <f t="shared" si="0"/>
        <v>256.09166859553125</v>
      </c>
      <c r="H5">
        <f t="shared" si="1"/>
        <v>1.2544214351331739</v>
      </c>
      <c r="I5" s="4">
        <f t="shared" si="2"/>
        <v>247.00824440740109</v>
      </c>
    </row>
    <row r="6" spans="1:9">
      <c r="A6" s="2">
        <v>21510</v>
      </c>
      <c r="B6" s="3" t="s">
        <v>11</v>
      </c>
      <c r="C6">
        <v>1999</v>
      </c>
      <c r="E6">
        <f>AVERAGE(E8:E9)</f>
        <v>120.5</v>
      </c>
      <c r="F6" s="4">
        <v>75.549558692632246</v>
      </c>
      <c r="G6" s="4">
        <f t="shared" si="0"/>
        <v>76.981628340869307</v>
      </c>
      <c r="H6">
        <f t="shared" si="1"/>
        <v>1.0755495586926322</v>
      </c>
      <c r="I6" s="4">
        <f t="shared" si="2"/>
        <v>69.193438021939897</v>
      </c>
    </row>
    <row r="7" spans="1:9">
      <c r="A7" s="2">
        <v>21511</v>
      </c>
      <c r="B7" s="3" t="s">
        <v>12</v>
      </c>
      <c r="C7">
        <v>1999</v>
      </c>
      <c r="E7">
        <f>AVERAGE(E8:E9)</f>
        <v>120.5</v>
      </c>
      <c r="F7" s="4">
        <v>114.626744420828</v>
      </c>
      <c r="G7" s="4">
        <f t="shared" si="0"/>
        <v>116.1108444484813</v>
      </c>
      <c r="H7">
        <f t="shared" si="1"/>
        <v>1.114626744420828</v>
      </c>
      <c r="I7" s="4">
        <f t="shared" si="2"/>
        <v>108.03969128779389</v>
      </c>
    </row>
    <row r="8" spans="1:9">
      <c r="A8" s="2">
        <v>21512</v>
      </c>
      <c r="B8" s="3" t="s">
        <v>13</v>
      </c>
      <c r="C8">
        <v>1999</v>
      </c>
      <c r="D8">
        <v>-26.5</v>
      </c>
      <c r="E8">
        <v>125</v>
      </c>
      <c r="F8" s="4">
        <v>158.09720520374793</v>
      </c>
      <c r="G8" s="4">
        <f t="shared" si="0"/>
        <v>159.63918515611408</v>
      </c>
      <c r="H8">
        <f t="shared" si="1"/>
        <v>1.1580972052037479</v>
      </c>
      <c r="I8" s="4">
        <f t="shared" si="2"/>
        <v>151.25325689362623</v>
      </c>
    </row>
    <row r="9" spans="1:9">
      <c r="A9" s="2">
        <v>21513</v>
      </c>
      <c r="B9" s="3" t="s">
        <v>14</v>
      </c>
      <c r="C9">
        <v>1999</v>
      </c>
      <c r="D9">
        <v>-26.9</v>
      </c>
      <c r="E9">
        <v>116</v>
      </c>
      <c r="F9" s="4">
        <v>105.1043595016</v>
      </c>
      <c r="G9" s="4">
        <f t="shared" si="0"/>
        <v>106.57578069143358</v>
      </c>
      <c r="H9">
        <f t="shared" si="1"/>
        <v>1.1051043595015999</v>
      </c>
      <c r="I9" s="4">
        <f t="shared" si="2"/>
        <v>98.573580323708441</v>
      </c>
    </row>
    <row r="10" spans="1:9">
      <c r="A10" s="2">
        <v>21518</v>
      </c>
      <c r="B10" s="3" t="s">
        <v>15</v>
      </c>
      <c r="C10">
        <v>2004</v>
      </c>
      <c r="D10">
        <v>-25.89</v>
      </c>
      <c r="E10">
        <v>342.6</v>
      </c>
      <c r="F10" s="4">
        <v>284.40107526382297</v>
      </c>
      <c r="G10" s="4">
        <f>((H10*EXP((2010-2004)/8267))-1)*1000</f>
        <v>285.33360262504993</v>
      </c>
      <c r="H10">
        <f t="shared" si="1"/>
        <v>1.2844010752638231</v>
      </c>
      <c r="I10" s="4">
        <f t="shared" si="2"/>
        <v>276.03871545415149</v>
      </c>
    </row>
    <row r="11" spans="1:9">
      <c r="A11" s="2">
        <v>21519</v>
      </c>
      <c r="B11" s="3" t="s">
        <v>16</v>
      </c>
      <c r="C11">
        <v>2004</v>
      </c>
      <c r="D11">
        <v>-26.79</v>
      </c>
      <c r="E11">
        <v>329.7</v>
      </c>
      <c r="F11" s="4">
        <v>300.54332208476501</v>
      </c>
      <c r="G11" s="4">
        <f>((H11*EXP((2010-2004)/8267))-1)*1000</f>
        <v>301.48756937298526</v>
      </c>
      <c r="H11">
        <f t="shared" si="1"/>
        <v>1.3005433220847651</v>
      </c>
      <c r="I11" s="4">
        <f t="shared" si="2"/>
        <v>292.07586482644365</v>
      </c>
    </row>
    <row r="12" spans="1:9">
      <c r="A12" s="2">
        <v>21520</v>
      </c>
      <c r="B12" s="3" t="s">
        <v>17</v>
      </c>
      <c r="C12">
        <v>2004</v>
      </c>
      <c r="D12">
        <v>-26.5</v>
      </c>
      <c r="E12">
        <v>338.3</v>
      </c>
      <c r="F12" s="4">
        <v>306.721653053642</v>
      </c>
      <c r="G12" s="4">
        <f>((H12*EXP((2010-2004)/8267))-1)*1000</f>
        <v>307.67038606114892</v>
      </c>
      <c r="H12">
        <f t="shared" si="1"/>
        <v>1.3067216530536421</v>
      </c>
      <c r="I12" s="4">
        <f t="shared" si="2"/>
        <v>298.2139704890825</v>
      </c>
    </row>
    <row r="13" spans="1:9">
      <c r="A13" t="s">
        <v>18</v>
      </c>
      <c r="I13" s="4"/>
    </row>
    <row r="14" spans="1:9">
      <c r="A14" s="5">
        <v>26019</v>
      </c>
      <c r="B14" s="5" t="s">
        <v>19</v>
      </c>
      <c r="C14" s="5">
        <v>2004</v>
      </c>
      <c r="E14" s="6">
        <v>310.34817661435966</v>
      </c>
      <c r="F14" s="7">
        <v>255.25605147624299</v>
      </c>
      <c r="G14" s="4">
        <f>((H14*EXP((2010-2004)/8267))-1)*1000</f>
        <v>256.1674183661429</v>
      </c>
      <c r="H14">
        <f>F14/1000+1</f>
        <v>1.255256051476243</v>
      </c>
      <c r="I14" s="4">
        <f t="shared" si="2"/>
        <v>247.08344639370995</v>
      </c>
    </row>
    <row r="15" spans="1:9">
      <c r="A15" s="5">
        <v>26020</v>
      </c>
      <c r="B15" s="5" t="s">
        <v>20</v>
      </c>
      <c r="C15" s="5">
        <v>2004</v>
      </c>
      <c r="E15" s="6">
        <v>318.36546437050316</v>
      </c>
      <c r="F15" s="7">
        <v>285.08214914675477</v>
      </c>
      <c r="G15" s="4">
        <f>((H15*EXP((2010-2004)/8267))-1)*1000</f>
        <v>286.0151709952903</v>
      </c>
      <c r="H15">
        <f>F15/1000+1</f>
        <v>1.2850821491467548</v>
      </c>
      <c r="I15" s="4">
        <f t="shared" si="2"/>
        <v>276.71535506419451</v>
      </c>
    </row>
    <row r="16" spans="1:9">
      <c r="A16" s="5">
        <v>26021</v>
      </c>
      <c r="B16" s="5" t="s">
        <v>21</v>
      </c>
      <c r="C16" s="5">
        <v>2004</v>
      </c>
      <c r="E16" s="8">
        <v>153.7793032684167</v>
      </c>
      <c r="F16" s="7">
        <v>159.20418910152523</v>
      </c>
      <c r="G16" s="4">
        <f>((H16*EXP((2010-2004)/8267))-1)*1000</f>
        <v>160.04581843710008</v>
      </c>
      <c r="H16">
        <f>F16/1000+1</f>
        <v>1.1592041891015252</v>
      </c>
      <c r="I16" s="4">
        <f t="shared" si="2"/>
        <v>151.65694960691911</v>
      </c>
    </row>
    <row r="17" spans="1:9">
      <c r="A17" s="5">
        <v>26022</v>
      </c>
      <c r="B17" s="5" t="s">
        <v>22</v>
      </c>
      <c r="C17" s="5">
        <v>2004</v>
      </c>
      <c r="E17" s="8">
        <v>185.98022281336867</v>
      </c>
      <c r="F17" s="7">
        <v>191.81252570823148</v>
      </c>
      <c r="G17" s="4">
        <f>((H17*EXP((2010-2004)/8267))-1)*1000</f>
        <v>192.67783002094197</v>
      </c>
      <c r="H17">
        <f>F17/1000+1</f>
        <v>1.1918125257082315</v>
      </c>
      <c r="I17" s="4">
        <f t="shared" si="2"/>
        <v>184.05298286948189</v>
      </c>
    </row>
    <row r="18" spans="1:9">
      <c r="A18" s="5">
        <v>26023</v>
      </c>
      <c r="B18" s="5" t="s">
        <v>23</v>
      </c>
      <c r="C18" s="5">
        <v>2004</v>
      </c>
      <c r="E18" s="8">
        <v>152.91407930804525</v>
      </c>
      <c r="F18" s="7">
        <v>134.75439855409553</v>
      </c>
      <c r="G18" s="4">
        <f>((H18*EXP((2010-2004)/8267))-1)*1000</f>
        <v>135.57827634842613</v>
      </c>
      <c r="H18">
        <f>F18/1000+1</f>
        <v>1.1347543985540955</v>
      </c>
      <c r="I18" s="4">
        <f t="shared" si="2"/>
        <v>127.36634449600648</v>
      </c>
    </row>
    <row r="19" spans="1:9">
      <c r="H19" s="2"/>
      <c r="I19" s="4"/>
    </row>
    <row r="20" spans="1:9">
      <c r="I20" s="4"/>
    </row>
    <row r="21" spans="1:9">
      <c r="B21" s="2"/>
      <c r="C21" s="3"/>
      <c r="I21" s="4"/>
    </row>
    <row r="22" spans="1:9">
      <c r="A22" s="2">
        <v>21514</v>
      </c>
      <c r="B22" s="3" t="s">
        <v>24</v>
      </c>
      <c r="C22">
        <v>1999</v>
      </c>
      <c r="D22">
        <v>-23.7</v>
      </c>
      <c r="E22">
        <v>76</v>
      </c>
      <c r="F22" s="4">
        <v>159.34441824175201</v>
      </c>
      <c r="G22" s="4">
        <f>((H22*EXP((2010-1999)/8267))-1)*1000</f>
        <v>160.88805882976476</v>
      </c>
      <c r="H22">
        <f>F22/1000+1</f>
        <v>1.1593444182417521</v>
      </c>
      <c r="I22" s="4">
        <f>((H22*EXP((-C22+1950)/8267))-1)*1000</f>
        <v>152.49309934000354</v>
      </c>
    </row>
    <row r="23" spans="1:9">
      <c r="A23" s="2">
        <v>21515</v>
      </c>
      <c r="B23" s="3" t="s">
        <v>25</v>
      </c>
      <c r="C23">
        <v>1999</v>
      </c>
      <c r="D23">
        <v>-23.7</v>
      </c>
      <c r="E23">
        <v>76</v>
      </c>
      <c r="F23" s="4">
        <v>-1.2004789271506944</v>
      </c>
      <c r="G23" s="4">
        <f>((H23*EXP((2010-1999)/8267))-1)*1000</f>
        <v>0.12939980065129753</v>
      </c>
      <c r="H23">
        <f>F23/1000+1</f>
        <v>0.99879952107284931</v>
      </c>
      <c r="I23" s="4">
        <f t="shared" si="2"/>
        <v>-7.1030337936001109</v>
      </c>
    </row>
    <row r="24" spans="1:9">
      <c r="A24" s="2">
        <v>21516</v>
      </c>
      <c r="B24" s="3" t="s">
        <v>26</v>
      </c>
      <c r="C24">
        <v>1999</v>
      </c>
      <c r="D24">
        <v>-26.8</v>
      </c>
      <c r="E24">
        <v>117</v>
      </c>
      <c r="F24" s="4">
        <v>86.474389151673719</v>
      </c>
      <c r="G24" s="4">
        <f>((H24*EXP((2010-1999)/8267))-1)*1000</f>
        <v>87.921004961903918</v>
      </c>
      <c r="H24">
        <f>F24/1000+1</f>
        <v>1.0864743891516737</v>
      </c>
      <c r="I24" s="4">
        <f t="shared" si="2"/>
        <v>80.05370656457012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O2" sqref="O2"/>
    </sheetView>
  </sheetViews>
  <sheetFormatPr baseColWidth="10" defaultRowHeight="15" x14ac:dyDescent="0"/>
  <cols>
    <col min="1" max="1" width="16.83203125" bestFit="1" customWidth="1"/>
    <col min="2" max="2" width="6.1640625" bestFit="1" customWidth="1"/>
  </cols>
  <sheetData>
    <row r="1" spans="1:19">
      <c r="A1" t="s">
        <v>155</v>
      </c>
      <c r="B1" t="s">
        <v>157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</row>
    <row r="2" spans="1:19">
      <c r="A2" t="s">
        <v>7</v>
      </c>
      <c r="B2">
        <f>VLOOKUP(A2,Dec27_2009_copy!$A$23:$H$37,8,FALSE)</f>
        <v>9.32</v>
      </c>
      <c r="C2">
        <v>1</v>
      </c>
      <c r="D2" t="str">
        <f>IF(AND(C2&lt;&gt;C1,I2=I1),"fix meas date","")</f>
        <v/>
      </c>
      <c r="E2" s="25">
        <f>Dec25_copy!B23</f>
        <v>40172</v>
      </c>
      <c r="F2">
        <f>YEAR(E2)</f>
        <v>2009</v>
      </c>
      <c r="G2">
        <f>MONTH(E2)</f>
        <v>12</v>
      </c>
      <c r="H2">
        <f>DAY(E2)+E2-ROUNDDOWN(E2,0)</f>
        <v>25</v>
      </c>
      <c r="I2" s="25">
        <f>Dec27_2009_copy!B23</f>
        <v>40174</v>
      </c>
      <c r="J2">
        <f>YEAR(I2)</f>
        <v>2009</v>
      </c>
      <c r="K2">
        <f>MONTH(I2)</f>
        <v>12</v>
      </c>
      <c r="L2">
        <f>DAY(I2)+I2-ROUNDDOWN(I2,0)</f>
        <v>27</v>
      </c>
      <c r="M2" t="s">
        <v>156</v>
      </c>
      <c r="N2" s="13">
        <f>I2-E2</f>
        <v>2</v>
      </c>
      <c r="O2">
        <f>Dec25_copy!E23*SLOPE(Dec25_copy!$C$3:$C$20,Dec25_copy!$D$3:$D$20)+INTERCEPT(Dec25_copy!$C$3:$C$20,Dec25_copy!$D$3:$D$20)</f>
        <v>-3.2506486902120151E-2</v>
      </c>
      <c r="P2" s="13">
        <f>N2</f>
        <v>2</v>
      </c>
      <c r="Q2" s="26"/>
    </row>
    <row r="3" spans="1:19">
      <c r="A3" t="s">
        <v>8</v>
      </c>
      <c r="B3">
        <f>VLOOKUP(A3,Dec27_2009_copy!$A$23:$H$37,8,FALSE)</f>
        <v>22.04</v>
      </c>
      <c r="C3">
        <f>C2</f>
        <v>1</v>
      </c>
      <c r="E3" s="25">
        <f>E2</f>
        <v>40172</v>
      </c>
      <c r="F3">
        <f t="shared" ref="F3:F32" si="0">YEAR(E3)</f>
        <v>2009</v>
      </c>
      <c r="G3">
        <f t="shared" ref="G3:G17" si="1">MONTH(E3)</f>
        <v>12</v>
      </c>
      <c r="H3">
        <f t="shared" ref="H3:H17" si="2">DAY(E3)+E3-ROUNDDOWN(E3,0)</f>
        <v>25</v>
      </c>
      <c r="I3" s="25">
        <f>I2</f>
        <v>40174</v>
      </c>
      <c r="J3">
        <f t="shared" ref="J3:J31" si="3">YEAR(I3)</f>
        <v>2009</v>
      </c>
      <c r="K3">
        <f t="shared" ref="K3:K17" si="4">MONTH(I3)</f>
        <v>12</v>
      </c>
      <c r="L3">
        <f t="shared" ref="L3:L17" si="5">DAY(I3)+I3-ROUNDDOWN(I3,0)</f>
        <v>27</v>
      </c>
      <c r="M3" t="s">
        <v>156</v>
      </c>
      <c r="N3" s="13">
        <f t="shared" ref="N3:N17" si="6">I3-E3</f>
        <v>2</v>
      </c>
    </row>
    <row r="4" spans="1:19">
      <c r="A4" t="s">
        <v>9</v>
      </c>
      <c r="B4">
        <f>VLOOKUP(A4,Dec27_2009_copy!$A$23:$H$37,8,FALSE)</f>
        <v>10.15</v>
      </c>
      <c r="C4">
        <f t="shared" ref="C4:C16" si="7">C3</f>
        <v>1</v>
      </c>
      <c r="E4" s="25">
        <f t="shared" ref="E4:E16" si="8">E3</f>
        <v>40172</v>
      </c>
      <c r="F4">
        <f t="shared" si="0"/>
        <v>2009</v>
      </c>
      <c r="G4">
        <f t="shared" si="1"/>
        <v>12</v>
      </c>
      <c r="H4">
        <f t="shared" si="2"/>
        <v>25</v>
      </c>
      <c r="I4" s="25">
        <f t="shared" ref="I4:I16" si="9">I3</f>
        <v>40174</v>
      </c>
      <c r="J4">
        <f t="shared" si="3"/>
        <v>2009</v>
      </c>
      <c r="K4">
        <f t="shared" si="4"/>
        <v>12</v>
      </c>
      <c r="L4">
        <f t="shared" si="5"/>
        <v>27</v>
      </c>
      <c r="M4" t="s">
        <v>156</v>
      </c>
      <c r="N4" s="13">
        <f t="shared" si="6"/>
        <v>2</v>
      </c>
    </row>
    <row r="5" spans="1:19">
      <c r="A5" t="s">
        <v>10</v>
      </c>
      <c r="B5">
        <f>VLOOKUP(A5,Dec27_2009_copy!$A$23:$H$37,8,FALSE)</f>
        <v>16.170000000000002</v>
      </c>
      <c r="C5">
        <f t="shared" si="7"/>
        <v>1</v>
      </c>
      <c r="E5" s="25">
        <f t="shared" si="8"/>
        <v>40172</v>
      </c>
      <c r="F5">
        <f t="shared" si="0"/>
        <v>2009</v>
      </c>
      <c r="G5">
        <f t="shared" si="1"/>
        <v>12</v>
      </c>
      <c r="H5">
        <f t="shared" si="2"/>
        <v>25</v>
      </c>
      <c r="I5" s="25">
        <f t="shared" si="9"/>
        <v>40174</v>
      </c>
      <c r="J5">
        <f t="shared" si="3"/>
        <v>2009</v>
      </c>
      <c r="K5">
        <f t="shared" si="4"/>
        <v>12</v>
      </c>
      <c r="L5">
        <f t="shared" si="5"/>
        <v>27</v>
      </c>
      <c r="M5" t="s">
        <v>156</v>
      </c>
      <c r="N5" s="13">
        <f t="shared" si="6"/>
        <v>2</v>
      </c>
    </row>
    <row r="6" spans="1:19">
      <c r="A6" t="s">
        <v>11</v>
      </c>
      <c r="B6">
        <f>VLOOKUP(A6,Dec27_2009_copy!$A$23:$H$37,8,FALSE)</f>
        <v>62.22</v>
      </c>
      <c r="C6">
        <f t="shared" si="7"/>
        <v>1</v>
      </c>
      <c r="E6" s="25">
        <f t="shared" si="8"/>
        <v>40172</v>
      </c>
      <c r="F6">
        <f t="shared" si="0"/>
        <v>2009</v>
      </c>
      <c r="G6">
        <f t="shared" si="1"/>
        <v>12</v>
      </c>
      <c r="H6">
        <f t="shared" si="2"/>
        <v>25</v>
      </c>
      <c r="I6" s="25">
        <f t="shared" si="9"/>
        <v>40174</v>
      </c>
      <c r="J6">
        <f t="shared" si="3"/>
        <v>2009</v>
      </c>
      <c r="K6">
        <f t="shared" si="4"/>
        <v>12</v>
      </c>
      <c r="L6">
        <f t="shared" si="5"/>
        <v>27</v>
      </c>
      <c r="M6" t="s">
        <v>156</v>
      </c>
      <c r="N6" s="13">
        <f t="shared" si="6"/>
        <v>2</v>
      </c>
    </row>
    <row r="7" spans="1:19">
      <c r="A7" t="s">
        <v>12</v>
      </c>
      <c r="B7">
        <f>VLOOKUP(A7,Dec27_2009_copy!$A$23:$H$37,8,FALSE)</f>
        <v>64.209999999999994</v>
      </c>
      <c r="C7">
        <f t="shared" si="7"/>
        <v>1</v>
      </c>
      <c r="E7" s="25">
        <f t="shared" si="8"/>
        <v>40172</v>
      </c>
      <c r="F7">
        <f t="shared" si="0"/>
        <v>2009</v>
      </c>
      <c r="G7">
        <f t="shared" si="1"/>
        <v>12</v>
      </c>
      <c r="H7">
        <f t="shared" si="2"/>
        <v>25</v>
      </c>
      <c r="I7" s="25">
        <f t="shared" si="9"/>
        <v>40174</v>
      </c>
      <c r="J7">
        <f t="shared" si="3"/>
        <v>2009</v>
      </c>
      <c r="K7">
        <f t="shared" si="4"/>
        <v>12</v>
      </c>
      <c r="L7">
        <f t="shared" si="5"/>
        <v>27</v>
      </c>
      <c r="M7" t="s">
        <v>156</v>
      </c>
      <c r="N7" s="13">
        <f t="shared" si="6"/>
        <v>2</v>
      </c>
    </row>
    <row r="8" spans="1:19">
      <c r="A8" t="s">
        <v>13</v>
      </c>
      <c r="B8">
        <f>VLOOKUP(A8,Dec27_2009_copy!$A$23:$H$37,8,FALSE)</f>
        <v>74.23</v>
      </c>
      <c r="C8">
        <f t="shared" si="7"/>
        <v>1</v>
      </c>
      <c r="E8" s="25">
        <f t="shared" si="8"/>
        <v>40172</v>
      </c>
      <c r="F8">
        <f t="shared" si="0"/>
        <v>2009</v>
      </c>
      <c r="G8">
        <f t="shared" si="1"/>
        <v>12</v>
      </c>
      <c r="H8">
        <f t="shared" si="2"/>
        <v>25</v>
      </c>
      <c r="I8" s="25">
        <f t="shared" si="9"/>
        <v>40174</v>
      </c>
      <c r="J8">
        <f t="shared" si="3"/>
        <v>2009</v>
      </c>
      <c r="K8">
        <f t="shared" si="4"/>
        <v>12</v>
      </c>
      <c r="L8">
        <f t="shared" si="5"/>
        <v>27</v>
      </c>
      <c r="M8" t="s">
        <v>156</v>
      </c>
      <c r="N8" s="13">
        <f t="shared" si="6"/>
        <v>2</v>
      </c>
    </row>
    <row r="9" spans="1:19">
      <c r="A9" t="s">
        <v>14</v>
      </c>
      <c r="B9">
        <f>VLOOKUP(A9,Dec27_2009_copy!$A$23:$H$37,8,FALSE)</f>
        <v>44.44</v>
      </c>
      <c r="C9">
        <f t="shared" si="7"/>
        <v>1</v>
      </c>
      <c r="E9" s="25">
        <f t="shared" si="8"/>
        <v>40172</v>
      </c>
      <c r="F9">
        <f t="shared" si="0"/>
        <v>2009</v>
      </c>
      <c r="G9">
        <f t="shared" si="1"/>
        <v>12</v>
      </c>
      <c r="H9">
        <f t="shared" si="2"/>
        <v>25</v>
      </c>
      <c r="I9" s="25">
        <f t="shared" si="9"/>
        <v>40174</v>
      </c>
      <c r="J9">
        <f t="shared" si="3"/>
        <v>2009</v>
      </c>
      <c r="K9">
        <f t="shared" si="4"/>
        <v>12</v>
      </c>
      <c r="L9">
        <f t="shared" si="5"/>
        <v>27</v>
      </c>
      <c r="M9" t="s">
        <v>156</v>
      </c>
      <c r="N9" s="13">
        <f t="shared" si="6"/>
        <v>2</v>
      </c>
    </row>
    <row r="10" spans="1:19">
      <c r="A10" t="s">
        <v>24</v>
      </c>
      <c r="B10">
        <f>VLOOKUP(A10,Dec27_2009_copy!$A$23:$H$37,8,FALSE)</f>
        <v>77.19</v>
      </c>
      <c r="C10">
        <f t="shared" si="7"/>
        <v>1</v>
      </c>
      <c r="E10" s="25">
        <f t="shared" si="8"/>
        <v>40172</v>
      </c>
      <c r="F10">
        <f t="shared" si="0"/>
        <v>2009</v>
      </c>
      <c r="G10">
        <f t="shared" si="1"/>
        <v>12</v>
      </c>
      <c r="H10">
        <f t="shared" si="2"/>
        <v>25</v>
      </c>
      <c r="I10" s="25">
        <f t="shared" si="9"/>
        <v>40174</v>
      </c>
      <c r="J10">
        <f t="shared" si="3"/>
        <v>2009</v>
      </c>
      <c r="K10">
        <f t="shared" si="4"/>
        <v>12</v>
      </c>
      <c r="L10">
        <f t="shared" si="5"/>
        <v>27</v>
      </c>
      <c r="M10" t="s">
        <v>156</v>
      </c>
      <c r="N10" s="13">
        <f t="shared" si="6"/>
        <v>2</v>
      </c>
    </row>
    <row r="11" spans="1:19">
      <c r="A11" t="s">
        <v>25</v>
      </c>
      <c r="B11">
        <f>VLOOKUP(A11,Dec27_2009_copy!$A$23:$H$37,8,FALSE)</f>
        <v>98.12</v>
      </c>
      <c r="C11">
        <f t="shared" si="7"/>
        <v>1</v>
      </c>
      <c r="E11" s="25">
        <f t="shared" si="8"/>
        <v>40172</v>
      </c>
      <c r="F11">
        <f t="shared" si="0"/>
        <v>2009</v>
      </c>
      <c r="G11">
        <f t="shared" si="1"/>
        <v>12</v>
      </c>
      <c r="H11">
        <f t="shared" si="2"/>
        <v>25</v>
      </c>
      <c r="I11" s="25">
        <f t="shared" si="9"/>
        <v>40174</v>
      </c>
      <c r="J11">
        <f t="shared" si="3"/>
        <v>2009</v>
      </c>
      <c r="K11">
        <f t="shared" si="4"/>
        <v>12</v>
      </c>
      <c r="L11">
        <f t="shared" si="5"/>
        <v>27</v>
      </c>
      <c r="M11" t="s">
        <v>156</v>
      </c>
      <c r="N11" s="13">
        <f t="shared" si="6"/>
        <v>2</v>
      </c>
    </row>
    <row r="12" spans="1:19">
      <c r="A12" t="s">
        <v>26</v>
      </c>
      <c r="B12">
        <f>VLOOKUP(A12,Dec27_2009_copy!$A$23:$H$37,8,FALSE)</f>
        <v>67.16</v>
      </c>
      <c r="C12">
        <f t="shared" si="7"/>
        <v>1</v>
      </c>
      <c r="E12" s="25">
        <f t="shared" si="8"/>
        <v>40172</v>
      </c>
      <c r="F12">
        <f t="shared" si="0"/>
        <v>2009</v>
      </c>
      <c r="G12">
        <f t="shared" si="1"/>
        <v>12</v>
      </c>
      <c r="H12">
        <f t="shared" si="2"/>
        <v>25</v>
      </c>
      <c r="I12" s="25">
        <f t="shared" si="9"/>
        <v>40174</v>
      </c>
      <c r="J12">
        <f t="shared" si="3"/>
        <v>2009</v>
      </c>
      <c r="K12">
        <f t="shared" si="4"/>
        <v>12</v>
      </c>
      <c r="L12">
        <f t="shared" si="5"/>
        <v>27</v>
      </c>
      <c r="M12" t="s">
        <v>156</v>
      </c>
      <c r="N12" s="13">
        <f t="shared" si="6"/>
        <v>2</v>
      </c>
    </row>
    <row r="13" spans="1:19">
      <c r="A13" t="s">
        <v>35</v>
      </c>
      <c r="B13">
        <f>VLOOKUP(A13,Dec27_2009_copy!$A$23:$H$37,8,FALSE)</f>
        <v>88.52</v>
      </c>
      <c r="C13">
        <f t="shared" si="7"/>
        <v>1</v>
      </c>
      <c r="E13" s="25">
        <f t="shared" si="8"/>
        <v>40172</v>
      </c>
      <c r="F13">
        <f t="shared" si="0"/>
        <v>2009</v>
      </c>
      <c r="G13">
        <f t="shared" si="1"/>
        <v>12</v>
      </c>
      <c r="H13">
        <f t="shared" si="2"/>
        <v>25</v>
      </c>
      <c r="I13" s="25">
        <f t="shared" si="9"/>
        <v>40174</v>
      </c>
      <c r="J13">
        <f t="shared" si="3"/>
        <v>2009</v>
      </c>
      <c r="K13">
        <f t="shared" si="4"/>
        <v>12</v>
      </c>
      <c r="L13">
        <f t="shared" si="5"/>
        <v>27</v>
      </c>
      <c r="M13" t="s">
        <v>156</v>
      </c>
      <c r="N13" s="13">
        <f t="shared" si="6"/>
        <v>2</v>
      </c>
    </row>
    <row r="14" spans="1:19">
      <c r="A14" t="s">
        <v>15</v>
      </c>
      <c r="B14">
        <f>VLOOKUP(A14,Dec27_2009_copy!$A$23:$H$37,8,FALSE)</f>
        <v>97.99</v>
      </c>
      <c r="C14">
        <f t="shared" si="7"/>
        <v>1</v>
      </c>
      <c r="E14" s="25">
        <f t="shared" si="8"/>
        <v>40172</v>
      </c>
      <c r="F14">
        <f t="shared" si="0"/>
        <v>2009</v>
      </c>
      <c r="G14">
        <f t="shared" si="1"/>
        <v>12</v>
      </c>
      <c r="H14">
        <f t="shared" si="2"/>
        <v>25</v>
      </c>
      <c r="I14" s="25">
        <f t="shared" si="9"/>
        <v>40174</v>
      </c>
      <c r="J14">
        <f t="shared" si="3"/>
        <v>2009</v>
      </c>
      <c r="K14">
        <f t="shared" si="4"/>
        <v>12</v>
      </c>
      <c r="L14">
        <f t="shared" si="5"/>
        <v>27</v>
      </c>
      <c r="M14" t="s">
        <v>156</v>
      </c>
      <c r="N14" s="13">
        <f t="shared" si="6"/>
        <v>2</v>
      </c>
    </row>
    <row r="15" spans="1:19">
      <c r="A15" t="s">
        <v>16</v>
      </c>
      <c r="B15">
        <f>VLOOKUP(A15,Dec27_2009_copy!$A$23:$H$37,8,FALSE)</f>
        <v>91.66</v>
      </c>
      <c r="C15">
        <f t="shared" si="7"/>
        <v>1</v>
      </c>
      <c r="E15" s="25">
        <f t="shared" si="8"/>
        <v>40172</v>
      </c>
      <c r="F15">
        <f t="shared" si="0"/>
        <v>2009</v>
      </c>
      <c r="G15">
        <f t="shared" si="1"/>
        <v>12</v>
      </c>
      <c r="H15">
        <f t="shared" si="2"/>
        <v>25</v>
      </c>
      <c r="I15" s="25">
        <f t="shared" si="9"/>
        <v>40174</v>
      </c>
      <c r="J15">
        <f t="shared" si="3"/>
        <v>2009</v>
      </c>
      <c r="K15">
        <f t="shared" si="4"/>
        <v>12</v>
      </c>
      <c r="L15">
        <f t="shared" si="5"/>
        <v>27</v>
      </c>
      <c r="M15" t="s">
        <v>156</v>
      </c>
      <c r="N15" s="13">
        <f t="shared" si="6"/>
        <v>2</v>
      </c>
    </row>
    <row r="16" spans="1:19">
      <c r="A16" t="s">
        <v>17</v>
      </c>
      <c r="B16">
        <f>VLOOKUP(A16,Dec27_2009_copy!$A$23:$H$37,8,FALSE)</f>
        <v>70.760000000000005</v>
      </c>
      <c r="C16">
        <f t="shared" si="7"/>
        <v>1</v>
      </c>
      <c r="E16" s="25">
        <f t="shared" si="8"/>
        <v>40172</v>
      </c>
      <c r="F16">
        <f t="shared" si="0"/>
        <v>2009</v>
      </c>
      <c r="G16">
        <f t="shared" si="1"/>
        <v>12</v>
      </c>
      <c r="H16">
        <f t="shared" si="2"/>
        <v>25</v>
      </c>
      <c r="I16" s="25">
        <f t="shared" si="9"/>
        <v>40174</v>
      </c>
      <c r="J16">
        <f t="shared" si="3"/>
        <v>2009</v>
      </c>
      <c r="K16">
        <f t="shared" si="4"/>
        <v>12</v>
      </c>
      <c r="L16">
        <f t="shared" si="5"/>
        <v>27</v>
      </c>
      <c r="M16" t="s">
        <v>156</v>
      </c>
      <c r="N16" s="13">
        <f t="shared" si="6"/>
        <v>2</v>
      </c>
    </row>
    <row r="17" spans="1:14">
      <c r="A17" t="s">
        <v>7</v>
      </c>
      <c r="B17">
        <f>B2</f>
        <v>9.32</v>
      </c>
      <c r="C17">
        <v>2</v>
      </c>
      <c r="E17" s="25">
        <f>E2</f>
        <v>40172</v>
      </c>
      <c r="F17">
        <f t="shared" si="0"/>
        <v>2009</v>
      </c>
      <c r="G17">
        <f t="shared" si="1"/>
        <v>12</v>
      </c>
      <c r="H17">
        <f t="shared" si="2"/>
        <v>25</v>
      </c>
      <c r="I17" s="11">
        <f>Dec_30_copy!B23</f>
        <v>40177</v>
      </c>
      <c r="J17">
        <f t="shared" si="3"/>
        <v>2009</v>
      </c>
      <c r="K17">
        <f t="shared" si="4"/>
        <v>12</v>
      </c>
      <c r="L17">
        <f t="shared" si="5"/>
        <v>30</v>
      </c>
      <c r="M17" t="s">
        <v>156</v>
      </c>
      <c r="N17" s="13">
        <f t="shared" si="6"/>
        <v>5</v>
      </c>
    </row>
    <row r="18" spans="1:14">
      <c r="A18" t="s">
        <v>8</v>
      </c>
      <c r="B18">
        <f t="shared" ref="B18:B31" si="10">B3</f>
        <v>22.04</v>
      </c>
      <c r="C18">
        <f>C17</f>
        <v>2</v>
      </c>
      <c r="E18" s="25">
        <f t="shared" ref="E18:E32" si="11">E3</f>
        <v>40172</v>
      </c>
      <c r="F18">
        <f t="shared" si="0"/>
        <v>2009</v>
      </c>
      <c r="G18">
        <f t="shared" ref="G18:G32" si="12">MONTH(E18)</f>
        <v>12</v>
      </c>
      <c r="H18">
        <f t="shared" ref="H18:H32" si="13">DAY(E18)+E18-ROUNDDOWN(E18,0)</f>
        <v>25</v>
      </c>
      <c r="I18" s="11">
        <f>Dec_30_copy!B24</f>
        <v>0</v>
      </c>
      <c r="J18">
        <f t="shared" si="3"/>
        <v>1900</v>
      </c>
      <c r="K18">
        <f t="shared" ref="K18:K31" si="14">MONTH(I18)</f>
        <v>1</v>
      </c>
      <c r="L18">
        <f t="shared" ref="L18:L31" si="15">DAY(I18)+I18-ROUNDDOWN(I18,0)</f>
        <v>0</v>
      </c>
      <c r="M18" t="s">
        <v>156</v>
      </c>
      <c r="N18" s="13">
        <f t="shared" ref="N18:N31" si="16">I18-E18</f>
        <v>-40172</v>
      </c>
    </row>
    <row r="19" spans="1:14">
      <c r="A19" t="s">
        <v>9</v>
      </c>
      <c r="B19">
        <f t="shared" si="10"/>
        <v>10.15</v>
      </c>
      <c r="C19">
        <f t="shared" ref="C19:C31" si="17">C18</f>
        <v>2</v>
      </c>
      <c r="E19" s="25">
        <f t="shared" si="11"/>
        <v>40172</v>
      </c>
      <c r="F19">
        <f t="shared" si="0"/>
        <v>2009</v>
      </c>
      <c r="G19">
        <f t="shared" si="12"/>
        <v>12</v>
      </c>
      <c r="H19">
        <f t="shared" si="13"/>
        <v>25</v>
      </c>
      <c r="I19" s="11">
        <f>Dec_30_copy!B25</f>
        <v>0</v>
      </c>
      <c r="J19">
        <f t="shared" si="3"/>
        <v>1900</v>
      </c>
      <c r="K19">
        <f t="shared" si="14"/>
        <v>1</v>
      </c>
      <c r="L19">
        <f t="shared" si="15"/>
        <v>0</v>
      </c>
      <c r="M19" t="s">
        <v>156</v>
      </c>
      <c r="N19" s="13">
        <f t="shared" si="16"/>
        <v>-40172</v>
      </c>
    </row>
    <row r="20" spans="1:14">
      <c r="A20" t="s">
        <v>10</v>
      </c>
      <c r="B20">
        <f t="shared" si="10"/>
        <v>16.170000000000002</v>
      </c>
      <c r="C20">
        <f t="shared" si="17"/>
        <v>2</v>
      </c>
      <c r="E20" s="25">
        <f t="shared" si="11"/>
        <v>40172</v>
      </c>
      <c r="F20">
        <f t="shared" si="0"/>
        <v>2009</v>
      </c>
      <c r="G20">
        <f t="shared" si="12"/>
        <v>12</v>
      </c>
      <c r="H20">
        <f t="shared" si="13"/>
        <v>25</v>
      </c>
      <c r="I20" s="11">
        <f>Dec_30_copy!B26</f>
        <v>0</v>
      </c>
      <c r="J20">
        <f t="shared" si="3"/>
        <v>1900</v>
      </c>
      <c r="K20">
        <f t="shared" si="14"/>
        <v>1</v>
      </c>
      <c r="L20">
        <f t="shared" si="15"/>
        <v>0</v>
      </c>
      <c r="M20" t="s">
        <v>156</v>
      </c>
      <c r="N20" s="13">
        <f t="shared" si="16"/>
        <v>-40172</v>
      </c>
    </row>
    <row r="21" spans="1:14">
      <c r="A21" t="s">
        <v>11</v>
      </c>
      <c r="B21">
        <f t="shared" si="10"/>
        <v>62.22</v>
      </c>
      <c r="C21">
        <f t="shared" si="17"/>
        <v>2</v>
      </c>
      <c r="E21" s="25">
        <f t="shared" si="11"/>
        <v>40172</v>
      </c>
      <c r="F21">
        <f t="shared" si="0"/>
        <v>2009</v>
      </c>
      <c r="G21">
        <f t="shared" si="12"/>
        <v>12</v>
      </c>
      <c r="H21">
        <f t="shared" si="13"/>
        <v>25</v>
      </c>
      <c r="I21" s="11">
        <f>Dec_30_copy!B27</f>
        <v>0</v>
      </c>
      <c r="J21">
        <f t="shared" si="3"/>
        <v>1900</v>
      </c>
      <c r="K21">
        <f t="shared" si="14"/>
        <v>1</v>
      </c>
      <c r="L21">
        <f t="shared" si="15"/>
        <v>0</v>
      </c>
      <c r="M21" t="s">
        <v>156</v>
      </c>
      <c r="N21" s="13">
        <f t="shared" si="16"/>
        <v>-40172</v>
      </c>
    </row>
    <row r="22" spans="1:14">
      <c r="A22" t="s">
        <v>12</v>
      </c>
      <c r="B22">
        <f t="shared" si="10"/>
        <v>64.209999999999994</v>
      </c>
      <c r="C22">
        <f t="shared" si="17"/>
        <v>2</v>
      </c>
      <c r="E22" s="25">
        <f t="shared" si="11"/>
        <v>40172</v>
      </c>
      <c r="F22">
        <f t="shared" si="0"/>
        <v>2009</v>
      </c>
      <c r="G22">
        <f t="shared" si="12"/>
        <v>12</v>
      </c>
      <c r="H22">
        <f t="shared" si="13"/>
        <v>25</v>
      </c>
      <c r="I22" s="11">
        <f>Dec_30_copy!B28</f>
        <v>0</v>
      </c>
      <c r="J22">
        <f t="shared" si="3"/>
        <v>1900</v>
      </c>
      <c r="K22">
        <f t="shared" si="14"/>
        <v>1</v>
      </c>
      <c r="L22">
        <f t="shared" si="15"/>
        <v>0</v>
      </c>
      <c r="M22" t="s">
        <v>156</v>
      </c>
      <c r="N22" s="13">
        <f t="shared" si="16"/>
        <v>-40172</v>
      </c>
    </row>
    <row r="23" spans="1:14">
      <c r="A23" t="s">
        <v>13</v>
      </c>
      <c r="B23">
        <f t="shared" si="10"/>
        <v>74.23</v>
      </c>
      <c r="C23">
        <f t="shared" si="17"/>
        <v>2</v>
      </c>
      <c r="E23" s="25">
        <f t="shared" si="11"/>
        <v>40172</v>
      </c>
      <c r="F23">
        <f t="shared" si="0"/>
        <v>2009</v>
      </c>
      <c r="G23">
        <f t="shared" si="12"/>
        <v>12</v>
      </c>
      <c r="H23">
        <f t="shared" si="13"/>
        <v>25</v>
      </c>
      <c r="I23" s="11">
        <f>Dec_30_copy!B29</f>
        <v>0</v>
      </c>
      <c r="J23">
        <f t="shared" si="3"/>
        <v>1900</v>
      </c>
      <c r="K23">
        <f t="shared" si="14"/>
        <v>1</v>
      </c>
      <c r="L23">
        <f t="shared" si="15"/>
        <v>0</v>
      </c>
      <c r="M23" t="s">
        <v>156</v>
      </c>
      <c r="N23" s="13">
        <f t="shared" si="16"/>
        <v>-40172</v>
      </c>
    </row>
    <row r="24" spans="1:14">
      <c r="A24" t="s">
        <v>14</v>
      </c>
      <c r="B24">
        <f t="shared" si="10"/>
        <v>44.44</v>
      </c>
      <c r="C24">
        <f t="shared" si="17"/>
        <v>2</v>
      </c>
      <c r="E24" s="25">
        <f t="shared" si="11"/>
        <v>40172</v>
      </c>
      <c r="F24">
        <f t="shared" si="0"/>
        <v>2009</v>
      </c>
      <c r="G24">
        <f t="shared" si="12"/>
        <v>12</v>
      </c>
      <c r="H24">
        <f t="shared" si="13"/>
        <v>25</v>
      </c>
      <c r="I24" s="11">
        <f>Dec_30_copy!B30</f>
        <v>0</v>
      </c>
      <c r="J24">
        <f t="shared" si="3"/>
        <v>1900</v>
      </c>
      <c r="K24">
        <f t="shared" si="14"/>
        <v>1</v>
      </c>
      <c r="L24">
        <f t="shared" si="15"/>
        <v>0</v>
      </c>
      <c r="M24" t="s">
        <v>156</v>
      </c>
      <c r="N24" s="13">
        <f t="shared" si="16"/>
        <v>-40172</v>
      </c>
    </row>
    <row r="25" spans="1:14">
      <c r="A25" t="s">
        <v>24</v>
      </c>
      <c r="B25">
        <f t="shared" si="10"/>
        <v>77.19</v>
      </c>
      <c r="C25">
        <f t="shared" si="17"/>
        <v>2</v>
      </c>
      <c r="E25" s="25">
        <f t="shared" si="11"/>
        <v>40172</v>
      </c>
      <c r="F25">
        <f t="shared" si="0"/>
        <v>2009</v>
      </c>
      <c r="G25">
        <f t="shared" si="12"/>
        <v>12</v>
      </c>
      <c r="H25">
        <f t="shared" si="13"/>
        <v>25</v>
      </c>
      <c r="I25" s="11">
        <f>Dec_30_copy!B31</f>
        <v>0</v>
      </c>
      <c r="J25">
        <f t="shared" si="3"/>
        <v>1900</v>
      </c>
      <c r="K25">
        <f t="shared" si="14"/>
        <v>1</v>
      </c>
      <c r="L25">
        <f t="shared" si="15"/>
        <v>0</v>
      </c>
      <c r="M25" t="s">
        <v>156</v>
      </c>
      <c r="N25" s="13">
        <f t="shared" si="16"/>
        <v>-40172</v>
      </c>
    </row>
    <row r="26" spans="1:14">
      <c r="A26" t="s">
        <v>25</v>
      </c>
      <c r="B26">
        <f t="shared" si="10"/>
        <v>98.12</v>
      </c>
      <c r="C26">
        <f t="shared" si="17"/>
        <v>2</v>
      </c>
      <c r="E26" s="25">
        <f t="shared" si="11"/>
        <v>40172</v>
      </c>
      <c r="F26">
        <f t="shared" si="0"/>
        <v>2009</v>
      </c>
      <c r="G26">
        <f t="shared" si="12"/>
        <v>12</v>
      </c>
      <c r="H26">
        <f t="shared" si="13"/>
        <v>25</v>
      </c>
      <c r="I26" s="11">
        <f>Dec_30_copy!B32</f>
        <v>0</v>
      </c>
      <c r="J26">
        <f t="shared" si="3"/>
        <v>1900</v>
      </c>
      <c r="K26">
        <f t="shared" si="14"/>
        <v>1</v>
      </c>
      <c r="L26">
        <f t="shared" si="15"/>
        <v>0</v>
      </c>
      <c r="M26" t="s">
        <v>156</v>
      </c>
      <c r="N26" s="13">
        <f t="shared" si="16"/>
        <v>-40172</v>
      </c>
    </row>
    <row r="27" spans="1:14">
      <c r="A27" t="s">
        <v>26</v>
      </c>
      <c r="B27">
        <f t="shared" si="10"/>
        <v>67.16</v>
      </c>
      <c r="C27">
        <f t="shared" si="17"/>
        <v>2</v>
      </c>
      <c r="E27" s="25">
        <f t="shared" si="11"/>
        <v>40172</v>
      </c>
      <c r="F27">
        <f t="shared" si="0"/>
        <v>2009</v>
      </c>
      <c r="G27">
        <f t="shared" si="12"/>
        <v>12</v>
      </c>
      <c r="H27">
        <f t="shared" si="13"/>
        <v>25</v>
      </c>
      <c r="I27" s="11">
        <f>Dec_30_copy!B33</f>
        <v>0</v>
      </c>
      <c r="J27">
        <f t="shared" si="3"/>
        <v>1900</v>
      </c>
      <c r="K27">
        <f t="shared" si="14"/>
        <v>1</v>
      </c>
      <c r="L27">
        <f t="shared" si="15"/>
        <v>0</v>
      </c>
      <c r="M27" t="s">
        <v>156</v>
      </c>
      <c r="N27" s="13">
        <f t="shared" si="16"/>
        <v>-40172</v>
      </c>
    </row>
    <row r="28" spans="1:14">
      <c r="A28" t="s">
        <v>35</v>
      </c>
      <c r="B28">
        <f t="shared" si="10"/>
        <v>88.52</v>
      </c>
      <c r="C28">
        <f t="shared" si="17"/>
        <v>2</v>
      </c>
      <c r="E28" s="25">
        <f t="shared" si="11"/>
        <v>40172</v>
      </c>
      <c r="F28">
        <f t="shared" si="0"/>
        <v>2009</v>
      </c>
      <c r="G28">
        <f t="shared" si="12"/>
        <v>12</v>
      </c>
      <c r="H28">
        <f t="shared" si="13"/>
        <v>25</v>
      </c>
      <c r="I28" s="11">
        <f>Dec_30_copy!B34</f>
        <v>0</v>
      </c>
      <c r="J28">
        <f t="shared" si="3"/>
        <v>1900</v>
      </c>
      <c r="K28">
        <f t="shared" si="14"/>
        <v>1</v>
      </c>
      <c r="L28">
        <f t="shared" si="15"/>
        <v>0</v>
      </c>
      <c r="M28" t="s">
        <v>156</v>
      </c>
      <c r="N28" s="13">
        <f t="shared" si="16"/>
        <v>-40172</v>
      </c>
    </row>
    <row r="29" spans="1:14">
      <c r="A29" t="s">
        <v>15</v>
      </c>
      <c r="B29">
        <f t="shared" si="10"/>
        <v>97.99</v>
      </c>
      <c r="C29">
        <f t="shared" si="17"/>
        <v>2</v>
      </c>
      <c r="E29" s="25">
        <f t="shared" si="11"/>
        <v>40172</v>
      </c>
      <c r="F29">
        <f t="shared" si="0"/>
        <v>2009</v>
      </c>
      <c r="G29">
        <f t="shared" si="12"/>
        <v>12</v>
      </c>
      <c r="H29">
        <f t="shared" si="13"/>
        <v>25</v>
      </c>
      <c r="I29" s="11">
        <f>Dec_30_copy!B35</f>
        <v>0</v>
      </c>
      <c r="J29">
        <f t="shared" si="3"/>
        <v>1900</v>
      </c>
      <c r="K29">
        <f t="shared" si="14"/>
        <v>1</v>
      </c>
      <c r="L29">
        <f t="shared" si="15"/>
        <v>0</v>
      </c>
      <c r="M29" t="s">
        <v>156</v>
      </c>
      <c r="N29" s="13">
        <f t="shared" si="16"/>
        <v>-40172</v>
      </c>
    </row>
    <row r="30" spans="1:14">
      <c r="A30" t="s">
        <v>16</v>
      </c>
      <c r="B30">
        <f t="shared" si="10"/>
        <v>91.66</v>
      </c>
      <c r="C30">
        <f t="shared" si="17"/>
        <v>2</v>
      </c>
      <c r="E30" s="25">
        <f t="shared" si="11"/>
        <v>40172</v>
      </c>
      <c r="F30">
        <f t="shared" si="0"/>
        <v>2009</v>
      </c>
      <c r="G30">
        <f t="shared" si="12"/>
        <v>12</v>
      </c>
      <c r="H30">
        <f t="shared" si="13"/>
        <v>25</v>
      </c>
      <c r="I30" s="11">
        <f>Dec_30_copy!B36</f>
        <v>0</v>
      </c>
      <c r="J30">
        <f t="shared" si="3"/>
        <v>1900</v>
      </c>
      <c r="K30">
        <f t="shared" si="14"/>
        <v>1</v>
      </c>
      <c r="L30">
        <f t="shared" si="15"/>
        <v>0</v>
      </c>
      <c r="M30" t="s">
        <v>156</v>
      </c>
      <c r="N30" s="13">
        <f t="shared" si="16"/>
        <v>-40172</v>
      </c>
    </row>
    <row r="31" spans="1:14">
      <c r="A31" t="s">
        <v>17</v>
      </c>
      <c r="B31">
        <f t="shared" si="10"/>
        <v>70.760000000000005</v>
      </c>
      <c r="C31">
        <f t="shared" si="17"/>
        <v>2</v>
      </c>
      <c r="E31" s="25">
        <f t="shared" si="11"/>
        <v>40172</v>
      </c>
      <c r="F31">
        <f t="shared" si="0"/>
        <v>2009</v>
      </c>
      <c r="G31">
        <f t="shared" si="12"/>
        <v>12</v>
      </c>
      <c r="H31">
        <f t="shared" si="13"/>
        <v>25</v>
      </c>
      <c r="I31" s="11">
        <f>Dec_30_copy!B37</f>
        <v>0</v>
      </c>
      <c r="J31">
        <f t="shared" si="3"/>
        <v>1900</v>
      </c>
      <c r="K31">
        <f t="shared" si="14"/>
        <v>1</v>
      </c>
      <c r="L31">
        <f t="shared" si="15"/>
        <v>0</v>
      </c>
      <c r="M31" t="s">
        <v>156</v>
      </c>
      <c r="N31" s="13">
        <f t="shared" si="16"/>
        <v>-40172</v>
      </c>
    </row>
    <row r="32" spans="1:14">
      <c r="E32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2" sqref="E2"/>
    </sheetView>
  </sheetViews>
  <sheetFormatPr baseColWidth="10" defaultRowHeight="15" x14ac:dyDescent="0"/>
  <cols>
    <col min="1" max="1" width="16.83203125" bestFit="1" customWidth="1"/>
    <col min="2" max="2" width="16.83203125" customWidth="1"/>
  </cols>
  <sheetData>
    <row r="1" spans="1:4">
      <c r="A1" t="s">
        <v>158</v>
      </c>
      <c r="B1" t="s">
        <v>160</v>
      </c>
      <c r="C1" t="s">
        <v>159</v>
      </c>
      <c r="D1" t="s">
        <v>161</v>
      </c>
    </row>
    <row r="2" spans="1:4">
      <c r="A2" t="s">
        <v>7</v>
      </c>
      <c r="B2">
        <f>VLOOKUP(A2,Sheet1_copy!$B$2:$H$24,2,FALSE)</f>
        <v>1999</v>
      </c>
      <c r="C2">
        <f>VLOOKUP($A2,Sheet1_copy!$B$2:$H$24,4,FALSE)</f>
        <v>123</v>
      </c>
      <c r="D2">
        <f>VLOOKUP($A2,Sheet1_copy!$B$2:$H$24,7,FALSE)</f>
        <v>1.163309924394998</v>
      </c>
    </row>
    <row r="3" spans="1:4">
      <c r="A3" t="s">
        <v>8</v>
      </c>
      <c r="B3">
        <f>VLOOKUP(A3,Sheet1_copy!$B$2:$H$24,2,FALSE)</f>
        <v>1999</v>
      </c>
      <c r="C3">
        <f>VLOOKUP($A3,Sheet1_copy!$B$2:$H$24,4,FALSE)</f>
        <v>117</v>
      </c>
      <c r="D3">
        <f>VLOOKUP($A3,Sheet1_copy!$B$2:$H$24,7,FALSE)</f>
        <v>1.166059410929934</v>
      </c>
    </row>
    <row r="4" spans="1:4">
      <c r="A4" t="s">
        <v>9</v>
      </c>
      <c r="B4">
        <f>VLOOKUP(A4,Sheet1_copy!$B$2:$H$24,2,FALSE)</f>
        <v>1999</v>
      </c>
      <c r="C4">
        <f>VLOOKUP($A4,Sheet1_copy!$B$2:$H$24,4,FALSE)</f>
        <v>153</v>
      </c>
      <c r="D4">
        <f>VLOOKUP($A4,Sheet1_copy!$B$2:$H$24,7,FALSE)</f>
        <v>1.2322973230980141</v>
      </c>
    </row>
    <row r="5" spans="1:4">
      <c r="A5" t="s">
        <v>10</v>
      </c>
      <c r="B5">
        <f>VLOOKUP(A5,Sheet1_copy!$B$2:$H$24,2,FALSE)</f>
        <v>1999</v>
      </c>
      <c r="C5">
        <f>VLOOKUP($A5,Sheet1_copy!$B$2:$H$24,4,FALSE)</f>
        <v>72</v>
      </c>
      <c r="D5">
        <f>VLOOKUP($A5,Sheet1_copy!$B$2:$H$24,7,FALSE)</f>
        <v>1.2544214351331739</v>
      </c>
    </row>
    <row r="6" spans="1:4">
      <c r="A6" t="s">
        <v>11</v>
      </c>
      <c r="B6">
        <f>VLOOKUP(A6,Sheet1_copy!$B$2:$H$24,2,FALSE)</f>
        <v>1999</v>
      </c>
      <c r="C6">
        <f>VLOOKUP($A6,Sheet1_copy!$B$2:$H$24,4,FALSE)</f>
        <v>120.5</v>
      </c>
      <c r="D6">
        <f>VLOOKUP($A6,Sheet1_copy!$B$2:$H$24,7,FALSE)</f>
        <v>1.0755495586926322</v>
      </c>
    </row>
    <row r="7" spans="1:4">
      <c r="A7" t="s">
        <v>12</v>
      </c>
      <c r="B7">
        <f>VLOOKUP(A7,Sheet1_copy!$B$2:$H$24,2,FALSE)</f>
        <v>1999</v>
      </c>
      <c r="C7">
        <f>VLOOKUP($A7,Sheet1_copy!$B$2:$H$24,4,FALSE)</f>
        <v>120.5</v>
      </c>
      <c r="D7">
        <f>VLOOKUP($A7,Sheet1_copy!$B$2:$H$24,7,FALSE)</f>
        <v>1.114626744420828</v>
      </c>
    </row>
    <row r="8" spans="1:4">
      <c r="A8" t="s">
        <v>13</v>
      </c>
      <c r="B8">
        <f>VLOOKUP(A8,Sheet1_copy!$B$2:$H$24,2,FALSE)</f>
        <v>1999</v>
      </c>
      <c r="C8">
        <f>VLOOKUP($A8,Sheet1_copy!$B$2:$H$24,4,FALSE)</f>
        <v>125</v>
      </c>
      <c r="D8">
        <f>VLOOKUP($A8,Sheet1_copy!$B$2:$H$24,7,FALSE)</f>
        <v>1.1580972052037479</v>
      </c>
    </row>
    <row r="9" spans="1:4">
      <c r="A9" t="s">
        <v>14</v>
      </c>
      <c r="B9">
        <f>VLOOKUP(A9,Sheet1_copy!$B$2:$H$24,2,FALSE)</f>
        <v>1999</v>
      </c>
      <c r="C9">
        <f>VLOOKUP($A9,Sheet1_copy!$B$2:$H$24,4,FALSE)</f>
        <v>116</v>
      </c>
      <c r="D9">
        <f>VLOOKUP($A9,Sheet1_copy!$B$2:$H$24,7,FALSE)</f>
        <v>1.1051043595015999</v>
      </c>
    </row>
    <row r="10" spans="1:4">
      <c r="A10" t="s">
        <v>15</v>
      </c>
      <c r="B10">
        <f>VLOOKUP(A10,Sheet1_copy!$B$2:$H$24,2,FALSE)</f>
        <v>2004</v>
      </c>
      <c r="C10">
        <f>VLOOKUP($A10,Sheet1_copy!$B$2:$H$24,4,FALSE)</f>
        <v>342.6</v>
      </c>
      <c r="D10">
        <f>VLOOKUP($A10,Sheet1_copy!$B$2:$H$24,7,FALSE)</f>
        <v>1.2844010752638231</v>
      </c>
    </row>
    <row r="11" spans="1:4">
      <c r="A11" t="s">
        <v>16</v>
      </c>
      <c r="B11">
        <f>VLOOKUP(A11,Sheet1_copy!$B$2:$H$24,2,FALSE)</f>
        <v>2004</v>
      </c>
      <c r="C11">
        <f>VLOOKUP($A11,Sheet1_copy!$B$2:$H$24,4,FALSE)</f>
        <v>329.7</v>
      </c>
      <c r="D11">
        <f>VLOOKUP($A11,Sheet1_copy!$B$2:$H$24,7,FALSE)</f>
        <v>1.3005433220847651</v>
      </c>
    </row>
    <row r="12" spans="1:4">
      <c r="A12" t="s">
        <v>17</v>
      </c>
      <c r="B12">
        <f>VLOOKUP(A12,Sheet1_copy!$B$2:$H$24,2,FALSE)</f>
        <v>2004</v>
      </c>
      <c r="C12">
        <f>VLOOKUP($A12,Sheet1_copy!$B$2:$H$24,4,FALSE)</f>
        <v>338.3</v>
      </c>
      <c r="D12">
        <f>VLOOKUP($A12,Sheet1_copy!$B$2:$H$24,7,FALSE)</f>
        <v>1.3067216530536421</v>
      </c>
    </row>
    <row r="13" spans="1:4">
      <c r="A13" t="s">
        <v>19</v>
      </c>
      <c r="B13">
        <f>VLOOKUP(A13,Sheet1_copy!$B$2:$H$24,2,FALSE)</f>
        <v>2004</v>
      </c>
      <c r="C13">
        <f>VLOOKUP($A13,Sheet1_copy!$B$2:$H$24,4,FALSE)</f>
        <v>310.34817661435966</v>
      </c>
      <c r="D13">
        <f>VLOOKUP($A13,Sheet1_copy!$B$2:$H$24,7,FALSE)</f>
        <v>1.255256051476243</v>
      </c>
    </row>
    <row r="14" spans="1:4">
      <c r="A14" t="s">
        <v>20</v>
      </c>
      <c r="B14">
        <f>VLOOKUP(A14,Sheet1_copy!$B$2:$H$24,2,FALSE)</f>
        <v>2004</v>
      </c>
      <c r="C14">
        <f>VLOOKUP($A14,Sheet1_copy!$B$2:$H$24,4,FALSE)</f>
        <v>318.36546437050316</v>
      </c>
      <c r="D14">
        <f>VLOOKUP($A14,Sheet1_copy!$B$2:$H$24,7,FALSE)</f>
        <v>1.2850821491467548</v>
      </c>
    </row>
    <row r="15" spans="1:4">
      <c r="A15" t="s">
        <v>21</v>
      </c>
      <c r="B15">
        <f>VLOOKUP(A15,Sheet1_copy!$B$2:$H$24,2,FALSE)</f>
        <v>2004</v>
      </c>
      <c r="C15">
        <f>VLOOKUP($A15,Sheet1_copy!$B$2:$H$24,4,FALSE)</f>
        <v>153.7793032684167</v>
      </c>
      <c r="D15">
        <f>VLOOKUP($A15,Sheet1_copy!$B$2:$H$24,7,FALSE)</f>
        <v>1.1592041891015252</v>
      </c>
    </row>
    <row r="16" spans="1:4">
      <c r="A16" t="s">
        <v>22</v>
      </c>
      <c r="B16">
        <f>VLOOKUP(A16,Sheet1_copy!$B$2:$H$24,2,FALSE)</f>
        <v>2004</v>
      </c>
      <c r="C16">
        <f>VLOOKUP($A16,Sheet1_copy!$B$2:$H$24,4,FALSE)</f>
        <v>185.98022281336867</v>
      </c>
      <c r="D16">
        <f>VLOOKUP($A16,Sheet1_copy!$B$2:$H$24,7,FALSE)</f>
        <v>1.1918125257082315</v>
      </c>
    </row>
    <row r="17" spans="1:4">
      <c r="A17" t="s">
        <v>23</v>
      </c>
      <c r="B17">
        <f>VLOOKUP(A17,Sheet1_copy!$B$2:$H$24,2,FALSE)</f>
        <v>2004</v>
      </c>
      <c r="C17">
        <f>VLOOKUP($A17,Sheet1_copy!$B$2:$H$24,4,FALSE)</f>
        <v>152.91407930804525</v>
      </c>
      <c r="D17">
        <f>VLOOKUP($A17,Sheet1_copy!$B$2:$H$24,7,FALSE)</f>
        <v>1.1347543985540955</v>
      </c>
    </row>
    <row r="18" spans="1:4">
      <c r="A18" t="s">
        <v>24</v>
      </c>
      <c r="B18">
        <f>VLOOKUP(A18,Sheet1_copy!$B$2:$H$24,2,FALSE)</f>
        <v>1999</v>
      </c>
      <c r="C18">
        <f>VLOOKUP($A18,Sheet1_copy!$B$2:$H$24,4,FALSE)</f>
        <v>76</v>
      </c>
      <c r="D18">
        <f>VLOOKUP($A18,Sheet1_copy!$B$2:$H$24,7,FALSE)</f>
        <v>1.1593444182417521</v>
      </c>
    </row>
    <row r="19" spans="1:4">
      <c r="A19" t="s">
        <v>25</v>
      </c>
      <c r="B19">
        <f>VLOOKUP(A19,Sheet1_copy!$B$2:$H$24,2,FALSE)</f>
        <v>1999</v>
      </c>
      <c r="C19">
        <f>VLOOKUP($A19,Sheet1_copy!$B$2:$H$24,4,FALSE)</f>
        <v>76</v>
      </c>
      <c r="D19">
        <f>VLOOKUP($A19,Sheet1_copy!$B$2:$H$24,7,FALSE)</f>
        <v>0.99879952107284931</v>
      </c>
    </row>
    <row r="20" spans="1:4">
      <c r="A20" t="s">
        <v>26</v>
      </c>
      <c r="B20">
        <f>VLOOKUP(A20,Sheet1_copy!$B$2:$H$24,2,FALSE)</f>
        <v>1999</v>
      </c>
      <c r="C20">
        <f>VLOOKUP($A20,Sheet1_copy!$B$2:$H$24,4,FALSE)</f>
        <v>117</v>
      </c>
      <c r="D20">
        <f>VLOOKUP($A20,Sheet1_copy!$B$2:$H$24,7,FALSE)</f>
        <v>1.0864743891516737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Dec25_copy</vt:lpstr>
      <vt:lpstr>Dec27_2009_copy</vt:lpstr>
      <vt:lpstr>Dec_30_copy</vt:lpstr>
      <vt:lpstr>Sheet1_copy</vt:lpstr>
      <vt:lpstr>arc-tme-misc</vt:lpstr>
      <vt:lpstr>arc-tme-misc-iso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2020-04-28T19:25:52Z</dcterms:created>
  <dcterms:modified xsi:type="dcterms:W3CDTF">2020-04-28T21:41:59Z</dcterms:modified>
</cp:coreProperties>
</file>