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00" yWindow="160" windowWidth="29040" windowHeight="16440" firstSheet="3" activeTab="13"/>
  </bookViews>
  <sheets>
    <sheet name="arc_inc_ids" sheetId="1" r:id="rId1"/>
    <sheet name="Leakage" sheetId="2" r:id="rId2"/>
    <sheet name="Template" sheetId="3" r:id="rId3"/>
    <sheet name="Jar_Information" sheetId="4" r:id="rId4"/>
    <sheet name="30.07.18" sheetId="5" r:id="rId5"/>
    <sheet name="02.08.18" sheetId="6" r:id="rId6"/>
    <sheet name="06.08.18" sheetId="7" r:id="rId7"/>
    <sheet name="09.08.18" sheetId="9" r:id="rId8"/>
    <sheet name="13.08.18" sheetId="10" r:id="rId9"/>
    <sheet name="20.08.18" sheetId="11" r:id="rId10"/>
    <sheet name="24.08.18" sheetId="12" r:id="rId11"/>
    <sheet name="27.08.18" sheetId="13" r:id="rId12"/>
    <sheet name="03.09.18" sheetId="14" r:id="rId13"/>
    <sheet name="CO2_Summary" sheetId="8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4" l="1"/>
  <c r="R36" i="13"/>
  <c r="Q36" i="13"/>
  <c r="S36" i="13"/>
  <c r="S18" i="13"/>
  <c r="S17" i="13"/>
  <c r="S24" i="13"/>
  <c r="S23" i="13"/>
  <c r="S22" i="13"/>
  <c r="S20" i="13"/>
  <c r="R18" i="13"/>
  <c r="R19" i="13"/>
  <c r="R20" i="13"/>
  <c r="R22" i="13"/>
  <c r="R23" i="13"/>
  <c r="R24" i="13"/>
  <c r="R17" i="13"/>
  <c r="S19" i="13"/>
  <c r="Q18" i="13"/>
  <c r="Q19" i="13"/>
  <c r="Q20" i="13"/>
  <c r="Q21" i="13"/>
  <c r="Q22" i="13"/>
  <c r="Q23" i="13"/>
  <c r="Q24" i="13"/>
  <c r="Q17" i="13"/>
  <c r="S30" i="12"/>
  <c r="S31" i="12"/>
  <c r="S32" i="12"/>
  <c r="S33" i="12"/>
  <c r="S34" i="12"/>
  <c r="S35" i="12"/>
  <c r="R30" i="12"/>
  <c r="R31" i="12"/>
  <c r="R32" i="12"/>
  <c r="R33" i="12"/>
  <c r="R34" i="12"/>
  <c r="R35" i="12"/>
  <c r="T35" i="12"/>
  <c r="T33" i="12"/>
  <c r="T32" i="12"/>
  <c r="T31" i="12"/>
  <c r="T30" i="12"/>
  <c r="T28" i="12"/>
  <c r="Y28" i="12"/>
  <c r="Y29" i="12"/>
  <c r="Y30" i="12"/>
  <c r="Y31" i="12"/>
  <c r="Y32" i="12"/>
  <c r="Y33" i="12"/>
  <c r="Y34" i="12"/>
  <c r="Y35" i="12"/>
  <c r="Y27" i="12"/>
  <c r="Q27" i="11"/>
  <c r="Q30" i="11"/>
  <c r="Q26" i="11"/>
  <c r="R30" i="11"/>
  <c r="S30" i="11"/>
  <c r="R27" i="11"/>
  <c r="S27" i="11"/>
  <c r="R26" i="11"/>
  <c r="S39" i="14"/>
  <c r="R39" i="14"/>
  <c r="S40" i="14"/>
  <c r="R40" i="14"/>
  <c r="R38" i="14"/>
  <c r="S38" i="14"/>
  <c r="L18" i="14"/>
  <c r="M18" i="14"/>
  <c r="N18" i="14"/>
  <c r="O18" i="14"/>
  <c r="Q18" i="14"/>
  <c r="L19" i="14"/>
  <c r="M19" i="14"/>
  <c r="N19" i="14"/>
  <c r="O19" i="14"/>
  <c r="Q19" i="14"/>
  <c r="L20" i="14"/>
  <c r="M20" i="14"/>
  <c r="N20" i="14"/>
  <c r="O20" i="14"/>
  <c r="Q20" i="14"/>
  <c r="L21" i="14"/>
  <c r="M21" i="14"/>
  <c r="N21" i="14"/>
  <c r="O21" i="14"/>
  <c r="Q21" i="14"/>
  <c r="L22" i="14"/>
  <c r="M22" i="14"/>
  <c r="N22" i="14"/>
  <c r="O22" i="14"/>
  <c r="Q22" i="14"/>
  <c r="L23" i="14"/>
  <c r="M23" i="14"/>
  <c r="N23" i="14"/>
  <c r="O23" i="14"/>
  <c r="Q23" i="14"/>
  <c r="L24" i="14"/>
  <c r="M24" i="14"/>
  <c r="N24" i="14"/>
  <c r="O24" i="14"/>
  <c r="Q24" i="14"/>
  <c r="L25" i="14"/>
  <c r="M25" i="14"/>
  <c r="N25" i="14"/>
  <c r="O25" i="14"/>
  <c r="Q25" i="14"/>
  <c r="L26" i="14"/>
  <c r="M26" i="14"/>
  <c r="N26" i="14"/>
  <c r="O26" i="14"/>
  <c r="Q26" i="14"/>
  <c r="L27" i="14"/>
  <c r="M27" i="14"/>
  <c r="N27" i="14"/>
  <c r="O27" i="14"/>
  <c r="Q27" i="14"/>
  <c r="L28" i="14"/>
  <c r="M28" i="14"/>
  <c r="N28" i="14"/>
  <c r="O28" i="14"/>
  <c r="Q28" i="14"/>
  <c r="L29" i="14"/>
  <c r="M29" i="14"/>
  <c r="N29" i="14"/>
  <c r="O29" i="14"/>
  <c r="Q29" i="14"/>
  <c r="L30" i="14"/>
  <c r="M30" i="14"/>
  <c r="N30" i="14"/>
  <c r="O30" i="14"/>
  <c r="Q30" i="14"/>
  <c r="L31" i="14"/>
  <c r="M31" i="14"/>
  <c r="N31" i="14"/>
  <c r="O31" i="14"/>
  <c r="Q31" i="14"/>
  <c r="L32" i="14"/>
  <c r="M32" i="14"/>
  <c r="N32" i="14"/>
  <c r="O32" i="14"/>
  <c r="Q32" i="14"/>
  <c r="L33" i="14"/>
  <c r="M33" i="14"/>
  <c r="N33" i="14"/>
  <c r="O33" i="14"/>
  <c r="Q33" i="14"/>
  <c r="L34" i="14"/>
  <c r="M34" i="14"/>
  <c r="N34" i="14"/>
  <c r="O34" i="14"/>
  <c r="Q34" i="14"/>
  <c r="L35" i="14"/>
  <c r="M35" i="14"/>
  <c r="N35" i="14"/>
  <c r="O35" i="14"/>
  <c r="Q35" i="14"/>
  <c r="L36" i="14"/>
  <c r="M36" i="14"/>
  <c r="N36" i="14"/>
  <c r="O36" i="14"/>
  <c r="Q36" i="14"/>
  <c r="L38" i="14"/>
  <c r="M38" i="14"/>
  <c r="N38" i="14"/>
  <c r="O38" i="14"/>
  <c r="Q38" i="14"/>
  <c r="L39" i="14"/>
  <c r="M39" i="14"/>
  <c r="N39" i="14"/>
  <c r="O39" i="14"/>
  <c r="Q39" i="14"/>
  <c r="L40" i="14"/>
  <c r="M40" i="14"/>
  <c r="N40" i="14"/>
  <c r="O40" i="14"/>
  <c r="Q40" i="14"/>
  <c r="L17" i="14"/>
  <c r="M17" i="14"/>
  <c r="N17" i="14"/>
  <c r="O17" i="14"/>
  <c r="Q17" i="14"/>
  <c r="I40" i="14"/>
  <c r="J40" i="14"/>
  <c r="K40" i="14"/>
  <c r="I39" i="14"/>
  <c r="J39" i="14"/>
  <c r="K39" i="14"/>
  <c r="I38" i="14"/>
  <c r="J38" i="14"/>
  <c r="K38" i="14"/>
  <c r="I36" i="14"/>
  <c r="K36" i="14"/>
  <c r="I35" i="14"/>
  <c r="J35" i="14"/>
  <c r="K35" i="14"/>
  <c r="I34" i="14"/>
  <c r="J34" i="14"/>
  <c r="K34" i="14"/>
  <c r="I33" i="14"/>
  <c r="J33" i="14"/>
  <c r="K33" i="14"/>
  <c r="I32" i="14"/>
  <c r="J32" i="14"/>
  <c r="K32" i="14"/>
  <c r="I31" i="14"/>
  <c r="J31" i="14"/>
  <c r="K31" i="14"/>
  <c r="I30" i="14"/>
  <c r="J30" i="14"/>
  <c r="K30" i="14"/>
  <c r="I29" i="14"/>
  <c r="J29" i="14"/>
  <c r="K29" i="14"/>
  <c r="I28" i="14"/>
  <c r="J28" i="14"/>
  <c r="K28" i="14"/>
  <c r="I27" i="14"/>
  <c r="J27" i="14"/>
  <c r="K27" i="14"/>
  <c r="I26" i="14"/>
  <c r="J26" i="14"/>
  <c r="K26" i="14"/>
  <c r="I25" i="14"/>
  <c r="J25" i="14"/>
  <c r="K25" i="14"/>
  <c r="I24" i="14"/>
  <c r="J24" i="14"/>
  <c r="K24" i="14"/>
  <c r="I23" i="14"/>
  <c r="J23" i="14"/>
  <c r="K23" i="14"/>
  <c r="I22" i="14"/>
  <c r="J22" i="14"/>
  <c r="K22" i="14"/>
  <c r="I21" i="14"/>
  <c r="J21" i="14"/>
  <c r="K21" i="14"/>
  <c r="I20" i="14"/>
  <c r="J20" i="14"/>
  <c r="K20" i="14"/>
  <c r="I19" i="14"/>
  <c r="J19" i="14"/>
  <c r="K19" i="14"/>
  <c r="I18" i="14"/>
  <c r="J18" i="14"/>
  <c r="K18" i="14"/>
  <c r="I17" i="14"/>
  <c r="J17" i="14"/>
  <c r="K17" i="14"/>
  <c r="F13" i="14"/>
  <c r="F12" i="14"/>
  <c r="F11" i="14"/>
  <c r="F3" i="14"/>
  <c r="F4" i="14"/>
  <c r="F5" i="14"/>
  <c r="F6" i="14"/>
  <c r="F7" i="14"/>
  <c r="F8" i="14"/>
  <c r="F9" i="14"/>
  <c r="F10" i="14"/>
  <c r="I10" i="14"/>
  <c r="R26" i="12"/>
  <c r="R27" i="12"/>
  <c r="S28" i="12"/>
  <c r="R28" i="12"/>
  <c r="R29" i="12"/>
  <c r="R25" i="12"/>
  <c r="Q25" i="12"/>
  <c r="Q26" i="12"/>
  <c r="Q27" i="12"/>
  <c r="Q28" i="12"/>
  <c r="Q29" i="12"/>
  <c r="Q30" i="12"/>
  <c r="Q31" i="12"/>
  <c r="Q32" i="12"/>
  <c r="Q33" i="12"/>
  <c r="Q34" i="12"/>
  <c r="Q35" i="12"/>
  <c r="S27" i="12"/>
  <c r="S29" i="12"/>
  <c r="S25" i="12"/>
  <c r="S26" i="12"/>
  <c r="L40" i="13"/>
  <c r="I40" i="13"/>
  <c r="J40" i="13"/>
  <c r="K40" i="13"/>
  <c r="L39" i="13"/>
  <c r="I39" i="13"/>
  <c r="J39" i="13"/>
  <c r="K39" i="13"/>
  <c r="L38" i="13"/>
  <c r="I38" i="13"/>
  <c r="J38" i="13"/>
  <c r="K38" i="13"/>
  <c r="L36" i="13"/>
  <c r="I36" i="13"/>
  <c r="J36" i="13"/>
  <c r="K36" i="13"/>
  <c r="L35" i="13"/>
  <c r="I35" i="13"/>
  <c r="J35" i="13"/>
  <c r="K35" i="13"/>
  <c r="L34" i="13"/>
  <c r="I34" i="13"/>
  <c r="J34" i="13"/>
  <c r="K34" i="13"/>
  <c r="L33" i="13"/>
  <c r="I33" i="13"/>
  <c r="J33" i="13"/>
  <c r="K33" i="13"/>
  <c r="L32" i="13"/>
  <c r="I32" i="13"/>
  <c r="J32" i="13"/>
  <c r="K32" i="13"/>
  <c r="L31" i="13"/>
  <c r="I31" i="13"/>
  <c r="J31" i="13"/>
  <c r="K31" i="13"/>
  <c r="L30" i="13"/>
  <c r="I30" i="13"/>
  <c r="J30" i="13"/>
  <c r="K30" i="13"/>
  <c r="L29" i="13"/>
  <c r="I29" i="13"/>
  <c r="J29" i="13"/>
  <c r="K29" i="13"/>
  <c r="L28" i="13"/>
  <c r="I28" i="13"/>
  <c r="J28" i="13"/>
  <c r="K28" i="13"/>
  <c r="L27" i="13"/>
  <c r="I27" i="13"/>
  <c r="J27" i="13"/>
  <c r="K27" i="13"/>
  <c r="L26" i="13"/>
  <c r="I26" i="13"/>
  <c r="J26" i="13"/>
  <c r="K26" i="13"/>
  <c r="L25" i="13"/>
  <c r="I25" i="13"/>
  <c r="J25" i="13"/>
  <c r="K25" i="13"/>
  <c r="L24" i="13"/>
  <c r="I24" i="13"/>
  <c r="J24" i="13"/>
  <c r="K24" i="13"/>
  <c r="L23" i="13"/>
  <c r="I23" i="13"/>
  <c r="J23" i="13"/>
  <c r="K23" i="13"/>
  <c r="L22" i="13"/>
  <c r="I22" i="13"/>
  <c r="J22" i="13"/>
  <c r="K22" i="13"/>
  <c r="L21" i="13"/>
  <c r="I21" i="13"/>
  <c r="J21" i="13"/>
  <c r="K21" i="13"/>
  <c r="L20" i="13"/>
  <c r="I20" i="13"/>
  <c r="J20" i="13"/>
  <c r="K20" i="13"/>
  <c r="L19" i="13"/>
  <c r="I19" i="13"/>
  <c r="J19" i="13"/>
  <c r="K19" i="13"/>
  <c r="L18" i="13"/>
  <c r="I18" i="13"/>
  <c r="J18" i="13"/>
  <c r="K18" i="13"/>
  <c r="L17" i="13"/>
  <c r="I17" i="13"/>
  <c r="J17" i="13"/>
  <c r="K17" i="13"/>
  <c r="F13" i="13"/>
  <c r="F12" i="13"/>
  <c r="F11" i="13"/>
  <c r="F3" i="13"/>
  <c r="F4" i="13"/>
  <c r="F5" i="13"/>
  <c r="F6" i="13"/>
  <c r="F7" i="13"/>
  <c r="F8" i="13"/>
  <c r="F9" i="13"/>
  <c r="F10" i="13"/>
  <c r="I10" i="13"/>
  <c r="I39" i="12"/>
  <c r="I40" i="12"/>
  <c r="I38" i="12"/>
  <c r="L39" i="12"/>
  <c r="L40" i="12"/>
  <c r="L38" i="12"/>
  <c r="J40" i="12"/>
  <c r="K40" i="12"/>
  <c r="J39" i="12"/>
  <c r="K39" i="12"/>
  <c r="J38" i="12"/>
  <c r="K38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17" i="12"/>
  <c r="J36" i="12"/>
  <c r="K36" i="12"/>
  <c r="J35" i="12"/>
  <c r="K35" i="12"/>
  <c r="J34" i="12"/>
  <c r="K34" i="12"/>
  <c r="J33" i="12"/>
  <c r="K33" i="12"/>
  <c r="J32" i="12"/>
  <c r="K32" i="12"/>
  <c r="J31" i="12"/>
  <c r="K31" i="12"/>
  <c r="J30" i="12"/>
  <c r="K30" i="12"/>
  <c r="J29" i="12"/>
  <c r="K29" i="12"/>
  <c r="J28" i="12"/>
  <c r="K28" i="12"/>
  <c r="J27" i="12"/>
  <c r="K27" i="12"/>
  <c r="J26" i="12"/>
  <c r="K26" i="12"/>
  <c r="J25" i="12"/>
  <c r="K25" i="12"/>
  <c r="J24" i="12"/>
  <c r="K24" i="12"/>
  <c r="J23" i="12"/>
  <c r="K23" i="12"/>
  <c r="J22" i="12"/>
  <c r="K22" i="12"/>
  <c r="J21" i="12"/>
  <c r="K21" i="12"/>
  <c r="J20" i="12"/>
  <c r="K20" i="12"/>
  <c r="J19" i="12"/>
  <c r="K19" i="12"/>
  <c r="J18" i="12"/>
  <c r="K18" i="12"/>
  <c r="J17" i="12"/>
  <c r="K17" i="12"/>
  <c r="F13" i="12"/>
  <c r="F12" i="12"/>
  <c r="F11" i="12"/>
  <c r="F3" i="12"/>
  <c r="F4" i="12"/>
  <c r="F5" i="12"/>
  <c r="F6" i="12"/>
  <c r="F7" i="12"/>
  <c r="F8" i="12"/>
  <c r="F9" i="12"/>
  <c r="F10" i="12"/>
  <c r="I10" i="12"/>
  <c r="L23" i="4"/>
  <c r="G23" i="4"/>
  <c r="L22" i="4"/>
  <c r="G22" i="4"/>
  <c r="H22" i="4"/>
  <c r="L36" i="11"/>
  <c r="I36" i="11"/>
  <c r="J36" i="11"/>
  <c r="K36" i="11"/>
  <c r="L21" i="4"/>
  <c r="G21" i="4"/>
  <c r="H21" i="4"/>
  <c r="L35" i="11"/>
  <c r="I35" i="11"/>
  <c r="J35" i="11"/>
  <c r="K35" i="11"/>
  <c r="L20" i="4"/>
  <c r="G20" i="4"/>
  <c r="H20" i="4"/>
  <c r="L34" i="11"/>
  <c r="I34" i="11"/>
  <c r="J34" i="11"/>
  <c r="K34" i="11"/>
  <c r="L19" i="4"/>
  <c r="G19" i="4"/>
  <c r="H19" i="4"/>
  <c r="L33" i="11"/>
  <c r="I33" i="11"/>
  <c r="J33" i="11"/>
  <c r="K33" i="11"/>
  <c r="L18" i="4"/>
  <c r="G18" i="4"/>
  <c r="H18" i="4"/>
  <c r="L32" i="11"/>
  <c r="I32" i="11"/>
  <c r="J32" i="11"/>
  <c r="K32" i="11"/>
  <c r="L17" i="4"/>
  <c r="G17" i="4"/>
  <c r="H17" i="4"/>
  <c r="L31" i="11"/>
  <c r="I31" i="11"/>
  <c r="J31" i="11"/>
  <c r="K31" i="11"/>
  <c r="L16" i="4"/>
  <c r="G16" i="4"/>
  <c r="H16" i="4"/>
  <c r="L30" i="11"/>
  <c r="I30" i="11"/>
  <c r="J30" i="11"/>
  <c r="K30" i="11"/>
  <c r="L15" i="4"/>
  <c r="G15" i="4"/>
  <c r="H15" i="4"/>
  <c r="L29" i="11"/>
  <c r="I29" i="11"/>
  <c r="J29" i="11"/>
  <c r="K29" i="11"/>
  <c r="L14" i="4"/>
  <c r="G14" i="4"/>
  <c r="H14" i="4"/>
  <c r="L28" i="11"/>
  <c r="I28" i="11"/>
  <c r="J28" i="11"/>
  <c r="K28" i="11"/>
  <c r="L13" i="4"/>
  <c r="G13" i="4"/>
  <c r="H13" i="4"/>
  <c r="L27" i="11"/>
  <c r="I27" i="11"/>
  <c r="J27" i="11"/>
  <c r="K27" i="11"/>
  <c r="L12" i="4"/>
  <c r="G12" i="4"/>
  <c r="H12" i="4"/>
  <c r="L26" i="11"/>
  <c r="I26" i="11"/>
  <c r="J26" i="11"/>
  <c r="K26" i="11"/>
  <c r="L11" i="4"/>
  <c r="G11" i="4"/>
  <c r="H11" i="4"/>
  <c r="L25" i="11"/>
  <c r="I25" i="11"/>
  <c r="J25" i="11"/>
  <c r="K25" i="11"/>
  <c r="L10" i="4"/>
  <c r="G10" i="4"/>
  <c r="H10" i="4"/>
  <c r="L24" i="11"/>
  <c r="I24" i="11"/>
  <c r="J24" i="11"/>
  <c r="K24" i="11"/>
  <c r="L9" i="4"/>
  <c r="G9" i="4"/>
  <c r="H9" i="4"/>
  <c r="L23" i="11"/>
  <c r="I23" i="11"/>
  <c r="J23" i="11"/>
  <c r="K23" i="11"/>
  <c r="L8" i="4"/>
  <c r="G8" i="4"/>
  <c r="H8" i="4"/>
  <c r="L22" i="11"/>
  <c r="I22" i="11"/>
  <c r="J22" i="11"/>
  <c r="K22" i="11"/>
  <c r="L7" i="4"/>
  <c r="G7" i="4"/>
  <c r="H7" i="4"/>
  <c r="L21" i="11"/>
  <c r="I21" i="11"/>
  <c r="J21" i="11"/>
  <c r="K21" i="11"/>
  <c r="L6" i="4"/>
  <c r="G6" i="4"/>
  <c r="H6" i="4"/>
  <c r="L20" i="11"/>
  <c r="I20" i="11"/>
  <c r="J20" i="11"/>
  <c r="K20" i="11"/>
  <c r="L5" i="4"/>
  <c r="G5" i="4"/>
  <c r="H5" i="4"/>
  <c r="L19" i="11"/>
  <c r="I19" i="11"/>
  <c r="J19" i="11"/>
  <c r="K19" i="11"/>
  <c r="L4" i="4"/>
  <c r="G4" i="4"/>
  <c r="H4" i="4"/>
  <c r="L18" i="11"/>
  <c r="I18" i="11"/>
  <c r="J18" i="11"/>
  <c r="K18" i="11"/>
  <c r="L3" i="4"/>
  <c r="G3" i="4"/>
  <c r="H3" i="4"/>
  <c r="L17" i="11"/>
  <c r="I17" i="11"/>
  <c r="J17" i="11"/>
  <c r="K17" i="11"/>
  <c r="F13" i="11"/>
  <c r="F12" i="11"/>
  <c r="F11" i="11"/>
  <c r="F10" i="11"/>
  <c r="F9" i="11"/>
  <c r="F8" i="11"/>
  <c r="F7" i="11"/>
  <c r="F6" i="11"/>
  <c r="F5" i="11"/>
  <c r="F3" i="11"/>
  <c r="F4" i="11"/>
  <c r="I13" i="11"/>
  <c r="I10" i="11"/>
  <c r="I9" i="11"/>
  <c r="I12" i="11"/>
  <c r="L36" i="10"/>
  <c r="I36" i="10"/>
  <c r="J36" i="10"/>
  <c r="K36" i="10"/>
  <c r="L35" i="10"/>
  <c r="I35" i="10"/>
  <c r="J35" i="10"/>
  <c r="K35" i="10"/>
  <c r="L34" i="10"/>
  <c r="I34" i="10"/>
  <c r="J34" i="10"/>
  <c r="K34" i="10"/>
  <c r="L33" i="10"/>
  <c r="I33" i="10"/>
  <c r="J33" i="10"/>
  <c r="K33" i="10"/>
  <c r="L32" i="10"/>
  <c r="I32" i="10"/>
  <c r="J32" i="10"/>
  <c r="K32" i="10"/>
  <c r="L31" i="10"/>
  <c r="I31" i="10"/>
  <c r="J31" i="10"/>
  <c r="K31" i="10"/>
  <c r="L30" i="10"/>
  <c r="I30" i="10"/>
  <c r="J30" i="10"/>
  <c r="K30" i="10"/>
  <c r="L29" i="10"/>
  <c r="I29" i="10"/>
  <c r="J29" i="10"/>
  <c r="K29" i="10"/>
  <c r="L28" i="10"/>
  <c r="I28" i="10"/>
  <c r="J28" i="10"/>
  <c r="K28" i="10"/>
  <c r="L27" i="10"/>
  <c r="I27" i="10"/>
  <c r="J27" i="10"/>
  <c r="K27" i="10"/>
  <c r="L26" i="10"/>
  <c r="I26" i="10"/>
  <c r="J26" i="10"/>
  <c r="K26" i="10"/>
  <c r="L25" i="10"/>
  <c r="I25" i="10"/>
  <c r="J25" i="10"/>
  <c r="K25" i="10"/>
  <c r="L24" i="10"/>
  <c r="I24" i="10"/>
  <c r="J24" i="10"/>
  <c r="K24" i="10"/>
  <c r="L23" i="10"/>
  <c r="I23" i="10"/>
  <c r="J23" i="10"/>
  <c r="K23" i="10"/>
  <c r="L22" i="10"/>
  <c r="I22" i="10"/>
  <c r="J22" i="10"/>
  <c r="K22" i="10"/>
  <c r="L21" i="10"/>
  <c r="I21" i="10"/>
  <c r="J21" i="10"/>
  <c r="K21" i="10"/>
  <c r="L20" i="10"/>
  <c r="I20" i="10"/>
  <c r="J20" i="10"/>
  <c r="K20" i="10"/>
  <c r="L19" i="10"/>
  <c r="I19" i="10"/>
  <c r="J19" i="10"/>
  <c r="K19" i="10"/>
  <c r="L18" i="10"/>
  <c r="I18" i="10"/>
  <c r="J18" i="10"/>
  <c r="K18" i="10"/>
  <c r="L17" i="10"/>
  <c r="I17" i="10"/>
  <c r="J17" i="10"/>
  <c r="K17" i="10"/>
  <c r="F13" i="10"/>
  <c r="F12" i="10"/>
  <c r="F11" i="10"/>
  <c r="F3" i="10"/>
  <c r="F4" i="10"/>
  <c r="F5" i="10"/>
  <c r="F6" i="10"/>
  <c r="F7" i="10"/>
  <c r="F8" i="10"/>
  <c r="F9" i="10"/>
  <c r="F10" i="10"/>
  <c r="I10" i="10"/>
  <c r="I9" i="10"/>
  <c r="I13" i="10"/>
  <c r="G35" i="11"/>
  <c r="G36" i="11"/>
  <c r="G32" i="11"/>
  <c r="G28" i="11"/>
  <c r="G24" i="11"/>
  <c r="G20" i="11"/>
  <c r="G27" i="11"/>
  <c r="G23" i="11"/>
  <c r="G33" i="11"/>
  <c r="G29" i="11"/>
  <c r="G25" i="11"/>
  <c r="G21" i="11"/>
  <c r="G17" i="11"/>
  <c r="G31" i="11"/>
  <c r="G19" i="11"/>
  <c r="G34" i="11"/>
  <c r="G30" i="11"/>
  <c r="G26" i="11"/>
  <c r="G22" i="11"/>
  <c r="G18" i="11"/>
  <c r="F34" i="11"/>
  <c r="F35" i="11"/>
  <c r="F31" i="11"/>
  <c r="F27" i="11"/>
  <c r="F23" i="11"/>
  <c r="F19" i="11"/>
  <c r="F22" i="11"/>
  <c r="F36" i="11"/>
  <c r="F32" i="11"/>
  <c r="F28" i="11"/>
  <c r="F24" i="11"/>
  <c r="F20" i="11"/>
  <c r="F26" i="11"/>
  <c r="F33" i="11"/>
  <c r="F29" i="11"/>
  <c r="F25" i="11"/>
  <c r="F21" i="11"/>
  <c r="F17" i="11"/>
  <c r="F30" i="11"/>
  <c r="F18" i="11"/>
  <c r="F34" i="10"/>
  <c r="F30" i="10"/>
  <c r="F26" i="10"/>
  <c r="F22" i="10"/>
  <c r="F18" i="10"/>
  <c r="F31" i="10"/>
  <c r="F23" i="10"/>
  <c r="F35" i="10"/>
  <c r="F27" i="10"/>
  <c r="F36" i="10"/>
  <c r="F32" i="10"/>
  <c r="F28" i="10"/>
  <c r="F24" i="10"/>
  <c r="F20" i="10"/>
  <c r="F29" i="10"/>
  <c r="F25" i="10"/>
  <c r="F21" i="10"/>
  <c r="F19" i="10"/>
  <c r="F33" i="10"/>
  <c r="F17" i="10"/>
  <c r="I12" i="10"/>
  <c r="L36" i="9"/>
  <c r="I36" i="9"/>
  <c r="J36" i="9"/>
  <c r="K36" i="9"/>
  <c r="L35" i="9"/>
  <c r="I35" i="9"/>
  <c r="J35" i="9"/>
  <c r="K35" i="9"/>
  <c r="L34" i="9"/>
  <c r="I34" i="9"/>
  <c r="J34" i="9"/>
  <c r="K34" i="9"/>
  <c r="L33" i="9"/>
  <c r="I33" i="9"/>
  <c r="J33" i="9"/>
  <c r="K33" i="9"/>
  <c r="L32" i="9"/>
  <c r="I32" i="9"/>
  <c r="J32" i="9"/>
  <c r="K32" i="9"/>
  <c r="L31" i="9"/>
  <c r="I31" i="9"/>
  <c r="J31" i="9"/>
  <c r="K31" i="9"/>
  <c r="L30" i="9"/>
  <c r="I30" i="9"/>
  <c r="J30" i="9"/>
  <c r="K30" i="9"/>
  <c r="L29" i="9"/>
  <c r="I29" i="9"/>
  <c r="J29" i="9"/>
  <c r="K29" i="9"/>
  <c r="L28" i="9"/>
  <c r="I28" i="9"/>
  <c r="J28" i="9"/>
  <c r="K28" i="9"/>
  <c r="L27" i="9"/>
  <c r="I27" i="9"/>
  <c r="J27" i="9"/>
  <c r="K27" i="9"/>
  <c r="L26" i="9"/>
  <c r="I26" i="9"/>
  <c r="J26" i="9"/>
  <c r="K26" i="9"/>
  <c r="L25" i="9"/>
  <c r="I25" i="9"/>
  <c r="J25" i="9"/>
  <c r="K25" i="9"/>
  <c r="L24" i="9"/>
  <c r="I24" i="9"/>
  <c r="J24" i="9"/>
  <c r="K24" i="9"/>
  <c r="L23" i="9"/>
  <c r="I23" i="9"/>
  <c r="J23" i="9"/>
  <c r="K23" i="9"/>
  <c r="L22" i="9"/>
  <c r="I22" i="9"/>
  <c r="J22" i="9"/>
  <c r="K22" i="9"/>
  <c r="L21" i="9"/>
  <c r="I21" i="9"/>
  <c r="J21" i="9"/>
  <c r="K21" i="9"/>
  <c r="L20" i="9"/>
  <c r="I20" i="9"/>
  <c r="J20" i="9"/>
  <c r="K20" i="9"/>
  <c r="L19" i="9"/>
  <c r="I19" i="9"/>
  <c r="J19" i="9"/>
  <c r="K19" i="9"/>
  <c r="L18" i="9"/>
  <c r="I18" i="9"/>
  <c r="J18" i="9"/>
  <c r="K18" i="9"/>
  <c r="L17" i="9"/>
  <c r="I17" i="9"/>
  <c r="J17" i="9"/>
  <c r="K17" i="9"/>
  <c r="F13" i="9"/>
  <c r="F12" i="9"/>
  <c r="F11" i="9"/>
  <c r="F3" i="9"/>
  <c r="F4" i="9"/>
  <c r="F5" i="9"/>
  <c r="F6" i="9"/>
  <c r="F7" i="9"/>
  <c r="F8" i="9"/>
  <c r="F9" i="9"/>
  <c r="F10" i="9"/>
  <c r="I10" i="9"/>
  <c r="I13" i="9"/>
  <c r="M30" i="11"/>
  <c r="T30" i="11"/>
  <c r="M29" i="11"/>
  <c r="T29" i="11"/>
  <c r="M17" i="11"/>
  <c r="T17" i="11"/>
  <c r="M33" i="11"/>
  <c r="T33" i="11"/>
  <c r="T28" i="11"/>
  <c r="M28" i="11"/>
  <c r="T19" i="11"/>
  <c r="M19" i="11"/>
  <c r="T35" i="11"/>
  <c r="M35" i="11"/>
  <c r="M21" i="11"/>
  <c r="T21" i="11"/>
  <c r="M26" i="11"/>
  <c r="T26" i="11"/>
  <c r="T32" i="11"/>
  <c r="M32" i="11"/>
  <c r="T23" i="11"/>
  <c r="M23" i="11"/>
  <c r="M34" i="11"/>
  <c r="T34" i="11"/>
  <c r="M18" i="11"/>
  <c r="T18" i="11"/>
  <c r="M25" i="11"/>
  <c r="T25" i="11"/>
  <c r="T20" i="11"/>
  <c r="M20" i="11"/>
  <c r="M36" i="11"/>
  <c r="T36" i="11"/>
  <c r="T27" i="11"/>
  <c r="M27" i="11"/>
  <c r="T24" i="11"/>
  <c r="M24" i="11"/>
  <c r="M31" i="11"/>
  <c r="T31" i="11"/>
  <c r="M22" i="11"/>
  <c r="T22" i="11"/>
  <c r="M29" i="10"/>
  <c r="S29" i="10"/>
  <c r="S23" i="10"/>
  <c r="M23" i="10"/>
  <c r="S19" i="10"/>
  <c r="M19" i="10"/>
  <c r="M36" i="10"/>
  <c r="S36" i="10"/>
  <c r="S31" i="10"/>
  <c r="M31" i="10"/>
  <c r="M17" i="10"/>
  <c r="S17" i="10"/>
  <c r="M25" i="10"/>
  <c r="S25" i="10"/>
  <c r="M28" i="10"/>
  <c r="S28" i="10"/>
  <c r="S35" i="10"/>
  <c r="M35" i="10"/>
  <c r="M22" i="10"/>
  <c r="S22" i="10"/>
  <c r="M33" i="10"/>
  <c r="S33" i="10"/>
  <c r="M32" i="10"/>
  <c r="S32" i="10"/>
  <c r="M26" i="10"/>
  <c r="S26" i="10"/>
  <c r="M20" i="10"/>
  <c r="S20" i="10"/>
  <c r="M30" i="10"/>
  <c r="S30" i="10"/>
  <c r="G35" i="10"/>
  <c r="G31" i="10"/>
  <c r="G27" i="10"/>
  <c r="G23" i="10"/>
  <c r="G19" i="10"/>
  <c r="G32" i="10"/>
  <c r="G24" i="10"/>
  <c r="G36" i="10"/>
  <c r="G28" i="10"/>
  <c r="G33" i="10"/>
  <c r="G29" i="10"/>
  <c r="G25" i="10"/>
  <c r="G21" i="10"/>
  <c r="G17" i="10"/>
  <c r="G30" i="10"/>
  <c r="G26" i="10"/>
  <c r="G20" i="10"/>
  <c r="G34" i="10"/>
  <c r="G22" i="10"/>
  <c r="G18" i="10"/>
  <c r="S21" i="10"/>
  <c r="M21" i="10"/>
  <c r="M24" i="10"/>
  <c r="S24" i="10"/>
  <c r="S27" i="10"/>
  <c r="M27" i="10"/>
  <c r="M18" i="10"/>
  <c r="S18" i="10"/>
  <c r="M34" i="10"/>
  <c r="S34" i="10"/>
  <c r="I9" i="9"/>
  <c r="I12" i="9"/>
  <c r="L36" i="7"/>
  <c r="I36" i="7"/>
  <c r="J36" i="7"/>
  <c r="K36" i="7"/>
  <c r="L35" i="7"/>
  <c r="I35" i="7"/>
  <c r="J35" i="7"/>
  <c r="K35" i="7"/>
  <c r="L34" i="7"/>
  <c r="I34" i="7"/>
  <c r="J34" i="7"/>
  <c r="K34" i="7"/>
  <c r="L33" i="7"/>
  <c r="I33" i="7"/>
  <c r="J33" i="7"/>
  <c r="K33" i="7"/>
  <c r="L32" i="7"/>
  <c r="I32" i="7"/>
  <c r="J32" i="7"/>
  <c r="K32" i="7"/>
  <c r="L31" i="7"/>
  <c r="I31" i="7"/>
  <c r="J31" i="7"/>
  <c r="K31" i="7"/>
  <c r="L30" i="7"/>
  <c r="I30" i="7"/>
  <c r="J30" i="7"/>
  <c r="K30" i="7"/>
  <c r="L29" i="7"/>
  <c r="I29" i="7"/>
  <c r="J29" i="7"/>
  <c r="K29" i="7"/>
  <c r="L28" i="7"/>
  <c r="I28" i="7"/>
  <c r="J28" i="7"/>
  <c r="K28" i="7"/>
  <c r="L27" i="7"/>
  <c r="I27" i="7"/>
  <c r="J27" i="7"/>
  <c r="K27" i="7"/>
  <c r="L26" i="7"/>
  <c r="I26" i="7"/>
  <c r="J26" i="7"/>
  <c r="K26" i="7"/>
  <c r="L25" i="7"/>
  <c r="I25" i="7"/>
  <c r="J25" i="7"/>
  <c r="K25" i="7"/>
  <c r="L24" i="7"/>
  <c r="I24" i="7"/>
  <c r="J24" i="7"/>
  <c r="K24" i="7"/>
  <c r="L23" i="7"/>
  <c r="I23" i="7"/>
  <c r="J23" i="7"/>
  <c r="K23" i="7"/>
  <c r="L22" i="7"/>
  <c r="I22" i="7"/>
  <c r="J22" i="7"/>
  <c r="K22" i="7"/>
  <c r="L21" i="7"/>
  <c r="I21" i="7"/>
  <c r="J21" i="7"/>
  <c r="K21" i="7"/>
  <c r="L20" i="7"/>
  <c r="I20" i="7"/>
  <c r="J20" i="7"/>
  <c r="K20" i="7"/>
  <c r="L19" i="7"/>
  <c r="I19" i="7"/>
  <c r="J19" i="7"/>
  <c r="K19" i="7"/>
  <c r="L18" i="7"/>
  <c r="I18" i="7"/>
  <c r="J18" i="7"/>
  <c r="K18" i="7"/>
  <c r="L17" i="7"/>
  <c r="I17" i="7"/>
  <c r="J17" i="7"/>
  <c r="K17" i="7"/>
  <c r="F13" i="7"/>
  <c r="F12" i="7"/>
  <c r="F11" i="7"/>
  <c r="F10" i="7"/>
  <c r="F9" i="7"/>
  <c r="F8" i="7"/>
  <c r="F7" i="7"/>
  <c r="F6" i="7"/>
  <c r="F5" i="7"/>
  <c r="F4" i="7"/>
  <c r="F3" i="7"/>
  <c r="I10" i="7"/>
  <c r="I13" i="7"/>
  <c r="N22" i="11"/>
  <c r="O22" i="11"/>
  <c r="U22" i="11"/>
  <c r="U36" i="11"/>
  <c r="N36" i="11"/>
  <c r="O36" i="11"/>
  <c r="U25" i="11"/>
  <c r="N25" i="11"/>
  <c r="O25" i="11"/>
  <c r="N34" i="11"/>
  <c r="O34" i="11"/>
  <c r="U34" i="11"/>
  <c r="U21" i="11"/>
  <c r="N21" i="11"/>
  <c r="O21" i="11"/>
  <c r="N33" i="11"/>
  <c r="O33" i="11"/>
  <c r="U33" i="11"/>
  <c r="U29" i="11"/>
  <c r="N29" i="11"/>
  <c r="O29" i="11"/>
  <c r="N27" i="11"/>
  <c r="O27" i="11"/>
  <c r="U27" i="11"/>
  <c r="N20" i="11"/>
  <c r="O20" i="11"/>
  <c r="U20" i="11"/>
  <c r="N23" i="11"/>
  <c r="O23" i="11"/>
  <c r="U23" i="11"/>
  <c r="N35" i="11"/>
  <c r="O35" i="11"/>
  <c r="U35" i="11"/>
  <c r="U28" i="11"/>
  <c r="N28" i="11"/>
  <c r="O28" i="11"/>
  <c r="N31" i="11"/>
  <c r="O31" i="11"/>
  <c r="U31" i="11"/>
  <c r="N18" i="11"/>
  <c r="O18" i="11"/>
  <c r="U18" i="11"/>
  <c r="N26" i="11"/>
  <c r="O26" i="11"/>
  <c r="U26" i="11"/>
  <c r="U17" i="11"/>
  <c r="N17" i="11"/>
  <c r="O17" i="11"/>
  <c r="N30" i="11"/>
  <c r="O30" i="11"/>
  <c r="U30" i="11"/>
  <c r="U24" i="11"/>
  <c r="N24" i="11"/>
  <c r="O24" i="11"/>
  <c r="N32" i="11"/>
  <c r="O32" i="11"/>
  <c r="U32" i="11"/>
  <c r="N19" i="11"/>
  <c r="O19" i="11"/>
  <c r="U19" i="11"/>
  <c r="N34" i="10"/>
  <c r="O34" i="10"/>
  <c r="T34" i="10"/>
  <c r="T32" i="10"/>
  <c r="N32" i="10"/>
  <c r="O32" i="10"/>
  <c r="N35" i="10"/>
  <c r="O35" i="10"/>
  <c r="T35" i="10"/>
  <c r="N31" i="10"/>
  <c r="O31" i="10"/>
  <c r="T31" i="10"/>
  <c r="N19" i="10"/>
  <c r="O19" i="10"/>
  <c r="T19" i="10"/>
  <c r="T18" i="10"/>
  <c r="N18" i="10"/>
  <c r="O18" i="10"/>
  <c r="T24" i="10"/>
  <c r="N24" i="10"/>
  <c r="O24" i="10"/>
  <c r="N30" i="10"/>
  <c r="O30" i="10"/>
  <c r="T30" i="10"/>
  <c r="N26" i="10"/>
  <c r="O26" i="10"/>
  <c r="T26" i="10"/>
  <c r="N33" i="10"/>
  <c r="O33" i="10"/>
  <c r="T33" i="10"/>
  <c r="N25" i="10"/>
  <c r="O25" i="10"/>
  <c r="T25" i="10"/>
  <c r="N29" i="10"/>
  <c r="O29" i="10"/>
  <c r="T29" i="10"/>
  <c r="N27" i="10"/>
  <c r="O27" i="10"/>
  <c r="T27" i="10"/>
  <c r="N21" i="10"/>
  <c r="O21" i="10"/>
  <c r="T21" i="10"/>
  <c r="N23" i="10"/>
  <c r="O23" i="10"/>
  <c r="T23" i="10"/>
  <c r="T20" i="10"/>
  <c r="N20" i="10"/>
  <c r="O20" i="10"/>
  <c r="N22" i="10"/>
  <c r="O22" i="10"/>
  <c r="T22" i="10"/>
  <c r="T28" i="10"/>
  <c r="N28" i="10"/>
  <c r="O28" i="10"/>
  <c r="N17" i="10"/>
  <c r="O17" i="10"/>
  <c r="T17" i="10"/>
  <c r="T36" i="10"/>
  <c r="N36" i="10"/>
  <c r="O36" i="10"/>
  <c r="F34" i="9"/>
  <c r="F30" i="9"/>
  <c r="F26" i="9"/>
  <c r="F22" i="9"/>
  <c r="F18" i="9"/>
  <c r="F23" i="9"/>
  <c r="F35" i="9"/>
  <c r="F19" i="9"/>
  <c r="F36" i="9"/>
  <c r="F32" i="9"/>
  <c r="F28" i="9"/>
  <c r="F24" i="9"/>
  <c r="F20" i="9"/>
  <c r="F27" i="9"/>
  <c r="F33" i="9"/>
  <c r="F29" i="9"/>
  <c r="F25" i="9"/>
  <c r="F21" i="9"/>
  <c r="F17" i="9"/>
  <c r="F31" i="9"/>
  <c r="G35" i="9"/>
  <c r="G31" i="9"/>
  <c r="G27" i="9"/>
  <c r="G23" i="9"/>
  <c r="G19" i="9"/>
  <c r="G32" i="9"/>
  <c r="G24" i="9"/>
  <c r="G36" i="9"/>
  <c r="G20" i="9"/>
  <c r="G33" i="9"/>
  <c r="G29" i="9"/>
  <c r="G25" i="9"/>
  <c r="G21" i="9"/>
  <c r="G17" i="9"/>
  <c r="G28" i="9"/>
  <c r="G34" i="9"/>
  <c r="G30" i="9"/>
  <c r="G26" i="9"/>
  <c r="G22" i="9"/>
  <c r="G18" i="9"/>
  <c r="I9" i="7"/>
  <c r="I12" i="7"/>
  <c r="B38" i="6"/>
  <c r="M17" i="9"/>
  <c r="S17" i="9"/>
  <c r="M33" i="9"/>
  <c r="S33" i="9"/>
  <c r="M28" i="9"/>
  <c r="S28" i="9"/>
  <c r="S35" i="9"/>
  <c r="M35" i="9"/>
  <c r="M26" i="9"/>
  <c r="S26" i="9"/>
  <c r="M21" i="9"/>
  <c r="S21" i="9"/>
  <c r="S27" i="9"/>
  <c r="M27" i="9"/>
  <c r="M32" i="9"/>
  <c r="S32" i="9"/>
  <c r="S23" i="9"/>
  <c r="M23" i="9"/>
  <c r="M30" i="9"/>
  <c r="S30" i="9"/>
  <c r="M25" i="9"/>
  <c r="S25" i="9"/>
  <c r="M20" i="9"/>
  <c r="S20" i="9"/>
  <c r="M36" i="9"/>
  <c r="S36" i="9"/>
  <c r="M18" i="9"/>
  <c r="S18" i="9"/>
  <c r="M34" i="9"/>
  <c r="S34" i="9"/>
  <c r="S31" i="9"/>
  <c r="M31" i="9"/>
  <c r="S29" i="9"/>
  <c r="M29" i="9"/>
  <c r="M24" i="9"/>
  <c r="S24" i="9"/>
  <c r="S19" i="9"/>
  <c r="M19" i="9"/>
  <c r="M22" i="9"/>
  <c r="S22" i="9"/>
  <c r="G35" i="7"/>
  <c r="G31" i="7"/>
  <c r="G27" i="7"/>
  <c r="G23" i="7"/>
  <c r="G19" i="7"/>
  <c r="G28" i="7"/>
  <c r="G24" i="7"/>
  <c r="G20" i="7"/>
  <c r="G36" i="7"/>
  <c r="G32" i="7"/>
  <c r="G33" i="7"/>
  <c r="G29" i="7"/>
  <c r="G25" i="7"/>
  <c r="G21" i="7"/>
  <c r="G17" i="7"/>
  <c r="G30" i="7"/>
  <c r="G26" i="7"/>
  <c r="G22" i="7"/>
  <c r="G18" i="7"/>
  <c r="G34" i="7"/>
  <c r="F34" i="7"/>
  <c r="F30" i="7"/>
  <c r="F26" i="7"/>
  <c r="F22" i="7"/>
  <c r="F18" i="7"/>
  <c r="F27" i="7"/>
  <c r="F23" i="7"/>
  <c r="F19" i="7"/>
  <c r="F35" i="7"/>
  <c r="F31" i="7"/>
  <c r="F36" i="7"/>
  <c r="F32" i="7"/>
  <c r="F28" i="7"/>
  <c r="F24" i="7"/>
  <c r="F20" i="7"/>
  <c r="F29" i="7"/>
  <c r="F25" i="7"/>
  <c r="F21" i="7"/>
  <c r="F17" i="7"/>
  <c r="F33" i="7"/>
  <c r="L36" i="6"/>
  <c r="I36" i="6"/>
  <c r="J36" i="6"/>
  <c r="K36" i="6"/>
  <c r="L35" i="6"/>
  <c r="I35" i="6"/>
  <c r="J35" i="6"/>
  <c r="K35" i="6"/>
  <c r="L34" i="6"/>
  <c r="I34" i="6"/>
  <c r="J34" i="6"/>
  <c r="K34" i="6"/>
  <c r="L33" i="6"/>
  <c r="I33" i="6"/>
  <c r="J33" i="6"/>
  <c r="K33" i="6"/>
  <c r="L32" i="6"/>
  <c r="I32" i="6"/>
  <c r="J32" i="6"/>
  <c r="K32" i="6"/>
  <c r="L31" i="6"/>
  <c r="I31" i="6"/>
  <c r="J31" i="6"/>
  <c r="K31" i="6"/>
  <c r="L30" i="6"/>
  <c r="I30" i="6"/>
  <c r="J30" i="6"/>
  <c r="K30" i="6"/>
  <c r="L29" i="6"/>
  <c r="I29" i="6"/>
  <c r="J29" i="6"/>
  <c r="K29" i="6"/>
  <c r="L28" i="6"/>
  <c r="I28" i="6"/>
  <c r="J28" i="6"/>
  <c r="K28" i="6"/>
  <c r="L27" i="6"/>
  <c r="I27" i="6"/>
  <c r="J27" i="6"/>
  <c r="K27" i="6"/>
  <c r="L26" i="6"/>
  <c r="I26" i="6"/>
  <c r="J26" i="6"/>
  <c r="K26" i="6"/>
  <c r="L25" i="6"/>
  <c r="I25" i="6"/>
  <c r="J25" i="6"/>
  <c r="K25" i="6"/>
  <c r="L24" i="6"/>
  <c r="I24" i="6"/>
  <c r="J24" i="6"/>
  <c r="K24" i="6"/>
  <c r="L23" i="6"/>
  <c r="I23" i="6"/>
  <c r="J23" i="6"/>
  <c r="K23" i="6"/>
  <c r="L22" i="6"/>
  <c r="I22" i="6"/>
  <c r="J22" i="6"/>
  <c r="K22" i="6"/>
  <c r="L21" i="6"/>
  <c r="I21" i="6"/>
  <c r="J21" i="6"/>
  <c r="K21" i="6"/>
  <c r="L20" i="6"/>
  <c r="I20" i="6"/>
  <c r="J20" i="6"/>
  <c r="K20" i="6"/>
  <c r="L19" i="6"/>
  <c r="I19" i="6"/>
  <c r="J19" i="6"/>
  <c r="K19" i="6"/>
  <c r="L18" i="6"/>
  <c r="I18" i="6"/>
  <c r="J18" i="6"/>
  <c r="K18" i="6"/>
  <c r="L17" i="6"/>
  <c r="I17" i="6"/>
  <c r="J17" i="6"/>
  <c r="K17" i="6"/>
  <c r="F13" i="6"/>
  <c r="F12" i="6"/>
  <c r="F11" i="6"/>
  <c r="F10" i="6"/>
  <c r="F3" i="6"/>
  <c r="F4" i="6"/>
  <c r="F5" i="6"/>
  <c r="F6" i="6"/>
  <c r="F7" i="6"/>
  <c r="F8" i="6"/>
  <c r="F9" i="6"/>
  <c r="I9" i="6"/>
  <c r="I10" i="6"/>
  <c r="I13" i="6"/>
  <c r="N22" i="9"/>
  <c r="O22" i="9"/>
  <c r="T22" i="9"/>
  <c r="T24" i="9"/>
  <c r="N24" i="9"/>
  <c r="O24" i="9"/>
  <c r="N18" i="9"/>
  <c r="O18" i="9"/>
  <c r="T18" i="9"/>
  <c r="T20" i="9"/>
  <c r="N20" i="9"/>
  <c r="O20" i="9"/>
  <c r="N30" i="9"/>
  <c r="O30" i="9"/>
  <c r="T30" i="9"/>
  <c r="T32" i="9"/>
  <c r="N32" i="9"/>
  <c r="O32" i="9"/>
  <c r="N21" i="9"/>
  <c r="O21" i="9"/>
  <c r="T21" i="9"/>
  <c r="N33" i="9"/>
  <c r="O33" i="9"/>
  <c r="T33" i="9"/>
  <c r="N19" i="9"/>
  <c r="O19" i="9"/>
  <c r="T19" i="9"/>
  <c r="N29" i="9"/>
  <c r="O29" i="9"/>
  <c r="T29" i="9"/>
  <c r="N23" i="9"/>
  <c r="O23" i="9"/>
  <c r="T23" i="9"/>
  <c r="N27" i="9"/>
  <c r="O27" i="9"/>
  <c r="T27" i="9"/>
  <c r="N34" i="9"/>
  <c r="O34" i="9"/>
  <c r="T34" i="9"/>
  <c r="T36" i="9"/>
  <c r="N36" i="9"/>
  <c r="O36" i="9"/>
  <c r="N25" i="9"/>
  <c r="O25" i="9"/>
  <c r="T25" i="9"/>
  <c r="N26" i="9"/>
  <c r="O26" i="9"/>
  <c r="T26" i="9"/>
  <c r="T28" i="9"/>
  <c r="N28" i="9"/>
  <c r="O28" i="9"/>
  <c r="N17" i="9"/>
  <c r="O17" i="9"/>
  <c r="T17" i="9"/>
  <c r="N31" i="9"/>
  <c r="O31" i="9"/>
  <c r="T31" i="9"/>
  <c r="N35" i="9"/>
  <c r="O35" i="9"/>
  <c r="T35" i="9"/>
  <c r="M29" i="7"/>
  <c r="S29" i="7"/>
  <c r="M32" i="7"/>
  <c r="S32" i="7"/>
  <c r="M22" i="7"/>
  <c r="S22" i="7"/>
  <c r="M17" i="7"/>
  <c r="S17" i="7"/>
  <c r="M36" i="7"/>
  <c r="S36" i="7"/>
  <c r="M26" i="7"/>
  <c r="S26" i="7"/>
  <c r="M21" i="7"/>
  <c r="S21" i="7"/>
  <c r="M24" i="7"/>
  <c r="S24" i="7"/>
  <c r="S31" i="7"/>
  <c r="M31" i="7"/>
  <c r="S27" i="7"/>
  <c r="M27" i="7"/>
  <c r="M30" i="7"/>
  <c r="S30" i="7"/>
  <c r="M33" i="7"/>
  <c r="S33" i="7"/>
  <c r="S19" i="7"/>
  <c r="M19" i="7"/>
  <c r="M20" i="7"/>
  <c r="S20" i="7"/>
  <c r="S23" i="7"/>
  <c r="M23" i="7"/>
  <c r="M25" i="7"/>
  <c r="S25" i="7"/>
  <c r="M28" i="7"/>
  <c r="S28" i="7"/>
  <c r="S35" i="7"/>
  <c r="M35" i="7"/>
  <c r="M18" i="7"/>
  <c r="S18" i="7"/>
  <c r="M34" i="7"/>
  <c r="S34" i="7"/>
  <c r="F34" i="6"/>
  <c r="F29" i="6"/>
  <c r="F25" i="6"/>
  <c r="F33" i="6"/>
  <c r="I12" i="6"/>
  <c r="F20" i="6"/>
  <c r="F24" i="6"/>
  <c r="F28" i="6"/>
  <c r="F32" i="6"/>
  <c r="F36" i="6"/>
  <c r="F19" i="6"/>
  <c r="F23" i="6"/>
  <c r="F31" i="6"/>
  <c r="F35" i="6"/>
  <c r="F17" i="6"/>
  <c r="F21" i="6"/>
  <c r="F27" i="6"/>
  <c r="F18" i="6"/>
  <c r="F22" i="6"/>
  <c r="F26" i="6"/>
  <c r="F30" i="6"/>
  <c r="F13" i="5"/>
  <c r="N35" i="7"/>
  <c r="O35" i="7"/>
  <c r="T35" i="7"/>
  <c r="N27" i="7"/>
  <c r="O27" i="7"/>
  <c r="T27" i="7"/>
  <c r="N34" i="7"/>
  <c r="O34" i="7"/>
  <c r="T34" i="7"/>
  <c r="N25" i="7"/>
  <c r="O25" i="7"/>
  <c r="T25" i="7"/>
  <c r="T20" i="7"/>
  <c r="N20" i="7"/>
  <c r="O20" i="7"/>
  <c r="N33" i="7"/>
  <c r="O33" i="7"/>
  <c r="T33" i="7"/>
  <c r="T24" i="7"/>
  <c r="N24" i="7"/>
  <c r="O24" i="7"/>
  <c r="N26" i="7"/>
  <c r="O26" i="7"/>
  <c r="T26" i="7"/>
  <c r="N17" i="7"/>
  <c r="O17" i="7"/>
  <c r="T17" i="7"/>
  <c r="T32" i="7"/>
  <c r="N32" i="7"/>
  <c r="O32" i="7"/>
  <c r="N23" i="7"/>
  <c r="O23" i="7"/>
  <c r="T23" i="7"/>
  <c r="N19" i="7"/>
  <c r="O19" i="7"/>
  <c r="T19" i="7"/>
  <c r="N31" i="7"/>
  <c r="O31" i="7"/>
  <c r="T31" i="7"/>
  <c r="N18" i="7"/>
  <c r="O18" i="7"/>
  <c r="T18" i="7"/>
  <c r="T28" i="7"/>
  <c r="N28" i="7"/>
  <c r="O28" i="7"/>
  <c r="N30" i="7"/>
  <c r="O30" i="7"/>
  <c r="T30" i="7"/>
  <c r="N21" i="7"/>
  <c r="O21" i="7"/>
  <c r="T21" i="7"/>
  <c r="T36" i="7"/>
  <c r="N36" i="7"/>
  <c r="O36" i="7"/>
  <c r="N22" i="7"/>
  <c r="O22" i="7"/>
  <c r="T22" i="7"/>
  <c r="N29" i="7"/>
  <c r="O29" i="7"/>
  <c r="T29" i="7"/>
  <c r="M17" i="6"/>
  <c r="S17" i="6"/>
  <c r="S18" i="6"/>
  <c r="M18" i="6"/>
  <c r="S35" i="6"/>
  <c r="M35" i="6"/>
  <c r="M36" i="6"/>
  <c r="S36" i="6"/>
  <c r="M20" i="6"/>
  <c r="S20" i="6"/>
  <c r="M29" i="6"/>
  <c r="S29" i="6"/>
  <c r="M30" i="6"/>
  <c r="S30" i="6"/>
  <c r="S27" i="6"/>
  <c r="M27" i="6"/>
  <c r="S31" i="6"/>
  <c r="M31" i="6"/>
  <c r="M32" i="6"/>
  <c r="S32" i="6"/>
  <c r="G35" i="6"/>
  <c r="G31" i="6"/>
  <c r="G27" i="6"/>
  <c r="G23" i="6"/>
  <c r="G19" i="6"/>
  <c r="G28" i="6"/>
  <c r="G36" i="6"/>
  <c r="G32" i="6"/>
  <c r="G24" i="6"/>
  <c r="G20" i="6"/>
  <c r="G33" i="6"/>
  <c r="G29" i="6"/>
  <c r="G25" i="6"/>
  <c r="G21" i="6"/>
  <c r="G17" i="6"/>
  <c r="G34" i="6"/>
  <c r="G18" i="6"/>
  <c r="G30" i="6"/>
  <c r="G26" i="6"/>
  <c r="G22" i="6"/>
  <c r="M34" i="6"/>
  <c r="S34" i="6"/>
  <c r="M26" i="6"/>
  <c r="S26" i="6"/>
  <c r="M21" i="6"/>
  <c r="S21" i="6"/>
  <c r="S23" i="6"/>
  <c r="M23" i="6"/>
  <c r="M28" i="6"/>
  <c r="S28" i="6"/>
  <c r="M33" i="6"/>
  <c r="S33" i="6"/>
  <c r="M22" i="6"/>
  <c r="S22" i="6"/>
  <c r="S19" i="6"/>
  <c r="M19" i="6"/>
  <c r="M24" i="6"/>
  <c r="S24" i="6"/>
  <c r="M25" i="6"/>
  <c r="S25" i="6"/>
  <c r="L63" i="4"/>
  <c r="G63" i="4"/>
  <c r="H63" i="4"/>
  <c r="N25" i="6"/>
  <c r="O25" i="6"/>
  <c r="T25" i="6"/>
  <c r="N33" i="6"/>
  <c r="O33" i="6"/>
  <c r="T33" i="6"/>
  <c r="T32" i="6"/>
  <c r="N32" i="6"/>
  <c r="O32" i="6"/>
  <c r="N29" i="6"/>
  <c r="O29" i="6"/>
  <c r="T29" i="6"/>
  <c r="T36" i="6"/>
  <c r="N36" i="6"/>
  <c r="O36" i="6"/>
  <c r="N31" i="6"/>
  <c r="O31" i="6"/>
  <c r="T31" i="6"/>
  <c r="N35" i="6"/>
  <c r="O35" i="6"/>
  <c r="T35" i="6"/>
  <c r="T24" i="6"/>
  <c r="N24" i="6"/>
  <c r="O24" i="6"/>
  <c r="N22" i="6"/>
  <c r="O22" i="6"/>
  <c r="T22" i="6"/>
  <c r="T28" i="6"/>
  <c r="N28" i="6"/>
  <c r="O28" i="6"/>
  <c r="N21" i="6"/>
  <c r="O21" i="6"/>
  <c r="T21" i="6"/>
  <c r="N34" i="6"/>
  <c r="O34" i="6"/>
  <c r="T34" i="6"/>
  <c r="N30" i="6"/>
  <c r="O30" i="6"/>
  <c r="T30" i="6"/>
  <c r="T20" i="6"/>
  <c r="N20" i="6"/>
  <c r="O20" i="6"/>
  <c r="N17" i="6"/>
  <c r="O17" i="6"/>
  <c r="T17" i="6"/>
  <c r="T19" i="6"/>
  <c r="N19" i="6"/>
  <c r="O19" i="6"/>
  <c r="N23" i="6"/>
  <c r="O23" i="6"/>
  <c r="T23" i="6"/>
  <c r="N27" i="6"/>
  <c r="O27" i="6"/>
  <c r="T27" i="6"/>
  <c r="N18" i="6"/>
  <c r="O18" i="6"/>
  <c r="T18" i="6"/>
  <c r="N26" i="6"/>
  <c r="O26" i="6"/>
  <c r="T26" i="6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17" i="5"/>
  <c r="J18" i="5"/>
  <c r="K18" i="5"/>
  <c r="J19" i="5"/>
  <c r="K19" i="5"/>
  <c r="L19" i="5"/>
  <c r="J20" i="5"/>
  <c r="K20" i="5"/>
  <c r="J21" i="5"/>
  <c r="K21" i="5"/>
  <c r="J22" i="5"/>
  <c r="K22" i="5"/>
  <c r="J23" i="5"/>
  <c r="K23" i="5"/>
  <c r="J24" i="5"/>
  <c r="K24" i="5"/>
  <c r="J25" i="5"/>
  <c r="K25" i="5"/>
  <c r="L25" i="5"/>
  <c r="J26" i="5"/>
  <c r="K26" i="5"/>
  <c r="L26" i="5"/>
  <c r="J27" i="5"/>
  <c r="K27" i="5"/>
  <c r="J28" i="5"/>
  <c r="K28" i="5"/>
  <c r="J29" i="5"/>
  <c r="K29" i="5"/>
  <c r="J30" i="5"/>
  <c r="K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17" i="5"/>
  <c r="K17" i="5"/>
  <c r="F12" i="5"/>
  <c r="F11" i="5"/>
  <c r="F10" i="5"/>
  <c r="F9" i="5"/>
  <c r="F8" i="5"/>
  <c r="F7" i="5"/>
  <c r="F6" i="5"/>
  <c r="F5" i="5"/>
  <c r="F4" i="5"/>
  <c r="F3" i="5"/>
  <c r="H23" i="4"/>
  <c r="L24" i="4"/>
  <c r="G24" i="4"/>
  <c r="H24" i="4"/>
  <c r="L25" i="4"/>
  <c r="G25" i="4"/>
  <c r="H25" i="4"/>
  <c r="L26" i="4"/>
  <c r="G26" i="4"/>
  <c r="H26" i="4"/>
  <c r="L27" i="4"/>
  <c r="G27" i="4"/>
  <c r="H27" i="4"/>
  <c r="L28" i="4"/>
  <c r="G28" i="4"/>
  <c r="H28" i="4"/>
  <c r="L29" i="4"/>
  <c r="G29" i="4"/>
  <c r="H29" i="4"/>
  <c r="L30" i="4"/>
  <c r="G30" i="4"/>
  <c r="H30" i="4"/>
  <c r="L31" i="4"/>
  <c r="G31" i="4"/>
  <c r="H31" i="4"/>
  <c r="L32" i="4"/>
  <c r="G32" i="4"/>
  <c r="H32" i="4"/>
  <c r="L33" i="4"/>
  <c r="G33" i="4"/>
  <c r="H33" i="4"/>
  <c r="L34" i="4"/>
  <c r="G34" i="4"/>
  <c r="H34" i="4"/>
  <c r="L35" i="4"/>
  <c r="G35" i="4"/>
  <c r="H35" i="4"/>
  <c r="L36" i="4"/>
  <c r="G36" i="4"/>
  <c r="H36" i="4"/>
  <c r="L37" i="4"/>
  <c r="G37" i="4"/>
  <c r="H37" i="4"/>
  <c r="L38" i="4"/>
  <c r="G38" i="4"/>
  <c r="H38" i="4"/>
  <c r="L39" i="4"/>
  <c r="G39" i="4"/>
  <c r="H39" i="4"/>
  <c r="L40" i="4"/>
  <c r="G40" i="4"/>
  <c r="H40" i="4"/>
  <c r="L41" i="4"/>
  <c r="G41" i="4"/>
  <c r="H41" i="4"/>
  <c r="L42" i="4"/>
  <c r="G42" i="4"/>
  <c r="H42" i="4"/>
  <c r="L43" i="4"/>
  <c r="G43" i="4"/>
  <c r="H43" i="4"/>
  <c r="L44" i="4"/>
  <c r="G44" i="4"/>
  <c r="H44" i="4"/>
  <c r="L45" i="4"/>
  <c r="G45" i="4"/>
  <c r="H45" i="4"/>
  <c r="L46" i="4"/>
  <c r="G46" i="4"/>
  <c r="H46" i="4"/>
  <c r="L47" i="4"/>
  <c r="G47" i="4"/>
  <c r="H47" i="4"/>
  <c r="L48" i="4"/>
  <c r="G48" i="4"/>
  <c r="H48" i="4"/>
  <c r="L49" i="4"/>
  <c r="G49" i="4"/>
  <c r="H49" i="4"/>
  <c r="L50" i="4"/>
  <c r="G50" i="4"/>
  <c r="H50" i="4"/>
  <c r="L51" i="4"/>
  <c r="G51" i="4"/>
  <c r="H51" i="4"/>
  <c r="L52" i="4"/>
  <c r="G52" i="4"/>
  <c r="H52" i="4"/>
  <c r="L53" i="4"/>
  <c r="G53" i="4"/>
  <c r="H53" i="4"/>
  <c r="L54" i="4"/>
  <c r="G54" i="4"/>
  <c r="H54" i="4"/>
  <c r="L55" i="4"/>
  <c r="G55" i="4"/>
  <c r="H55" i="4"/>
  <c r="L56" i="4"/>
  <c r="G56" i="4"/>
  <c r="H56" i="4"/>
  <c r="L57" i="4"/>
  <c r="G57" i="4"/>
  <c r="H57" i="4"/>
  <c r="L58" i="4"/>
  <c r="G58" i="4"/>
  <c r="H58" i="4"/>
  <c r="L59" i="4"/>
  <c r="G59" i="4"/>
  <c r="H59" i="4"/>
  <c r="L60" i="4"/>
  <c r="G60" i="4"/>
  <c r="H60" i="4"/>
  <c r="L61" i="4"/>
  <c r="G61" i="4"/>
  <c r="H61" i="4"/>
  <c r="L62" i="4"/>
  <c r="G62" i="4"/>
  <c r="H62" i="4"/>
  <c r="L18" i="5"/>
  <c r="L20" i="5"/>
  <c r="L21" i="5"/>
  <c r="L22" i="5"/>
  <c r="L23" i="5"/>
  <c r="L24" i="5"/>
  <c r="L27" i="5"/>
  <c r="L28" i="5"/>
  <c r="L29" i="5"/>
  <c r="L30" i="5"/>
  <c r="L17" i="5"/>
  <c r="I9" i="5"/>
  <c r="I10" i="5"/>
  <c r="F22" i="5"/>
  <c r="S22" i="5"/>
  <c r="I13" i="5"/>
  <c r="I12" i="5"/>
  <c r="G20" i="5"/>
  <c r="G18" i="5"/>
  <c r="G22" i="5"/>
  <c r="G26" i="5"/>
  <c r="G30" i="5"/>
  <c r="G34" i="5"/>
  <c r="G19" i="5"/>
  <c r="G23" i="5"/>
  <c r="G27" i="5"/>
  <c r="G31" i="5"/>
  <c r="G35" i="5"/>
  <c r="F20" i="5"/>
  <c r="F24" i="5"/>
  <c r="F28" i="5"/>
  <c r="S28" i="5"/>
  <c r="F32" i="5"/>
  <c r="S32" i="5"/>
  <c r="F36" i="5"/>
  <c r="S36" i="5"/>
  <c r="F21" i="5"/>
  <c r="S21" i="5"/>
  <c r="F25" i="5"/>
  <c r="F29" i="5"/>
  <c r="S29" i="5"/>
  <c r="F33" i="5"/>
  <c r="G17" i="5"/>
  <c r="F17" i="5"/>
  <c r="M17" i="5"/>
  <c r="F31" i="5"/>
  <c r="S31" i="5"/>
  <c r="F23" i="5"/>
  <c r="M23" i="5"/>
  <c r="T23" i="5"/>
  <c r="F34" i="5"/>
  <c r="S34" i="5"/>
  <c r="F26" i="5"/>
  <c r="S26" i="5"/>
  <c r="F18" i="5"/>
  <c r="S18" i="5"/>
  <c r="G29" i="5"/>
  <c r="G21" i="5"/>
  <c r="G32" i="5"/>
  <c r="G24" i="5"/>
  <c r="F35" i="5"/>
  <c r="S35" i="5"/>
  <c r="F27" i="5"/>
  <c r="S27" i="5"/>
  <c r="F19" i="5"/>
  <c r="S19" i="5"/>
  <c r="F30" i="5"/>
  <c r="S30" i="5"/>
  <c r="G33" i="5"/>
  <c r="G25" i="5"/>
  <c r="G36" i="5"/>
  <c r="G28" i="5"/>
  <c r="M34" i="5"/>
  <c r="T34" i="5"/>
  <c r="M36" i="5"/>
  <c r="T36" i="5"/>
  <c r="M30" i="5"/>
  <c r="T30" i="5"/>
  <c r="M32" i="5"/>
  <c r="T32" i="5"/>
  <c r="M27" i="5"/>
  <c r="T27" i="5"/>
  <c r="M21" i="5"/>
  <c r="M29" i="5"/>
  <c r="M35" i="5"/>
  <c r="T35" i="5"/>
  <c r="M33" i="5"/>
  <c r="S33" i="5"/>
  <c r="M20" i="5"/>
  <c r="S20" i="5"/>
  <c r="S17" i="5"/>
  <c r="M19" i="5"/>
  <c r="M31" i="5"/>
  <c r="T31" i="5"/>
  <c r="M26" i="5"/>
  <c r="T26" i="5"/>
  <c r="M22" i="5"/>
  <c r="T22" i="5"/>
  <c r="M28" i="5"/>
  <c r="T28" i="5"/>
  <c r="M24" i="5"/>
  <c r="T24" i="5"/>
  <c r="S24" i="5"/>
  <c r="M25" i="5"/>
  <c r="S25" i="5"/>
  <c r="N28" i="5"/>
  <c r="O28" i="5"/>
  <c r="N36" i="5"/>
  <c r="O36" i="5"/>
  <c r="N17" i="5"/>
  <c r="O17" i="5"/>
  <c r="T17" i="5"/>
  <c r="N34" i="5"/>
  <c r="O34" i="5"/>
  <c r="S23" i="5"/>
  <c r="N19" i="5"/>
  <c r="O19" i="5"/>
  <c r="T19" i="5"/>
  <c r="N20" i="5"/>
  <c r="O20" i="5"/>
  <c r="T20" i="5"/>
  <c r="N29" i="5"/>
  <c r="O29" i="5"/>
  <c r="T29" i="5"/>
  <c r="N25" i="5"/>
  <c r="O25" i="5"/>
  <c r="T25" i="5"/>
  <c r="N21" i="5"/>
  <c r="O21" i="5"/>
  <c r="T21" i="5"/>
  <c r="N33" i="5"/>
  <c r="O33" i="5"/>
  <c r="T33" i="5"/>
  <c r="M18" i="5"/>
  <c r="N23" i="5"/>
  <c r="O23" i="5"/>
  <c r="N30" i="5"/>
  <c r="O30" i="5"/>
  <c r="N32" i="5"/>
  <c r="O32" i="5"/>
  <c r="N31" i="5"/>
  <c r="O31" i="5"/>
  <c r="N35" i="5"/>
  <c r="O35" i="5"/>
  <c r="N27" i="5"/>
  <c r="O27" i="5"/>
  <c r="N24" i="5"/>
  <c r="O24" i="5"/>
  <c r="N22" i="5"/>
  <c r="O22" i="5"/>
  <c r="N26" i="5"/>
  <c r="O26" i="5"/>
  <c r="T18" i="5"/>
  <c r="N18" i="5"/>
  <c r="O18" i="5"/>
  <c r="I13" i="12"/>
  <c r="I13" i="13"/>
  <c r="I12" i="13"/>
  <c r="G17" i="13"/>
  <c r="I9" i="13"/>
  <c r="F17" i="13"/>
  <c r="M17" i="13"/>
  <c r="N17" i="13"/>
  <c r="O17" i="13"/>
  <c r="T17" i="13"/>
  <c r="U17" i="13"/>
  <c r="G18" i="13"/>
  <c r="F18" i="13"/>
  <c r="M18" i="13"/>
  <c r="N18" i="13"/>
  <c r="O18" i="13"/>
  <c r="T18" i="13"/>
  <c r="U18" i="13"/>
  <c r="G19" i="13"/>
  <c r="F19" i="13"/>
  <c r="M19" i="13"/>
  <c r="N19" i="13"/>
  <c r="O19" i="13"/>
  <c r="T19" i="13"/>
  <c r="U19" i="13"/>
  <c r="G20" i="13"/>
  <c r="F20" i="13"/>
  <c r="M20" i="13"/>
  <c r="N20" i="13"/>
  <c r="O20" i="13"/>
  <c r="T20" i="13"/>
  <c r="U20" i="13"/>
  <c r="G21" i="13"/>
  <c r="F21" i="13"/>
  <c r="M21" i="13"/>
  <c r="N21" i="13"/>
  <c r="O21" i="13"/>
  <c r="T21" i="13"/>
  <c r="U21" i="13"/>
  <c r="G22" i="13"/>
  <c r="F22" i="13"/>
  <c r="M22" i="13"/>
  <c r="N22" i="13"/>
  <c r="O22" i="13"/>
  <c r="T22" i="13"/>
  <c r="U22" i="13"/>
  <c r="G23" i="13"/>
  <c r="F23" i="13"/>
  <c r="M23" i="13"/>
  <c r="N23" i="13"/>
  <c r="O23" i="13"/>
  <c r="T23" i="13"/>
  <c r="U23" i="13"/>
  <c r="G24" i="13"/>
  <c r="F24" i="13"/>
  <c r="M24" i="13"/>
  <c r="N24" i="13"/>
  <c r="O24" i="13"/>
  <c r="T24" i="13"/>
  <c r="U24" i="13"/>
  <c r="G25" i="13"/>
  <c r="F25" i="13"/>
  <c r="M25" i="13"/>
  <c r="N25" i="13"/>
  <c r="O25" i="13"/>
  <c r="T25" i="13"/>
  <c r="U25" i="13"/>
  <c r="G26" i="13"/>
  <c r="F26" i="13"/>
  <c r="M26" i="13"/>
  <c r="N26" i="13"/>
  <c r="O26" i="13"/>
  <c r="T26" i="13"/>
  <c r="U26" i="13"/>
  <c r="G27" i="13"/>
  <c r="F27" i="13"/>
  <c r="M27" i="13"/>
  <c r="N27" i="13"/>
  <c r="O27" i="13"/>
  <c r="T27" i="13"/>
  <c r="U27" i="13"/>
  <c r="G28" i="13"/>
  <c r="F28" i="13"/>
  <c r="M28" i="13"/>
  <c r="N28" i="13"/>
  <c r="O28" i="13"/>
  <c r="T28" i="13"/>
  <c r="U28" i="13"/>
  <c r="G29" i="13"/>
  <c r="F29" i="13"/>
  <c r="M29" i="13"/>
  <c r="N29" i="13"/>
  <c r="O29" i="13"/>
  <c r="T29" i="13"/>
  <c r="U29" i="13"/>
  <c r="G30" i="13"/>
  <c r="F30" i="13"/>
  <c r="M30" i="13"/>
  <c r="N30" i="13"/>
  <c r="O30" i="13"/>
  <c r="T30" i="13"/>
  <c r="U30" i="13"/>
  <c r="G31" i="13"/>
  <c r="F31" i="13"/>
  <c r="M31" i="13"/>
  <c r="N31" i="13"/>
  <c r="O31" i="13"/>
  <c r="T31" i="13"/>
  <c r="U31" i="13"/>
  <c r="G32" i="13"/>
  <c r="F32" i="13"/>
  <c r="M32" i="13"/>
  <c r="N32" i="13"/>
  <c r="O32" i="13"/>
  <c r="T32" i="13"/>
  <c r="U32" i="13"/>
  <c r="G33" i="13"/>
  <c r="F33" i="13"/>
  <c r="M33" i="13"/>
  <c r="N33" i="13"/>
  <c r="O33" i="13"/>
  <c r="T33" i="13"/>
  <c r="U33" i="13"/>
  <c r="G34" i="13"/>
  <c r="F34" i="13"/>
  <c r="M34" i="13"/>
  <c r="N34" i="13"/>
  <c r="O34" i="13"/>
  <c r="T34" i="13"/>
  <c r="U34" i="13"/>
  <c r="G35" i="13"/>
  <c r="F35" i="13"/>
  <c r="M35" i="13"/>
  <c r="N35" i="13"/>
  <c r="O35" i="13"/>
  <c r="T35" i="13"/>
  <c r="U35" i="13"/>
  <c r="G36" i="13"/>
  <c r="F36" i="13"/>
  <c r="M36" i="13"/>
  <c r="N36" i="13"/>
  <c r="O36" i="13"/>
  <c r="T36" i="13"/>
  <c r="U36" i="13"/>
  <c r="G38" i="13"/>
  <c r="F38" i="13"/>
  <c r="M38" i="13"/>
  <c r="N38" i="13"/>
  <c r="O38" i="13"/>
  <c r="T38" i="13"/>
  <c r="U38" i="13"/>
  <c r="G39" i="13"/>
  <c r="F39" i="13"/>
  <c r="M39" i="13"/>
  <c r="N39" i="13"/>
  <c r="O39" i="13"/>
  <c r="T39" i="13"/>
  <c r="U39" i="13"/>
  <c r="G40" i="13"/>
  <c r="F40" i="13"/>
  <c r="M40" i="13"/>
  <c r="N40" i="13"/>
  <c r="O40" i="13"/>
  <c r="T40" i="13"/>
  <c r="U40" i="13"/>
  <c r="I9" i="12"/>
  <c r="F36" i="12"/>
  <c r="M36" i="12"/>
  <c r="V36" i="12"/>
  <c r="U36" i="12"/>
  <c r="N36" i="12"/>
  <c r="P36" i="12"/>
  <c r="I12" i="12"/>
  <c r="G36" i="12"/>
  <c r="F35" i="12"/>
  <c r="M35" i="12"/>
  <c r="V35" i="12"/>
  <c r="U35" i="12"/>
  <c r="N35" i="12"/>
  <c r="P35" i="12"/>
  <c r="G35" i="12"/>
  <c r="F34" i="12"/>
  <c r="M34" i="12"/>
  <c r="V34" i="12"/>
  <c r="U34" i="12"/>
  <c r="N34" i="12"/>
  <c r="P34" i="12"/>
  <c r="G34" i="12"/>
  <c r="F33" i="12"/>
  <c r="M33" i="12"/>
  <c r="V33" i="12"/>
  <c r="U33" i="12"/>
  <c r="N33" i="12"/>
  <c r="P33" i="12"/>
  <c r="G33" i="12"/>
  <c r="F32" i="12"/>
  <c r="M32" i="12"/>
  <c r="V32" i="12"/>
  <c r="U32" i="12"/>
  <c r="N32" i="12"/>
  <c r="P32" i="12"/>
  <c r="G32" i="12"/>
  <c r="F31" i="12"/>
  <c r="M31" i="12"/>
  <c r="V31" i="12"/>
  <c r="U31" i="12"/>
  <c r="N31" i="12"/>
  <c r="P31" i="12"/>
  <c r="G31" i="12"/>
  <c r="F30" i="12"/>
  <c r="M30" i="12"/>
  <c r="V30" i="12"/>
  <c r="U30" i="12"/>
  <c r="N30" i="12"/>
  <c r="P30" i="12"/>
  <c r="G30" i="12"/>
  <c r="F29" i="12"/>
  <c r="M29" i="12"/>
  <c r="V29" i="12"/>
  <c r="U29" i="12"/>
  <c r="N29" i="12"/>
  <c r="P29" i="12"/>
  <c r="G29" i="12"/>
  <c r="F28" i="12"/>
  <c r="M28" i="12"/>
  <c r="V28" i="12"/>
  <c r="U28" i="12"/>
  <c r="N28" i="12"/>
  <c r="P28" i="12"/>
  <c r="G28" i="12"/>
  <c r="F27" i="12"/>
  <c r="M27" i="12"/>
  <c r="V27" i="12"/>
  <c r="U27" i="12"/>
  <c r="N27" i="12"/>
  <c r="P27" i="12"/>
  <c r="G27" i="12"/>
  <c r="F26" i="12"/>
  <c r="M26" i="12"/>
  <c r="V26" i="12"/>
  <c r="U26" i="12"/>
  <c r="N26" i="12"/>
  <c r="P26" i="12"/>
  <c r="G26" i="12"/>
  <c r="F25" i="12"/>
  <c r="M25" i="12"/>
  <c r="V25" i="12"/>
  <c r="U25" i="12"/>
  <c r="N25" i="12"/>
  <c r="P25" i="12"/>
  <c r="G25" i="12"/>
  <c r="F24" i="12"/>
  <c r="M24" i="12"/>
  <c r="V24" i="12"/>
  <c r="U24" i="12"/>
  <c r="N24" i="12"/>
  <c r="P24" i="12"/>
  <c r="G24" i="12"/>
  <c r="F23" i="12"/>
  <c r="M23" i="12"/>
  <c r="V23" i="12"/>
  <c r="U23" i="12"/>
  <c r="N23" i="12"/>
  <c r="P23" i="12"/>
  <c r="G23" i="12"/>
  <c r="F22" i="12"/>
  <c r="M22" i="12"/>
  <c r="V22" i="12"/>
  <c r="U22" i="12"/>
  <c r="N22" i="12"/>
  <c r="P22" i="12"/>
  <c r="G22" i="12"/>
  <c r="F21" i="12"/>
  <c r="M21" i="12"/>
  <c r="V21" i="12"/>
  <c r="U21" i="12"/>
  <c r="N21" i="12"/>
  <c r="P21" i="12"/>
  <c r="G21" i="12"/>
  <c r="F20" i="12"/>
  <c r="M20" i="12"/>
  <c r="V20" i="12"/>
  <c r="U20" i="12"/>
  <c r="N20" i="12"/>
  <c r="P20" i="12"/>
  <c r="G20" i="12"/>
  <c r="F19" i="12"/>
  <c r="M19" i="12"/>
  <c r="V19" i="12"/>
  <c r="U19" i="12"/>
  <c r="N19" i="12"/>
  <c r="P19" i="12"/>
  <c r="G19" i="12"/>
  <c r="F18" i="12"/>
  <c r="M18" i="12"/>
  <c r="V18" i="12"/>
  <c r="U18" i="12"/>
  <c r="N18" i="12"/>
  <c r="P18" i="12"/>
  <c r="G18" i="12"/>
  <c r="F17" i="12"/>
  <c r="M17" i="12"/>
  <c r="V17" i="12"/>
  <c r="U17" i="12"/>
  <c r="N17" i="12"/>
  <c r="P17" i="12"/>
  <c r="G17" i="12"/>
  <c r="G38" i="12"/>
  <c r="F38" i="12"/>
  <c r="M38" i="12"/>
  <c r="N38" i="12"/>
  <c r="P38" i="12"/>
  <c r="U38" i="12"/>
  <c r="V38" i="12"/>
  <c r="G39" i="12"/>
  <c r="F39" i="12"/>
  <c r="M39" i="12"/>
  <c r="N39" i="12"/>
  <c r="P39" i="12"/>
  <c r="U39" i="12"/>
  <c r="V39" i="12"/>
  <c r="G40" i="12"/>
  <c r="F40" i="12"/>
  <c r="M40" i="12"/>
  <c r="N40" i="12"/>
  <c r="P40" i="12"/>
  <c r="U40" i="12"/>
  <c r="V40" i="12"/>
  <c r="I13" i="14"/>
  <c r="I12" i="14"/>
  <c r="G17" i="14"/>
  <c r="I9" i="14"/>
  <c r="F17" i="14"/>
  <c r="U17" i="14"/>
  <c r="V17" i="14"/>
  <c r="G18" i="14"/>
  <c r="F18" i="14"/>
  <c r="U18" i="14"/>
  <c r="V18" i="14"/>
  <c r="G19" i="14"/>
  <c r="F19" i="14"/>
  <c r="U19" i="14"/>
  <c r="V19" i="14"/>
  <c r="G20" i="14"/>
  <c r="F20" i="14"/>
  <c r="U20" i="14"/>
  <c r="V20" i="14"/>
  <c r="G21" i="14"/>
  <c r="F21" i="14"/>
  <c r="U21" i="14"/>
  <c r="V21" i="14"/>
  <c r="G22" i="14"/>
  <c r="F22" i="14"/>
  <c r="U22" i="14"/>
  <c r="V22" i="14"/>
  <c r="G23" i="14"/>
  <c r="F23" i="14"/>
  <c r="U23" i="14"/>
  <c r="V23" i="14"/>
  <c r="G24" i="14"/>
  <c r="F24" i="14"/>
  <c r="U24" i="14"/>
  <c r="V24" i="14"/>
  <c r="G25" i="14"/>
  <c r="F25" i="14"/>
  <c r="U25" i="14"/>
  <c r="V25" i="14"/>
  <c r="G26" i="14"/>
  <c r="F26" i="14"/>
  <c r="U26" i="14"/>
  <c r="V26" i="14"/>
  <c r="G27" i="14"/>
  <c r="F27" i="14"/>
  <c r="U27" i="14"/>
  <c r="V27" i="14"/>
  <c r="G28" i="14"/>
  <c r="F28" i="14"/>
  <c r="U28" i="14"/>
  <c r="V28" i="14"/>
  <c r="G29" i="14"/>
  <c r="F29" i="14"/>
  <c r="U29" i="14"/>
  <c r="V29" i="14"/>
  <c r="G30" i="14"/>
  <c r="F30" i="14"/>
  <c r="U30" i="14"/>
  <c r="V30" i="14"/>
  <c r="G31" i="14"/>
  <c r="F31" i="14"/>
  <c r="U31" i="14"/>
  <c r="V31" i="14"/>
  <c r="G32" i="14"/>
  <c r="F32" i="14"/>
  <c r="U32" i="14"/>
  <c r="V32" i="14"/>
  <c r="G33" i="14"/>
  <c r="F33" i="14"/>
  <c r="U33" i="14"/>
  <c r="V33" i="14"/>
  <c r="G34" i="14"/>
  <c r="F34" i="14"/>
  <c r="U34" i="14"/>
  <c r="V34" i="14"/>
  <c r="G35" i="14"/>
  <c r="F35" i="14"/>
  <c r="U35" i="14"/>
  <c r="V35" i="14"/>
  <c r="G36" i="14"/>
  <c r="F36" i="14"/>
  <c r="U36" i="14"/>
  <c r="V36" i="14"/>
  <c r="G38" i="14"/>
  <c r="F38" i="14"/>
  <c r="U38" i="14"/>
  <c r="V38" i="14"/>
  <c r="G39" i="14"/>
  <c r="F39" i="14"/>
  <c r="U39" i="14"/>
  <c r="V39" i="14"/>
  <c r="G40" i="14"/>
  <c r="F40" i="14"/>
  <c r="U40" i="14"/>
  <c r="V40" i="14"/>
</calcChain>
</file>

<file path=xl/sharedStrings.xml><?xml version="1.0" encoding="utf-8"?>
<sst xmlns="http://schemas.openxmlformats.org/spreadsheetml/2006/main" count="1318" uniqueCount="164">
  <si>
    <t>Sample#</t>
  </si>
  <si>
    <t>Project</t>
  </si>
  <si>
    <t>Group</t>
  </si>
  <si>
    <t>SampleName</t>
  </si>
  <si>
    <t>Depth_i</t>
  </si>
  <si>
    <t>Depth_f</t>
  </si>
  <si>
    <t>Type</t>
  </si>
  <si>
    <t>ArcInc - 07.2018</t>
  </si>
  <si>
    <t>AG Schrumpf</t>
  </si>
  <si>
    <t>MA-1</t>
  </si>
  <si>
    <t>soil</t>
  </si>
  <si>
    <t>MA-2</t>
  </si>
  <si>
    <t>MA-3</t>
  </si>
  <si>
    <t>MB-1</t>
  </si>
  <si>
    <t>MB-2</t>
  </si>
  <si>
    <t>MB-3</t>
  </si>
  <si>
    <t>SA-1</t>
  </si>
  <si>
    <t>SA-2</t>
  </si>
  <si>
    <t>SA-3</t>
  </si>
  <si>
    <t>SB-1</t>
  </si>
  <si>
    <t>SB-2</t>
  </si>
  <si>
    <t>SB-3</t>
  </si>
  <si>
    <t>Du123-1</t>
  </si>
  <si>
    <t>Du120-1</t>
  </si>
  <si>
    <t>TVA 4E C-1</t>
  </si>
  <si>
    <t>TVA 6E C-1</t>
  </si>
  <si>
    <t>TVA 8E C-1</t>
  </si>
  <si>
    <t>TVA 2B C-1</t>
  </si>
  <si>
    <t>TVA 3B C-1</t>
  </si>
  <si>
    <t>TVA 5B C-1</t>
  </si>
  <si>
    <t>WB 4B C-1</t>
  </si>
  <si>
    <t>WB 5B C-1</t>
  </si>
  <si>
    <t>WB 8B C-1</t>
  </si>
  <si>
    <t>WB 3E C-1</t>
  </si>
  <si>
    <t>WB 6E C-1</t>
  </si>
  <si>
    <t>WB 7E C-1</t>
  </si>
  <si>
    <t>HEW26-1</t>
  </si>
  <si>
    <t>HEW26-2</t>
  </si>
  <si>
    <t>HEW47-1</t>
  </si>
  <si>
    <t>HEW47-2</t>
  </si>
  <si>
    <t>HEG20-1</t>
  </si>
  <si>
    <t>HEG20-2</t>
  </si>
  <si>
    <t>HEG20-3</t>
  </si>
  <si>
    <t>HEG33-1</t>
  </si>
  <si>
    <t>HEG33-2</t>
  </si>
  <si>
    <t>HEG33-3</t>
  </si>
  <si>
    <t>HEG6-1</t>
  </si>
  <si>
    <t>HEG6-2</t>
  </si>
  <si>
    <t>HEG6-3</t>
  </si>
  <si>
    <t>HEW49-1</t>
  </si>
  <si>
    <t>HEW49-2</t>
  </si>
  <si>
    <t>HEW49-3</t>
  </si>
  <si>
    <t>SEW43-1</t>
  </si>
  <si>
    <t>SEW43-2</t>
  </si>
  <si>
    <t>SEW43-3</t>
  </si>
  <si>
    <t>SEG38-1</t>
  </si>
  <si>
    <t>SEG38-2</t>
  </si>
  <si>
    <t>SEG38-3</t>
  </si>
  <si>
    <t>SEG40-1</t>
  </si>
  <si>
    <t>SEG40-2</t>
  </si>
  <si>
    <t>SEG40-3</t>
  </si>
  <si>
    <t>SEG46-1</t>
  </si>
  <si>
    <t>SEG46-2</t>
  </si>
  <si>
    <t>SEG46-3</t>
  </si>
  <si>
    <t>SEW11-1</t>
  </si>
  <si>
    <t>SEW11-2</t>
  </si>
  <si>
    <t>SEW11-3</t>
  </si>
  <si>
    <t>SEW34-1</t>
  </si>
  <si>
    <t>SEW34-2</t>
  </si>
  <si>
    <t>SEW34-3</t>
  </si>
  <si>
    <t>P_Jar</t>
  </si>
  <si>
    <t>Leakage</t>
  </si>
  <si>
    <t>Time</t>
  </si>
  <si>
    <t>#</t>
  </si>
  <si>
    <t>Sample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</si>
  <si>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</si>
  <si>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</si>
  <si>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</si>
  <si>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</si>
  <si>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</si>
  <si>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</si>
  <si>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</si>
  <si>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</si>
  <si>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</si>
  <si>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</si>
  <si>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</si>
  <si>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</si>
  <si>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</si>
  <si>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</si>
  <si>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</si>
  <si>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</si>
  <si>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</si>
  <si>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</si>
  <si>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</si>
  <si>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</si>
  <si>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</si>
  <si>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</si>
  <si>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</si>
  <si>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</si>
  <si>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[hPa]</t>
  </si>
  <si>
    <t>[ml]</t>
  </si>
  <si>
    <t>Start Date Incubation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</si>
  <si>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</si>
  <si>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</si>
  <si>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</si>
  <si>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</si>
  <si>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</si>
  <si>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</si>
  <si>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</si>
  <si>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</si>
  <si>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</si>
  <si>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</si>
  <si>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</si>
  <si>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</si>
  <si>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</si>
  <si>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</si>
  <si>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</si>
  <si>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</si>
  <si>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</si>
  <si>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</si>
  <si>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</si>
  <si>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</si>
  <si>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</si>
  <si>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</si>
  <si>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</si>
  <si>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/FW</t>
    </r>
  </si>
  <si>
    <r>
      <t>mg 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/g FW/d</t>
    </r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</si>
  <si>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</si>
  <si>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</si>
  <si>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</si>
  <si>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</si>
  <si>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</si>
  <si>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</si>
  <si>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CO2%</t>
  </si>
  <si>
    <t>CO2 ppm</t>
  </si>
  <si>
    <t>extra gauge tube</t>
  </si>
  <si>
    <t>27/07/2018 16:50</t>
  </si>
  <si>
    <t>27/07/2018 17:22</t>
  </si>
  <si>
    <t>27/07/2018 17:30</t>
  </si>
  <si>
    <t>27/07/2018 17:39</t>
  </si>
  <si>
    <t>Threshold CO2 (1 mgC)</t>
  </si>
  <si>
    <t>[mg CO2 jar-1]</t>
  </si>
  <si>
    <t>27/07/2018</t>
  </si>
  <si>
    <t>21/08/2018</t>
  </si>
  <si>
    <t>21/08/2018 14:29</t>
  </si>
  <si>
    <t>21/08/2018 15:49</t>
  </si>
  <si>
    <t>21/08/2018 15:55</t>
  </si>
  <si>
    <t>21/08/2018 16:01</t>
  </si>
  <si>
    <t>C retrieval</t>
  </si>
  <si>
    <t>1365mbar is the upper limit of the pressure sensor --&gt; if CO2 exceeds this value then there is more CO2 as the sensor could recognize</t>
  </si>
  <si>
    <t>CO2 partial pressure</t>
  </si>
  <si>
    <t>measured mbar in the volume between vent 15 and vent 17, as the upper limit was reached at sensor 1</t>
  </si>
  <si>
    <t>measured mbar in the volume between vent 15 and vent 18, as the upper limit was reached at sensor 1</t>
  </si>
  <si>
    <t>mbar</t>
  </si>
  <si>
    <t>accidentally frozen during extraction of other samples</t>
  </si>
  <si>
    <t>ppm</t>
  </si>
  <si>
    <t>%</t>
  </si>
  <si>
    <t>C/Container</t>
  </si>
  <si>
    <t>,05,07</t>
  </si>
  <si>
    <t>extraction on 05. Sept. two days after measurement with containers</t>
  </si>
  <si>
    <t>14-16 factor 2,8</t>
  </si>
  <si>
    <t>14-19 factor 4,26</t>
  </si>
  <si>
    <t>Factor check V13-V16 factor 4,78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</si>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</sst>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68" formatCode="d/m/yy\ h:mm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0A4F0F"/>
      <name val="Calibri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ECC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  <xf numFmtId="0" fontId="19" fillId="0" borderId="10" xfId="0" applyFont="1" applyBorder="1" applyAlignment="1">
      <alignment horizontal="justify" vertical="center" wrapText="1"/>
    </xf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/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justify" vertical="center" wrapText="1"/>
    </xf>
    <xf numFmtId="0" fontId="0" fillId="0" borderId="11" xfId="0" applyBorder="1"/>
    <xf numFmtId="0" fontId="20" fillId="0" borderId="10" xfId="0" applyFont="1" applyFill="1" applyBorder="1" applyAlignment="1">
      <alignment horizontal="center" vertical="center" wrapText="1"/>
    </xf>
    <xf numFmtId="2" fontId="22" fillId="33" borderId="0" xfId="42" applyNumberFormat="1" applyFont="1" applyFill="1" applyBorder="1" applyAlignment="1">
      <alignment horizontal="center"/>
    </xf>
    <xf numFmtId="1" fontId="22" fillId="33" borderId="12" xfId="42" applyNumberFormat="1" applyFont="1" applyFill="1" applyBorder="1" applyAlignment="1">
      <alignment horizontal="center"/>
    </xf>
    <xf numFmtId="2" fontId="22" fillId="34" borderId="0" xfId="42" applyNumberFormat="1" applyFont="1" applyFill="1" applyBorder="1" applyAlignment="1">
      <alignment horizontal="center"/>
    </xf>
    <xf numFmtId="2" fontId="22" fillId="34" borderId="12" xfId="42" applyNumberFormat="1" applyFont="1" applyFill="1" applyBorder="1" applyAlignment="1">
      <alignment horizontal="center"/>
    </xf>
    <xf numFmtId="0" fontId="23" fillId="33" borderId="13" xfId="42" applyFont="1" applyFill="1" applyBorder="1" applyAlignment="1">
      <alignment horizontal="center"/>
    </xf>
    <xf numFmtId="0" fontId="23" fillId="33" borderId="14" xfId="42" applyFont="1" applyFill="1" applyBorder="1" applyAlignment="1">
      <alignment horizontal="center"/>
    </xf>
    <xf numFmtId="0" fontId="23" fillId="34" borderId="13" xfId="42" applyFont="1" applyFill="1" applyBorder="1" applyAlignment="1">
      <alignment horizontal="center"/>
    </xf>
    <xf numFmtId="0" fontId="23" fillId="34" borderId="14" xfId="42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3" fillId="0" borderId="0" xfId="42" applyFont="1" applyFill="1" applyAlignment="1">
      <alignment horizontal="center"/>
    </xf>
    <xf numFmtId="2" fontId="23" fillId="0" borderId="0" xfId="42" applyNumberFormat="1" applyFont="1" applyFill="1" applyAlignment="1">
      <alignment horizontal="center"/>
    </xf>
    <xf numFmtId="1" fontId="23" fillId="0" borderId="12" xfId="42" applyNumberFormat="1" applyFont="1" applyFill="1" applyBorder="1" applyAlignment="1">
      <alignment horizontal="center"/>
    </xf>
    <xf numFmtId="2" fontId="23" fillId="0" borderId="12" xfId="42" applyNumberFormat="1" applyFont="1" applyFill="1" applyBorder="1" applyAlignment="1">
      <alignment horizontal="center"/>
    </xf>
    <xf numFmtId="0" fontId="22" fillId="36" borderId="17" xfId="42" applyFont="1" applyFill="1" applyBorder="1" applyAlignment="1">
      <alignment horizontal="center"/>
    </xf>
    <xf numFmtId="0" fontId="22" fillId="33" borderId="17" xfId="42" applyFont="1" applyFill="1" applyBorder="1" applyAlignment="1">
      <alignment horizontal="center"/>
    </xf>
    <xf numFmtId="0" fontId="23" fillId="0" borderId="0" xfId="42" applyFont="1" applyFill="1" applyBorder="1" applyAlignment="1">
      <alignment horizontal="center"/>
    </xf>
    <xf numFmtId="0" fontId="21" fillId="0" borderId="0" xfId="42"/>
    <xf numFmtId="0" fontId="23" fillId="0" borderId="0" xfId="42" applyFont="1"/>
    <xf numFmtId="0" fontId="24" fillId="0" borderId="0" xfId="42" applyFont="1" applyBorder="1" applyAlignment="1">
      <alignment horizontal="center"/>
    </xf>
    <xf numFmtId="14" fontId="23" fillId="0" borderId="0" xfId="42" applyNumberFormat="1" applyFont="1" applyAlignment="1">
      <alignment horizontal="center"/>
    </xf>
    <xf numFmtId="0" fontId="23" fillId="0" borderId="0" xfId="42" applyFont="1" applyAlignment="1">
      <alignment horizontal="center"/>
    </xf>
    <xf numFmtId="2" fontId="23" fillId="0" borderId="0" xfId="42" applyNumberFormat="1" applyFont="1" applyAlignment="1">
      <alignment horizontal="center"/>
    </xf>
    <xf numFmtId="164" fontId="23" fillId="0" borderId="0" xfId="42" applyNumberFormat="1" applyFont="1" applyAlignment="1">
      <alignment horizontal="center"/>
    </xf>
    <xf numFmtId="0" fontId="21" fillId="0" borderId="0" xfId="42" applyFill="1"/>
    <xf numFmtId="165" fontId="23" fillId="0" borderId="0" xfId="42" applyNumberFormat="1" applyFont="1" applyFill="1" applyAlignment="1">
      <alignment horizontal="center"/>
    </xf>
    <xf numFmtId="0" fontId="27" fillId="0" borderId="0" xfId="42" applyFont="1"/>
    <xf numFmtId="166" fontId="23" fillId="0" borderId="0" xfId="42" applyNumberFormat="1" applyFont="1" applyFill="1" applyAlignment="1">
      <alignment horizontal="right"/>
    </xf>
    <xf numFmtId="0" fontId="21" fillId="0" borderId="0" xfId="42" applyAlignment="1">
      <alignment horizontal="center"/>
    </xf>
    <xf numFmtId="0" fontId="28" fillId="0" borderId="0" xfId="42" applyFont="1"/>
    <xf numFmtId="166" fontId="21" fillId="0" borderId="0" xfId="42" applyNumberFormat="1" applyAlignment="1">
      <alignment horizontal="right"/>
    </xf>
    <xf numFmtId="0" fontId="29" fillId="0" borderId="0" xfId="42" applyFont="1"/>
    <xf numFmtId="0" fontId="22" fillId="37" borderId="17" xfId="42" applyFont="1" applyFill="1" applyBorder="1" applyAlignment="1">
      <alignment horizontal="center"/>
    </xf>
    <xf numFmtId="2" fontId="22" fillId="37" borderId="17" xfId="42" applyNumberFormat="1" applyFont="1" applyFill="1" applyBorder="1" applyAlignment="1">
      <alignment horizontal="center"/>
    </xf>
    <xf numFmtId="2" fontId="22" fillId="0" borderId="17" xfId="42" applyNumberFormat="1" applyFont="1" applyFill="1" applyBorder="1" applyAlignment="1">
      <alignment horizontal="center"/>
    </xf>
    <xf numFmtId="0" fontId="22" fillId="37" borderId="18" xfId="42" applyFont="1" applyFill="1" applyBorder="1" applyAlignment="1">
      <alignment horizontal="center"/>
    </xf>
    <xf numFmtId="0" fontId="24" fillId="0" borderId="0" xfId="42" applyFont="1" applyAlignment="1">
      <alignment horizontal="center"/>
    </xf>
    <xf numFmtId="2" fontId="24" fillId="0" borderId="0" xfId="42" applyNumberFormat="1" applyFont="1" applyAlignment="1">
      <alignment horizontal="center"/>
    </xf>
    <xf numFmtId="0" fontId="24" fillId="0" borderId="15" xfId="42" applyFont="1" applyBorder="1" applyAlignment="1">
      <alignment horizontal="center"/>
    </xf>
    <xf numFmtId="22" fontId="23" fillId="0" borderId="0" xfId="42" applyNumberFormat="1" applyFont="1" applyFill="1" applyBorder="1" applyAlignment="1">
      <alignment horizontal="center"/>
    </xf>
    <xf numFmtId="0" fontId="23" fillId="38" borderId="19" xfId="42" applyFont="1" applyFill="1" applyBorder="1" applyAlignment="1">
      <alignment horizontal="center"/>
    </xf>
    <xf numFmtId="0" fontId="23" fillId="38" borderId="20" xfId="42" applyFont="1" applyFill="1" applyBorder="1" applyAlignment="1">
      <alignment horizontal="center"/>
    </xf>
    <xf numFmtId="164" fontId="23" fillId="0" borderId="0" xfId="42" applyNumberFormat="1" applyFont="1" applyFill="1" applyAlignment="1">
      <alignment horizontal="center"/>
    </xf>
    <xf numFmtId="22" fontId="23" fillId="0" borderId="15" xfId="42" applyNumberFormat="1" applyFont="1" applyFill="1" applyBorder="1" applyAlignment="1">
      <alignment horizontal="center"/>
    </xf>
    <xf numFmtId="167" fontId="23" fillId="0" borderId="0" xfId="42" applyNumberFormat="1" applyFont="1" applyFill="1" applyBorder="1" applyAlignment="1">
      <alignment horizontal="center"/>
    </xf>
    <xf numFmtId="1" fontId="23" fillId="0" borderId="0" xfId="42" applyNumberFormat="1" applyFont="1" applyFill="1" applyBorder="1" applyAlignment="1">
      <alignment horizontal="center"/>
    </xf>
    <xf numFmtId="2" fontId="23" fillId="0" borderId="0" xfId="42" applyNumberFormat="1" applyFont="1" applyFill="1" applyBorder="1" applyAlignment="1">
      <alignment horizontal="center"/>
    </xf>
    <xf numFmtId="166" fontId="23" fillId="0" borderId="0" xfId="42" applyNumberFormat="1" applyFont="1" applyFill="1" applyBorder="1" applyAlignment="1">
      <alignment horizontal="center"/>
    </xf>
    <xf numFmtId="0" fontId="23" fillId="38" borderId="21" xfId="42" applyFont="1" applyFill="1" applyBorder="1" applyAlignment="1">
      <alignment horizontal="center"/>
    </xf>
    <xf numFmtId="0" fontId="23" fillId="38" borderId="22" xfId="42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3" xfId="0" applyBorder="1"/>
    <xf numFmtId="0" fontId="23" fillId="0" borderId="13" xfId="42" applyFont="1" applyFill="1" applyBorder="1" applyAlignment="1">
      <alignment horizontal="center"/>
    </xf>
    <xf numFmtId="2" fontId="23" fillId="0" borderId="13" xfId="42" applyNumberFormat="1" applyFont="1" applyFill="1" applyBorder="1" applyAlignment="1">
      <alignment horizontal="center"/>
    </xf>
    <xf numFmtId="1" fontId="23" fillId="0" borderId="14" xfId="42" applyNumberFormat="1" applyFont="1" applyFill="1" applyBorder="1" applyAlignment="1">
      <alignment horizontal="center"/>
    </xf>
    <xf numFmtId="2" fontId="23" fillId="0" borderId="14" xfId="42" applyNumberFormat="1" applyFont="1" applyFill="1" applyBorder="1" applyAlignment="1">
      <alignment horizontal="center"/>
    </xf>
    <xf numFmtId="0" fontId="22" fillId="37" borderId="0" xfId="42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23" fillId="0" borderId="0" xfId="42" applyNumberFormat="1" applyFont="1" applyFill="1" applyAlignment="1">
      <alignment horizontal="center"/>
    </xf>
    <xf numFmtId="167" fontId="0" fillId="0" borderId="0" xfId="0" applyNumberFormat="1"/>
    <xf numFmtId="2" fontId="0" fillId="0" borderId="0" xfId="0" applyNumberFormat="1"/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166" fontId="23" fillId="33" borderId="0" xfId="42" applyNumberFormat="1" applyFont="1" applyFill="1" applyBorder="1" applyAlignment="1">
      <alignment horizontal="center"/>
    </xf>
    <xf numFmtId="0" fontId="0" fillId="33" borderId="0" xfId="0" applyFill="1"/>
    <xf numFmtId="166" fontId="23" fillId="39" borderId="0" xfId="42" applyNumberFormat="1" applyFont="1" applyFill="1" applyBorder="1" applyAlignment="1">
      <alignment horizontal="center"/>
    </xf>
    <xf numFmtId="0" fontId="0" fillId="39" borderId="0" xfId="0" applyFill="1"/>
    <xf numFmtId="14" fontId="0" fillId="0" borderId="0" xfId="0" applyNumberFormat="1"/>
    <xf numFmtId="0" fontId="22" fillId="33" borderId="0" xfId="42" applyFont="1" applyFill="1" applyBorder="1" applyAlignment="1"/>
    <xf numFmtId="0" fontId="23" fillId="33" borderId="13" xfId="42" applyFont="1" applyFill="1" applyBorder="1" applyAlignment="1"/>
    <xf numFmtId="14" fontId="23" fillId="0" borderId="0" xfId="42" applyNumberFormat="1" applyFont="1" applyFill="1" applyBorder="1" applyAlignment="1"/>
    <xf numFmtId="0" fontId="0" fillId="0" borderId="0" xfId="0" applyAlignment="1"/>
    <xf numFmtId="0" fontId="0" fillId="0" borderId="13" xfId="0" applyBorder="1" applyAlignment="1"/>
    <xf numFmtId="0" fontId="0" fillId="0" borderId="0" xfId="0" applyFill="1" applyBorder="1" applyAlignment="1"/>
    <xf numFmtId="168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40" borderId="0" xfId="0" applyFill="1"/>
    <xf numFmtId="1" fontId="0" fillId="0" borderId="0" xfId="0" applyNumberFormat="1"/>
    <xf numFmtId="0" fontId="24" fillId="0" borderId="0" xfId="42" applyFont="1" applyFill="1" applyAlignment="1">
      <alignment horizontal="center"/>
    </xf>
    <xf numFmtId="2" fontId="23" fillId="0" borderId="0" xfId="42" applyNumberFormat="1" applyFont="1" applyFill="1" applyBorder="1" applyAlignment="1">
      <alignment horizontal="center" vertical="center"/>
    </xf>
    <xf numFmtId="167" fontId="23" fillId="0" borderId="0" xfId="42" applyNumberFormat="1" applyFont="1" applyFill="1" applyBorder="1" applyAlignment="1">
      <alignment horizontal="center" vertical="center"/>
    </xf>
    <xf numFmtId="0" fontId="22" fillId="35" borderId="15" xfId="42" applyFont="1" applyFill="1" applyBorder="1" applyAlignment="1">
      <alignment horizontal="center" wrapText="1"/>
    </xf>
    <xf numFmtId="0" fontId="22" fillId="35" borderId="16" xfId="42" applyFont="1" applyFill="1" applyBorder="1" applyAlignment="1">
      <alignment horizontal="center" wrapText="1"/>
    </xf>
    <xf numFmtId="0" fontId="34" fillId="0" borderId="0" xfId="0" applyFont="1" applyAlignment="1">
      <alignment horizontal="center"/>
    </xf>
    <xf numFmtId="167" fontId="24" fillId="0" borderId="0" xfId="42" applyNumberFormat="1" applyFont="1" applyFill="1" applyBorder="1" applyAlignment="1">
      <alignment horizontal="center"/>
    </xf>
    <xf numFmtId="0" fontId="34" fillId="0" borderId="0" xfId="0" applyFont="1"/>
    <xf numFmtId="167" fontId="35" fillId="41" borderId="0" xfId="42" applyNumberFormat="1" applyFont="1" applyFill="1" applyBorder="1" applyAlignment="1">
      <alignment horizontal="center"/>
    </xf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3" xfId="42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'30.07.18'!$D$3:$D$13</c:f>
              <c:numCache>
                <c:formatCode>0.00</c:formatCode>
                <c:ptCount val="11"/>
                <c:pt idx="0">
                  <c:v>1617.5</c:v>
                </c:pt>
                <c:pt idx="1">
                  <c:v>1445.3</c:v>
                </c:pt>
                <c:pt idx="2">
                  <c:v>1346.5</c:v>
                </c:pt>
                <c:pt idx="3">
                  <c:v>1150.9</c:v>
                </c:pt>
                <c:pt idx="4">
                  <c:v>1046.5</c:v>
                </c:pt>
                <c:pt idx="5">
                  <c:v>847.57</c:v>
                </c:pt>
                <c:pt idx="6">
                  <c:v>696.96</c:v>
                </c:pt>
                <c:pt idx="7">
                  <c:v>472.62</c:v>
                </c:pt>
                <c:pt idx="8">
                  <c:v>381.54</c:v>
                </c:pt>
                <c:pt idx="9" formatCode="General">
                  <c:v>131.87</c:v>
                </c:pt>
                <c:pt idx="10" formatCode="General">
                  <c:v>64.07</c:v>
                </c:pt>
              </c:numCache>
            </c:numRef>
          </c:xVal>
          <c:yVal>
            <c:numRef>
              <c:f>'30.07.18'!$F$3:$F$13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28072"/>
        <c:axId val="-2089660008"/>
      </c:scatterChart>
      <c:valAx>
        <c:axId val="-209292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9660008"/>
        <c:crosses val="autoZero"/>
        <c:crossBetween val="midCat"/>
      </c:valAx>
      <c:valAx>
        <c:axId val="-2089660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928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'13.08.18'!$E$3:$E$13</c:f>
              <c:numCache>
                <c:formatCode>0.00</c:formatCode>
                <c:ptCount val="11"/>
                <c:pt idx="0">
                  <c:v>354.03</c:v>
                </c:pt>
                <c:pt idx="1">
                  <c:v>325.07</c:v>
                </c:pt>
                <c:pt idx="2">
                  <c:v>296.04</c:v>
                </c:pt>
                <c:pt idx="3">
                  <c:v>269.52</c:v>
                </c:pt>
                <c:pt idx="4">
                  <c:v>231.03</c:v>
                </c:pt>
                <c:pt idx="5">
                  <c:v>193.45</c:v>
                </c:pt>
                <c:pt idx="6">
                  <c:v>163.28</c:v>
                </c:pt>
                <c:pt idx="7">
                  <c:v>124.84</c:v>
                </c:pt>
                <c:pt idx="8">
                  <c:v>88.422</c:v>
                </c:pt>
                <c:pt idx="9" formatCode="General">
                  <c:v>33.455</c:v>
                </c:pt>
                <c:pt idx="10" formatCode="General">
                  <c:v>19.198</c:v>
                </c:pt>
              </c:numCache>
            </c:numRef>
          </c:xVal>
          <c:yVal>
            <c:numRef>
              <c:f>'13.08.18'!$F$3:$F$13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93768"/>
        <c:axId val="-2083316648"/>
      </c:scatterChart>
      <c:valAx>
        <c:axId val="-211929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3316648"/>
        <c:crosses val="autoZero"/>
        <c:crossBetween val="midCat"/>
      </c:valAx>
      <c:valAx>
        <c:axId val="-208331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929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'20.08.18'!$D$3:$D$13</c:f>
              <c:numCache>
                <c:formatCode>0.00</c:formatCode>
                <c:ptCount val="11"/>
                <c:pt idx="0">
                  <c:v>1649.0</c:v>
                </c:pt>
                <c:pt idx="1">
                  <c:v>1433.5</c:v>
                </c:pt>
                <c:pt idx="2">
                  <c:v>1312.3</c:v>
                </c:pt>
                <c:pt idx="3">
                  <c:v>1155.8</c:v>
                </c:pt>
                <c:pt idx="4">
                  <c:v>1007.1</c:v>
                </c:pt>
                <c:pt idx="5">
                  <c:v>830.23</c:v>
                </c:pt>
                <c:pt idx="6">
                  <c:v>711.28</c:v>
                </c:pt>
                <c:pt idx="7">
                  <c:v>500.16</c:v>
                </c:pt>
                <c:pt idx="8">
                  <c:v>254.65</c:v>
                </c:pt>
                <c:pt idx="9" formatCode="General">
                  <c:v>129.33</c:v>
                </c:pt>
                <c:pt idx="10" formatCode="General">
                  <c:v>65.045</c:v>
                </c:pt>
              </c:numCache>
            </c:numRef>
          </c:xVal>
          <c:yVal>
            <c:numRef>
              <c:f>'20.08.18'!$F$3:$F$13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04696"/>
        <c:axId val="-2082884328"/>
      </c:scatterChart>
      <c:valAx>
        <c:axId val="-211960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884328"/>
        <c:crosses val="autoZero"/>
        <c:crossBetween val="midCat"/>
      </c:valAx>
      <c:valAx>
        <c:axId val="-2082884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9604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'20.08.18'!$E$3:$E$13</c:f>
              <c:numCache>
                <c:formatCode>0.00</c:formatCode>
                <c:ptCount val="11"/>
                <c:pt idx="0">
                  <c:v>402.37</c:v>
                </c:pt>
                <c:pt idx="1">
                  <c:v>345.67</c:v>
                </c:pt>
                <c:pt idx="2">
                  <c:v>309.63</c:v>
                </c:pt>
                <c:pt idx="3">
                  <c:v>282.03</c:v>
                </c:pt>
                <c:pt idx="4">
                  <c:v>252.59</c:v>
                </c:pt>
                <c:pt idx="5">
                  <c:v>201.23</c:v>
                </c:pt>
                <c:pt idx="6">
                  <c:v>177.42</c:v>
                </c:pt>
                <c:pt idx="7">
                  <c:v>123.1</c:v>
                </c:pt>
                <c:pt idx="8">
                  <c:v>63.069</c:v>
                </c:pt>
                <c:pt idx="9" formatCode="General">
                  <c:v>38.058</c:v>
                </c:pt>
                <c:pt idx="10" formatCode="General">
                  <c:v>20.077</c:v>
                </c:pt>
              </c:numCache>
            </c:numRef>
          </c:xVal>
          <c:yVal>
            <c:numRef>
              <c:f>'20.08.18'!$F$3:$F$13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24648"/>
        <c:axId val="2097430104"/>
      </c:scatterChart>
      <c:valAx>
        <c:axId val="209742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7430104"/>
        <c:crosses val="autoZero"/>
        <c:crossBetween val="midCat"/>
      </c:valAx>
      <c:valAx>
        <c:axId val="209743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742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'24.08.18'!$D$3:$D$13</c:f>
              <c:numCache>
                <c:formatCode>0.00</c:formatCode>
                <c:ptCount val="11"/>
                <c:pt idx="0">
                  <c:v>1614.4</c:v>
                </c:pt>
                <c:pt idx="1">
                  <c:v>1421.0</c:v>
                </c:pt>
                <c:pt idx="2">
                  <c:v>1315.2</c:v>
                </c:pt>
                <c:pt idx="3">
                  <c:v>1157.1</c:v>
                </c:pt>
                <c:pt idx="4">
                  <c:v>1050.1</c:v>
                </c:pt>
                <c:pt idx="5">
                  <c:v>827.66</c:v>
                </c:pt>
                <c:pt idx="6">
                  <c:v>696.62</c:v>
                </c:pt>
                <c:pt idx="7">
                  <c:v>504.98</c:v>
                </c:pt>
                <c:pt idx="8">
                  <c:v>360.33</c:v>
                </c:pt>
                <c:pt idx="9" formatCode="General">
                  <c:v>149.6</c:v>
                </c:pt>
                <c:pt idx="10" formatCode="General">
                  <c:v>70.907</c:v>
                </c:pt>
              </c:numCache>
            </c:numRef>
          </c:xVal>
          <c:yVal>
            <c:numRef>
              <c:f>'24.08.18'!$F$3:$F$13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02584"/>
        <c:axId val="-2092872472"/>
      </c:scatterChart>
      <c:valAx>
        <c:axId val="-208480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872472"/>
        <c:crosses val="autoZero"/>
        <c:crossBetween val="midCat"/>
      </c:valAx>
      <c:valAx>
        <c:axId val="-209287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4802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'24.08.18'!$E$3:$E$13</c:f>
              <c:numCache>
                <c:formatCode>0.00</c:formatCode>
                <c:ptCount val="11"/>
                <c:pt idx="0">
                  <c:v>372.16</c:v>
                </c:pt>
                <c:pt idx="1">
                  <c:v>338.12</c:v>
                </c:pt>
                <c:pt idx="2">
                  <c:v>318.8</c:v>
                </c:pt>
                <c:pt idx="3">
                  <c:v>276.1</c:v>
                </c:pt>
                <c:pt idx="4">
                  <c:v>246.74</c:v>
                </c:pt>
                <c:pt idx="5">
                  <c:v>205.93</c:v>
                </c:pt>
                <c:pt idx="6">
                  <c:v>176.04</c:v>
                </c:pt>
                <c:pt idx="7">
                  <c:v>129.21</c:v>
                </c:pt>
                <c:pt idx="8">
                  <c:v>90.996</c:v>
                </c:pt>
                <c:pt idx="9" formatCode="General">
                  <c:v>39.541</c:v>
                </c:pt>
                <c:pt idx="10" formatCode="General">
                  <c:v>19.515</c:v>
                </c:pt>
              </c:numCache>
            </c:numRef>
          </c:xVal>
          <c:yVal>
            <c:numRef>
              <c:f>'24.08.18'!$F$3:$F$13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22984"/>
        <c:axId val="-2069794184"/>
      </c:scatterChart>
      <c:valAx>
        <c:axId val="-208882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9794184"/>
        <c:crosses val="autoZero"/>
        <c:crossBetween val="midCat"/>
      </c:valAx>
      <c:valAx>
        <c:axId val="-2069794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882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'27.08.18'!$D$3:$D$13</c:f>
              <c:numCache>
                <c:formatCode>0.00</c:formatCode>
                <c:ptCount val="11"/>
                <c:pt idx="0">
                  <c:v>1622.8</c:v>
                </c:pt>
                <c:pt idx="1">
                  <c:v>1396.4</c:v>
                </c:pt>
                <c:pt idx="2">
                  <c:v>1290.2</c:v>
                </c:pt>
                <c:pt idx="3">
                  <c:v>1128.5</c:v>
                </c:pt>
                <c:pt idx="4">
                  <c:v>1024.9</c:v>
                </c:pt>
                <c:pt idx="5">
                  <c:v>826.72</c:v>
                </c:pt>
                <c:pt idx="6">
                  <c:v>650.92</c:v>
                </c:pt>
                <c:pt idx="7">
                  <c:v>485.54</c:v>
                </c:pt>
                <c:pt idx="8">
                  <c:v>323.02</c:v>
                </c:pt>
                <c:pt idx="9" formatCode="General">
                  <c:v>119.84</c:v>
                </c:pt>
                <c:pt idx="10" formatCode="General">
                  <c:v>61.75</c:v>
                </c:pt>
              </c:numCache>
            </c:numRef>
          </c:xVal>
          <c:yVal>
            <c:numRef>
              <c:f>'27.08.18'!$F$3:$F$13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48440"/>
        <c:axId val="-2089634120"/>
      </c:scatterChart>
      <c:valAx>
        <c:axId val="-209284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9634120"/>
        <c:crosses val="autoZero"/>
        <c:crossBetween val="midCat"/>
      </c:valAx>
      <c:valAx>
        <c:axId val="-2089634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84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'27.08.18'!$E$3:$E$13</c:f>
              <c:numCache>
                <c:formatCode>0.00</c:formatCode>
                <c:ptCount val="11"/>
                <c:pt idx="0">
                  <c:v>373.33</c:v>
                </c:pt>
                <c:pt idx="1">
                  <c:v>325.75</c:v>
                </c:pt>
                <c:pt idx="2">
                  <c:v>292.92</c:v>
                </c:pt>
                <c:pt idx="3">
                  <c:v>260.46</c:v>
                </c:pt>
                <c:pt idx="4">
                  <c:v>242.44</c:v>
                </c:pt>
                <c:pt idx="5">
                  <c:v>195.5</c:v>
                </c:pt>
                <c:pt idx="6">
                  <c:v>165.27</c:v>
                </c:pt>
                <c:pt idx="7">
                  <c:v>114.85</c:v>
                </c:pt>
                <c:pt idx="8">
                  <c:v>85.851</c:v>
                </c:pt>
                <c:pt idx="9" formatCode="General">
                  <c:v>31.286</c:v>
                </c:pt>
                <c:pt idx="10" formatCode="General">
                  <c:v>18.688</c:v>
                </c:pt>
              </c:numCache>
            </c:numRef>
          </c:xVal>
          <c:yVal>
            <c:numRef>
              <c:f>'27.08.18'!$F$3:$F$13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828216"/>
        <c:axId val="-2085300440"/>
      </c:scatterChart>
      <c:valAx>
        <c:axId val="-208882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5300440"/>
        <c:crosses val="autoZero"/>
        <c:crossBetween val="midCat"/>
      </c:valAx>
      <c:valAx>
        <c:axId val="-208530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8828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'03.09.18'!$D$3:$D$13</c:f>
              <c:numCache>
                <c:formatCode>0.00</c:formatCode>
                <c:ptCount val="11"/>
                <c:pt idx="0">
                  <c:v>1593.5</c:v>
                </c:pt>
                <c:pt idx="1">
                  <c:v>1444.6</c:v>
                </c:pt>
                <c:pt idx="2">
                  <c:v>1312.3</c:v>
                </c:pt>
                <c:pt idx="3">
                  <c:v>1139.3</c:v>
                </c:pt>
                <c:pt idx="4">
                  <c:v>975.64</c:v>
                </c:pt>
                <c:pt idx="5">
                  <c:v>817.39</c:v>
                </c:pt>
                <c:pt idx="6">
                  <c:v>701.66</c:v>
                </c:pt>
                <c:pt idx="7">
                  <c:v>481.87</c:v>
                </c:pt>
                <c:pt idx="8">
                  <c:v>337.99</c:v>
                </c:pt>
                <c:pt idx="9" formatCode="General">
                  <c:v>135.51</c:v>
                </c:pt>
                <c:pt idx="10" formatCode="General">
                  <c:v>60.316</c:v>
                </c:pt>
              </c:numCache>
            </c:numRef>
          </c:xVal>
          <c:yVal>
            <c:numRef>
              <c:f>'03.09.18'!$F$3:$F$13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24648"/>
        <c:axId val="-2092817672"/>
      </c:scatterChart>
      <c:valAx>
        <c:axId val="-209482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817672"/>
        <c:crosses val="autoZero"/>
        <c:crossBetween val="midCat"/>
      </c:valAx>
      <c:valAx>
        <c:axId val="-209281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482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strRef>
              <c:f>'03.09.18'!$E$3:$E$13</c:f>
              <c:strCache>
                <c:ptCount val="11"/>
                <c:pt idx="0">
                  <c:v>368.54</c:v>
                </c:pt>
                <c:pt idx="1">
                  <c:v>321.00</c:v>
                </c:pt>
                <c:pt idx="2">
                  <c:v>,05,07</c:v>
                </c:pt>
                <c:pt idx="3">
                  <c:v>258.79</c:v>
                </c:pt>
                <c:pt idx="4">
                  <c:v>212.71</c:v>
                </c:pt>
                <c:pt idx="5">
                  <c:v>192.77</c:v>
                </c:pt>
                <c:pt idx="6">
                  <c:v>178.32</c:v>
                </c:pt>
                <c:pt idx="7">
                  <c:v>116.94</c:v>
                </c:pt>
                <c:pt idx="8">
                  <c:v>83.62</c:v>
                </c:pt>
                <c:pt idx="9">
                  <c:v>35.329</c:v>
                </c:pt>
                <c:pt idx="10">
                  <c:v>19.426</c:v>
                </c:pt>
              </c:strCache>
            </c:strRef>
          </c:xVal>
          <c:yVal>
            <c:numRef>
              <c:f>'03.09.18'!$F$3:$F$13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85288"/>
        <c:axId val="-2069185032"/>
      </c:scatterChart>
      <c:valAx>
        <c:axId val="-208468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69185032"/>
        <c:crosses val="autoZero"/>
        <c:crossBetween val="midCat"/>
      </c:valAx>
      <c:valAx>
        <c:axId val="-2069185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468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CO2_Summary!$B$3:$D$3</c:f>
              <c:numCache>
                <c:formatCode>0.0</c:formatCode>
                <c:ptCount val="3"/>
                <c:pt idx="0">
                  <c:v>14.75912082054334</c:v>
                </c:pt>
                <c:pt idx="1">
                  <c:v>24.74829145487263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CO2_Summary!$B$4:$D$4</c:f>
              <c:numCache>
                <c:formatCode>0.0</c:formatCode>
                <c:ptCount val="3"/>
                <c:pt idx="0">
                  <c:v>14.55944243428472</c:v>
                </c:pt>
                <c:pt idx="1">
                  <c:v>24.6346427842097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CO2_Summary!$B$5:$D$5</c:f>
              <c:numCache>
                <c:formatCode>0.0</c:formatCode>
                <c:ptCount val="3"/>
                <c:pt idx="0">
                  <c:v>15.30248727438215</c:v>
                </c:pt>
                <c:pt idx="1">
                  <c:v>26.46325913744746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CO2_Summary!$B$6:$H$6</c:f>
              <c:numCache>
                <c:formatCode>0.0</c:formatCode>
                <c:ptCount val="7"/>
                <c:pt idx="0">
                  <c:v>1.491646831600919</c:v>
                </c:pt>
                <c:pt idx="1">
                  <c:v>3.323050162442318</c:v>
                </c:pt>
                <c:pt idx="2">
                  <c:v>7.235211376450363</c:v>
                </c:pt>
                <c:pt idx="3">
                  <c:v>10.24185705358637</c:v>
                </c:pt>
                <c:pt idx="4">
                  <c:v>10.05999488099499</c:v>
                </c:pt>
                <c:pt idx="5">
                  <c:v>12.63780937641456</c:v>
                </c:pt>
                <c:pt idx="6">
                  <c:v>13.77626670240617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CO2_Summary!$B$7:$H$7</c:f>
              <c:numCache>
                <c:formatCode>0.0</c:formatCode>
                <c:ptCount val="7"/>
                <c:pt idx="0">
                  <c:v>1.4523582016071</c:v>
                </c:pt>
                <c:pt idx="1">
                  <c:v>3.107967546606138</c:v>
                </c:pt>
                <c:pt idx="2">
                  <c:v>7.301531778700447</c:v>
                </c:pt>
                <c:pt idx="3">
                  <c:v>9.945703781480617</c:v>
                </c:pt>
                <c:pt idx="4">
                  <c:v>11.28776305249821</c:v>
                </c:pt>
                <c:pt idx="5">
                  <c:v>13.06504638792583</c:v>
                </c:pt>
                <c:pt idx="6">
                  <c:v>13.78609674440759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CO2_Summary!$B$2:$H$2</c:f>
              <c:numCache>
                <c:formatCode>m/d/yy</c:formatCode>
                <c:ptCount val="7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  <c:pt idx="6">
                  <c:v>43339.0</c:v>
                </c:pt>
              </c:numCache>
            </c:numRef>
          </c:xVal>
          <c:yVal>
            <c:numRef>
              <c:f>CO2_Summary!$B$8:$H$8</c:f>
              <c:numCache>
                <c:formatCode>0.0</c:formatCode>
                <c:ptCount val="7"/>
                <c:pt idx="0">
                  <c:v>1.398047774342037</c:v>
                </c:pt>
                <c:pt idx="1">
                  <c:v>3.269521825655433</c:v>
                </c:pt>
                <c:pt idx="2">
                  <c:v>7.207625847162013</c:v>
                </c:pt>
                <c:pt idx="3">
                  <c:v>10.15365703866234</c:v>
                </c:pt>
                <c:pt idx="4">
                  <c:v>10.14699249918585</c:v>
                </c:pt>
                <c:pt idx="5">
                  <c:v>11.75572398588394</c:v>
                </c:pt>
                <c:pt idx="6">
                  <c:v>11.45036848860257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CO2_Summary!$B$9:$D$9</c:f>
              <c:numCache>
                <c:formatCode>0.0</c:formatCode>
                <c:ptCount val="3"/>
                <c:pt idx="0">
                  <c:v>26.60948925645635</c:v>
                </c:pt>
                <c:pt idx="1">
                  <c:v>39.84736041497766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CO2_Summary!$B$10:$D$10</c:f>
              <c:numCache>
                <c:formatCode>0.0</c:formatCode>
                <c:ptCount val="3"/>
                <c:pt idx="0">
                  <c:v>25.42986802089525</c:v>
                </c:pt>
                <c:pt idx="1">
                  <c:v>42.62171606937548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CO2_Summary!$B$11:$D$11</c:f>
              <c:numCache>
                <c:formatCode>0.0</c:formatCode>
                <c:ptCount val="3"/>
                <c:pt idx="0">
                  <c:v>26.56852324261309</c:v>
                </c:pt>
                <c:pt idx="1">
                  <c:v>44.45658711221156</c:v>
                </c:pt>
              </c:numCache>
            </c:numRef>
          </c:yVal>
          <c:smooth val="0"/>
        </c:ser>
        <c:ser>
          <c:idx val="9"/>
          <c:order val="9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CO2_Summary!$B$12:$G$12</c:f>
              <c:numCache>
                <c:formatCode>0.0</c:formatCode>
                <c:ptCount val="6"/>
                <c:pt idx="0">
                  <c:v>3.350278294243607</c:v>
                </c:pt>
                <c:pt idx="1">
                  <c:v>7.949708155453827</c:v>
                </c:pt>
                <c:pt idx="2">
                  <c:v>12.90230060554314</c:v>
                </c:pt>
                <c:pt idx="3">
                  <c:v>18.03631975767368</c:v>
                </c:pt>
                <c:pt idx="4">
                  <c:v>20.6410580062308</c:v>
                </c:pt>
              </c:numCache>
            </c:numRef>
          </c:yVal>
          <c:smooth val="0"/>
        </c:ser>
        <c:ser>
          <c:idx val="10"/>
          <c:order val="10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CO2_Summary!$B$13:$G$13</c:f>
              <c:numCache>
                <c:formatCode>0.0</c:formatCode>
                <c:ptCount val="6"/>
                <c:pt idx="0">
                  <c:v>3.050754382710935</c:v>
                </c:pt>
                <c:pt idx="1">
                  <c:v>8.01948419384845</c:v>
                </c:pt>
                <c:pt idx="2">
                  <c:v>13.43583037011988</c:v>
                </c:pt>
                <c:pt idx="3">
                  <c:v>17.78549351938387</c:v>
                </c:pt>
                <c:pt idx="4">
                  <c:v>20.85361946558946</c:v>
                </c:pt>
              </c:numCache>
            </c:numRef>
          </c:yVal>
          <c:smooth val="0"/>
        </c:ser>
        <c:ser>
          <c:idx val="11"/>
          <c:order val="11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CO2_Summary!$B$14:$G$14</c:f>
              <c:numCache>
                <c:formatCode>0.0</c:formatCode>
                <c:ptCount val="6"/>
                <c:pt idx="0">
                  <c:v>3.063838853388714</c:v>
                </c:pt>
                <c:pt idx="1">
                  <c:v>8.245937775551963</c:v>
                </c:pt>
                <c:pt idx="2">
                  <c:v>13.09373811689537</c:v>
                </c:pt>
                <c:pt idx="3">
                  <c:v>18.91371925817441</c:v>
                </c:pt>
                <c:pt idx="4">
                  <c:v>15.21154674012911</c:v>
                </c:pt>
              </c:numCache>
            </c:numRef>
          </c:yVal>
          <c:smooth val="0"/>
        </c:ser>
        <c:ser>
          <c:idx val="12"/>
          <c:order val="12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CO2_Summary!$B$15:$D$15</c:f>
              <c:numCache>
                <c:formatCode>0.0</c:formatCode>
                <c:ptCount val="3"/>
                <c:pt idx="0">
                  <c:v>26.85719628954603</c:v>
                </c:pt>
                <c:pt idx="1">
                  <c:v>68.28138864779163</c:v>
                </c:pt>
              </c:numCache>
            </c:numRef>
          </c:yVal>
          <c:smooth val="0"/>
        </c:ser>
        <c:ser>
          <c:idx val="13"/>
          <c:order val="13"/>
          <c:xVal>
            <c:numRef>
              <c:f>CO2_Summary!$B$2:$G$2</c:f>
              <c:numCache>
                <c:formatCode>m/d/yy</c:formatCode>
                <c:ptCount val="6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  <c:pt idx="3">
                  <c:v>43325.0</c:v>
                </c:pt>
                <c:pt idx="4">
                  <c:v>43332.0</c:v>
                </c:pt>
                <c:pt idx="5">
                  <c:v>43336.0</c:v>
                </c:pt>
              </c:numCache>
            </c:numRef>
          </c:xVal>
          <c:yVal>
            <c:numRef>
              <c:f>CO2_Summary!$B$16:$G$16</c:f>
              <c:numCache>
                <c:formatCode>0.0</c:formatCode>
                <c:ptCount val="6"/>
                <c:pt idx="0">
                  <c:v>1.764211121428186</c:v>
                </c:pt>
                <c:pt idx="1">
                  <c:v>5.73919187579454</c:v>
                </c:pt>
                <c:pt idx="2">
                  <c:v>12.79401891977403</c:v>
                </c:pt>
                <c:pt idx="3">
                  <c:v>21.72127094613278</c:v>
                </c:pt>
                <c:pt idx="4">
                  <c:v>26.32379852622483</c:v>
                </c:pt>
              </c:numCache>
            </c:numRef>
          </c:yVal>
          <c:smooth val="0"/>
        </c:ser>
        <c:ser>
          <c:idx val="14"/>
          <c:order val="14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CO2_Summary!$B$17:$D$17</c:f>
              <c:numCache>
                <c:formatCode>0.0</c:formatCode>
                <c:ptCount val="3"/>
                <c:pt idx="0">
                  <c:v>3.978315469861359</c:v>
                </c:pt>
                <c:pt idx="1">
                  <c:v>43.66639217751296</c:v>
                </c:pt>
              </c:numCache>
            </c:numRef>
          </c:yVal>
          <c:smooth val="0"/>
        </c:ser>
        <c:ser>
          <c:idx val="15"/>
          <c:order val="15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CO2_Summary!$B$18:$D$18</c:f>
              <c:numCache>
                <c:formatCode>0.0</c:formatCode>
                <c:ptCount val="3"/>
                <c:pt idx="0">
                  <c:v>10.53660860037684</c:v>
                </c:pt>
                <c:pt idx="1">
                  <c:v>61.66354683392344</c:v>
                </c:pt>
              </c:numCache>
            </c:numRef>
          </c:yVal>
          <c:smooth val="0"/>
        </c:ser>
        <c:ser>
          <c:idx val="16"/>
          <c:order val="16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CO2_Summary!$B$19:$D$19</c:f>
              <c:numCache>
                <c:formatCode>0.0</c:formatCode>
                <c:ptCount val="3"/>
                <c:pt idx="0">
                  <c:v>2.699716179420121</c:v>
                </c:pt>
                <c:pt idx="1">
                  <c:v>13.40290930245901</c:v>
                </c:pt>
                <c:pt idx="2">
                  <c:v>70.77631948971</c:v>
                </c:pt>
              </c:numCache>
            </c:numRef>
          </c:yVal>
          <c:smooth val="0"/>
        </c:ser>
        <c:ser>
          <c:idx val="17"/>
          <c:order val="17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CO2_Summary!$B$20:$D$20</c:f>
              <c:numCache>
                <c:formatCode>0.0</c:formatCode>
                <c:ptCount val="3"/>
                <c:pt idx="0">
                  <c:v>3.24004196526535</c:v>
                </c:pt>
                <c:pt idx="1">
                  <c:v>49.73574448889232</c:v>
                </c:pt>
              </c:numCache>
            </c:numRef>
          </c:yVal>
          <c:smooth val="0"/>
        </c:ser>
        <c:ser>
          <c:idx val="18"/>
          <c:order val="18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CO2_Summary!$B$21:$D$21</c:f>
              <c:numCache>
                <c:formatCode>0.0</c:formatCode>
                <c:ptCount val="3"/>
                <c:pt idx="0">
                  <c:v>2.593820422777135</c:v>
                </c:pt>
                <c:pt idx="1">
                  <c:v>21.39410856524993</c:v>
                </c:pt>
              </c:numCache>
            </c:numRef>
          </c:yVal>
          <c:smooth val="0"/>
        </c:ser>
        <c:ser>
          <c:idx val="19"/>
          <c:order val="19"/>
          <c:xVal>
            <c:numRef>
              <c:f>CO2_Summary!$B$2:$D$2</c:f>
              <c:numCache>
                <c:formatCode>m/d/yy</c:formatCode>
                <c:ptCount val="3"/>
                <c:pt idx="0">
                  <c:v>43311.0</c:v>
                </c:pt>
                <c:pt idx="1">
                  <c:v>43314.0</c:v>
                </c:pt>
                <c:pt idx="2">
                  <c:v>43318.0</c:v>
                </c:pt>
              </c:numCache>
            </c:numRef>
          </c:xVal>
          <c:yVal>
            <c:numRef>
              <c:f>CO2_Summary!$B$22:$D$22</c:f>
              <c:numCache>
                <c:formatCode>0.0</c:formatCode>
                <c:ptCount val="3"/>
                <c:pt idx="0">
                  <c:v>7.918660107236526</c:v>
                </c:pt>
                <c:pt idx="1">
                  <c:v>61.83128184634215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52248"/>
        <c:axId val="-2084871240"/>
      </c:scatterChart>
      <c:valAx>
        <c:axId val="-206965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-2084871240"/>
        <c:crosses val="autoZero"/>
        <c:crossBetween val="midCat"/>
      </c:valAx>
      <c:valAx>
        <c:axId val="-20848712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69652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'30.07.18'!$E$3:$E$13</c:f>
              <c:numCache>
                <c:formatCode>0.00</c:formatCode>
                <c:ptCount val="11"/>
                <c:pt idx="0">
                  <c:v>351.74</c:v>
                </c:pt>
                <c:pt idx="1">
                  <c:v>339.64</c:v>
                </c:pt>
                <c:pt idx="2">
                  <c:v>304.23</c:v>
                </c:pt>
                <c:pt idx="3">
                  <c:v>260.99</c:v>
                </c:pt>
                <c:pt idx="4">
                  <c:v>233.14</c:v>
                </c:pt>
                <c:pt idx="5">
                  <c:v>189.03</c:v>
                </c:pt>
                <c:pt idx="6">
                  <c:v>169.18</c:v>
                </c:pt>
                <c:pt idx="7">
                  <c:v>115.08</c:v>
                </c:pt>
                <c:pt idx="8">
                  <c:v>92.905</c:v>
                </c:pt>
                <c:pt idx="9" formatCode="General">
                  <c:v>35.519</c:v>
                </c:pt>
                <c:pt idx="10" formatCode="General">
                  <c:v>20.357</c:v>
                </c:pt>
              </c:numCache>
            </c:numRef>
          </c:xVal>
          <c:yVal>
            <c:numRef>
              <c:f>'30.07.18'!$F$3:$F$13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18856"/>
        <c:axId val="-2092928792"/>
      </c:scatterChart>
      <c:valAx>
        <c:axId val="-213671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2928792"/>
        <c:crosses val="autoZero"/>
        <c:crossBetween val="midCat"/>
      </c:valAx>
      <c:valAx>
        <c:axId val="-209292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6718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'02.08.18'!$D$3:$D$13</c:f>
              <c:numCache>
                <c:formatCode>0.00</c:formatCode>
                <c:ptCount val="11"/>
                <c:pt idx="0">
                  <c:v>1672.3</c:v>
                </c:pt>
                <c:pt idx="1">
                  <c:v>1481.7</c:v>
                </c:pt>
                <c:pt idx="2">
                  <c:v>1344.4</c:v>
                </c:pt>
                <c:pt idx="3">
                  <c:v>1165.4</c:v>
                </c:pt>
                <c:pt idx="4">
                  <c:v>1041.8</c:v>
                </c:pt>
                <c:pt idx="5">
                  <c:v>851.8</c:v>
                </c:pt>
                <c:pt idx="6">
                  <c:v>684.38</c:v>
                </c:pt>
                <c:pt idx="7">
                  <c:v>508.03</c:v>
                </c:pt>
                <c:pt idx="8">
                  <c:v>372.35</c:v>
                </c:pt>
                <c:pt idx="9" formatCode="General">
                  <c:v>134.65</c:v>
                </c:pt>
                <c:pt idx="10" formatCode="General">
                  <c:v>70.087</c:v>
                </c:pt>
              </c:numCache>
            </c:numRef>
          </c:xVal>
          <c:yVal>
            <c:numRef>
              <c:f>'02.08.18'!$F$3:$F$13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80440"/>
        <c:axId val="-2083283288"/>
      </c:scatterChart>
      <c:valAx>
        <c:axId val="-208348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3283288"/>
        <c:crosses val="autoZero"/>
        <c:crossBetween val="midCat"/>
      </c:valAx>
      <c:valAx>
        <c:axId val="-208328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3480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'02.08.18'!$E$3:$E$13</c:f>
              <c:numCache>
                <c:formatCode>0.00</c:formatCode>
                <c:ptCount val="11"/>
                <c:pt idx="0">
                  <c:v>413.59</c:v>
                </c:pt>
                <c:pt idx="1">
                  <c:v>344.46</c:v>
                </c:pt>
                <c:pt idx="2">
                  <c:v>321.94</c:v>
                </c:pt>
                <c:pt idx="3">
                  <c:v>279.78</c:v>
                </c:pt>
                <c:pt idx="4">
                  <c:v>245.98</c:v>
                </c:pt>
                <c:pt idx="5">
                  <c:v>220.69</c:v>
                </c:pt>
                <c:pt idx="6">
                  <c:v>177.23</c:v>
                </c:pt>
                <c:pt idx="7">
                  <c:v>126.78</c:v>
                </c:pt>
                <c:pt idx="8">
                  <c:v>98.191</c:v>
                </c:pt>
                <c:pt idx="9" formatCode="General">
                  <c:v>38.578</c:v>
                </c:pt>
                <c:pt idx="10" formatCode="General">
                  <c:v>22.059</c:v>
                </c:pt>
              </c:numCache>
            </c:numRef>
          </c:xVal>
          <c:yVal>
            <c:numRef>
              <c:f>'02.08.18'!$F$3:$F$13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524904"/>
        <c:axId val="-2135506216"/>
      </c:scatterChart>
      <c:valAx>
        <c:axId val="-208252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5506216"/>
        <c:crosses val="autoZero"/>
        <c:crossBetween val="midCat"/>
      </c:valAx>
      <c:valAx>
        <c:axId val="-213550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524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'06.08.18'!$D$3:$D$13</c:f>
              <c:numCache>
                <c:formatCode>0.00</c:formatCode>
                <c:ptCount val="11"/>
                <c:pt idx="0">
                  <c:v>1675.0</c:v>
                </c:pt>
                <c:pt idx="1">
                  <c:v>1490.1</c:v>
                </c:pt>
                <c:pt idx="2">
                  <c:v>1368.8</c:v>
                </c:pt>
                <c:pt idx="3">
                  <c:v>1184.8</c:v>
                </c:pt>
                <c:pt idx="4">
                  <c:v>1053.4</c:v>
                </c:pt>
                <c:pt idx="5">
                  <c:v>859.8099999999999</c:v>
                </c:pt>
                <c:pt idx="6">
                  <c:v>714.4</c:v>
                </c:pt>
                <c:pt idx="7">
                  <c:v>516.16</c:v>
                </c:pt>
                <c:pt idx="8">
                  <c:v>348.2</c:v>
                </c:pt>
                <c:pt idx="9" formatCode="General">
                  <c:v>150.68</c:v>
                </c:pt>
                <c:pt idx="10" formatCode="General">
                  <c:v>69.012</c:v>
                </c:pt>
              </c:numCache>
            </c:numRef>
          </c:xVal>
          <c:yVal>
            <c:numRef>
              <c:f>'06.08.18'!$F$3:$F$13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06328"/>
        <c:axId val="-2119985736"/>
      </c:scatterChart>
      <c:valAx>
        <c:axId val="-209000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9985736"/>
        <c:crosses val="autoZero"/>
        <c:crossBetween val="midCat"/>
      </c:valAx>
      <c:valAx>
        <c:axId val="-211998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0006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'06.08.18'!$E$3:$E$13</c:f>
              <c:numCache>
                <c:formatCode>0.00</c:formatCode>
                <c:ptCount val="11"/>
                <c:pt idx="0">
                  <c:v>391.51</c:v>
                </c:pt>
                <c:pt idx="1">
                  <c:v>362.39</c:v>
                </c:pt>
                <c:pt idx="2">
                  <c:v>322.7</c:v>
                </c:pt>
                <c:pt idx="3">
                  <c:v>283.6</c:v>
                </c:pt>
                <c:pt idx="4">
                  <c:v>256.16</c:v>
                </c:pt>
                <c:pt idx="5">
                  <c:v>205.34</c:v>
                </c:pt>
                <c:pt idx="6">
                  <c:v>171.24</c:v>
                </c:pt>
                <c:pt idx="7">
                  <c:v>132.07</c:v>
                </c:pt>
                <c:pt idx="8">
                  <c:v>94.94</c:v>
                </c:pt>
                <c:pt idx="9" formatCode="General">
                  <c:v>41.268</c:v>
                </c:pt>
                <c:pt idx="10" formatCode="General">
                  <c:v>22.614</c:v>
                </c:pt>
              </c:numCache>
            </c:numRef>
          </c:xVal>
          <c:yVal>
            <c:numRef>
              <c:f>'06.08.18'!$F$3:$F$13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63144"/>
        <c:axId val="-2083217464"/>
      </c:scatterChart>
      <c:valAx>
        <c:axId val="-208296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3217464"/>
        <c:crosses val="autoZero"/>
        <c:crossBetween val="midCat"/>
      </c:valAx>
      <c:valAx>
        <c:axId val="-208321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963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'09.08.18'!$D$3:$D$13</c:f>
              <c:numCache>
                <c:formatCode>0.00</c:formatCode>
                <c:ptCount val="11"/>
                <c:pt idx="0">
                  <c:v>1569.2</c:v>
                </c:pt>
                <c:pt idx="1">
                  <c:v>1333.4</c:v>
                </c:pt>
                <c:pt idx="2">
                  <c:v>1271.8</c:v>
                </c:pt>
                <c:pt idx="3">
                  <c:v>1014.8</c:v>
                </c:pt>
                <c:pt idx="4">
                  <c:v>915.91</c:v>
                </c:pt>
                <c:pt idx="5">
                  <c:v>772.39</c:v>
                </c:pt>
                <c:pt idx="6">
                  <c:v>651.5</c:v>
                </c:pt>
                <c:pt idx="7">
                  <c:v>417.83</c:v>
                </c:pt>
                <c:pt idx="8">
                  <c:v>231.67</c:v>
                </c:pt>
                <c:pt idx="9" formatCode="General">
                  <c:v>121.09</c:v>
                </c:pt>
                <c:pt idx="10" formatCode="General">
                  <c:v>62.399</c:v>
                </c:pt>
              </c:numCache>
            </c:numRef>
          </c:xVal>
          <c:yVal>
            <c:numRef>
              <c:f>'09.08.18'!$F$3:$F$13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054712"/>
        <c:axId val="-2090146600"/>
      </c:scatterChart>
      <c:valAx>
        <c:axId val="-208305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0146600"/>
        <c:crosses val="autoZero"/>
        <c:crossBetween val="midCat"/>
      </c:valAx>
      <c:valAx>
        <c:axId val="-209014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305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5"/>
                </c:manualLayout>
              </c:layout>
              <c:numFmt formatCode="General" sourceLinked="0"/>
            </c:trendlineLbl>
          </c:trendline>
          <c:xVal>
            <c:numRef>
              <c:f>'09.08.18'!$E$3:$E$13</c:f>
              <c:numCache>
                <c:formatCode>0.00</c:formatCode>
                <c:ptCount val="11"/>
                <c:pt idx="0">
                  <c:v>398.84</c:v>
                </c:pt>
                <c:pt idx="1">
                  <c:v>366.67</c:v>
                </c:pt>
                <c:pt idx="2">
                  <c:v>322.6</c:v>
                </c:pt>
                <c:pt idx="3">
                  <c:v>258.01</c:v>
                </c:pt>
                <c:pt idx="4">
                  <c:v>237.86</c:v>
                </c:pt>
                <c:pt idx="5">
                  <c:v>210.75</c:v>
                </c:pt>
                <c:pt idx="6">
                  <c:v>174.86</c:v>
                </c:pt>
                <c:pt idx="7">
                  <c:v>111.19</c:v>
                </c:pt>
                <c:pt idx="8">
                  <c:v>64.687</c:v>
                </c:pt>
                <c:pt idx="9" formatCode="General">
                  <c:v>34.875</c:v>
                </c:pt>
                <c:pt idx="10" formatCode="General">
                  <c:v>20.647</c:v>
                </c:pt>
              </c:numCache>
            </c:numRef>
          </c:xVal>
          <c:yVal>
            <c:numRef>
              <c:f>'09.08.18'!$F$3:$F$13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44808"/>
        <c:axId val="-2083516712"/>
      </c:scatterChart>
      <c:valAx>
        <c:axId val="-208284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3516712"/>
        <c:crosses val="autoZero"/>
        <c:crossBetween val="midCat"/>
      </c:valAx>
      <c:valAx>
        <c:axId val="-208351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84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'13.08.18'!$D$3:$D$13</c:f>
              <c:numCache>
                <c:formatCode>0.00</c:formatCode>
                <c:ptCount val="11"/>
                <c:pt idx="0">
                  <c:v>1622.1</c:v>
                </c:pt>
                <c:pt idx="1">
                  <c:v>1448.6</c:v>
                </c:pt>
                <c:pt idx="2">
                  <c:v>1335.6</c:v>
                </c:pt>
                <c:pt idx="3">
                  <c:v>1134.4</c:v>
                </c:pt>
                <c:pt idx="4">
                  <c:v>1009.3</c:v>
                </c:pt>
                <c:pt idx="5">
                  <c:v>834.29</c:v>
                </c:pt>
                <c:pt idx="6">
                  <c:v>706.75</c:v>
                </c:pt>
                <c:pt idx="7">
                  <c:v>507.72</c:v>
                </c:pt>
                <c:pt idx="8">
                  <c:v>347.75</c:v>
                </c:pt>
                <c:pt idx="9" formatCode="General">
                  <c:v>129.61</c:v>
                </c:pt>
                <c:pt idx="10" formatCode="General">
                  <c:v>60.763</c:v>
                </c:pt>
              </c:numCache>
            </c:numRef>
          </c:xVal>
          <c:yVal>
            <c:numRef>
              <c:f>'13.08.18'!$F$3:$F$13</c:f>
              <c:numCache>
                <c:formatCode>0.00000</c:formatCode>
                <c:ptCount val="11"/>
                <c:pt idx="0">
                  <c:v>15.075</c:v>
                </c:pt>
                <c:pt idx="1">
                  <c:v>13.266</c:v>
                </c:pt>
                <c:pt idx="2">
                  <c:v>12.06</c:v>
                </c:pt>
                <c:pt idx="3">
                  <c:v>10.251</c:v>
                </c:pt>
                <c:pt idx="4">
                  <c:v>9.045</c:v>
                </c:pt>
                <c:pt idx="5">
                  <c:v>7.236</c:v>
                </c:pt>
                <c:pt idx="6">
                  <c:v>6.03</c:v>
                </c:pt>
                <c:pt idx="7">
                  <c:v>4.221</c:v>
                </c:pt>
                <c:pt idx="8">
                  <c:v>3.015</c:v>
                </c:pt>
                <c:pt idx="9">
                  <c:v>1.206</c:v>
                </c:pt>
                <c:pt idx="10">
                  <c:v>0.603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61208"/>
        <c:axId val="-2090809832"/>
      </c:scatterChart>
      <c:valAx>
        <c:axId val="-212016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0809832"/>
        <c:crosses val="autoZero"/>
        <c:crossBetween val="midCat"/>
      </c:valAx>
      <c:valAx>
        <c:axId val="-209080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20161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0</xdr:row>
      <xdr:rowOff>123824</xdr:rowOff>
    </xdr:from>
    <xdr:to>
      <xdr:col>24</xdr:col>
      <xdr:colOff>400050</xdr:colOff>
      <xdr:row>27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19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20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21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20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42862</xdr:rowOff>
    </xdr:from>
    <xdr:to>
      <xdr:col>14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0</xdr:row>
      <xdr:rowOff>33337</xdr:rowOff>
    </xdr:from>
    <xdr:to>
      <xdr:col>21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H23" sqref="H23"/>
    </sheetView>
  </sheetViews>
  <sheetFormatPr baseColWidth="10" defaultRowHeight="14" x14ac:dyDescent="0"/>
  <cols>
    <col min="2" max="2" width="14.5" bestFit="1" customWidth="1"/>
    <col min="3" max="3" width="12.5" bestFit="1" customWidth="1"/>
    <col min="4" max="4" width="12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>
        <v>5</v>
      </c>
      <c r="F2">
        <v>20</v>
      </c>
      <c r="G2" t="s">
        <v>10</v>
      </c>
    </row>
    <row r="3" spans="1:7">
      <c r="A3">
        <v>2</v>
      </c>
      <c r="B3" t="s">
        <v>7</v>
      </c>
      <c r="C3" t="s">
        <v>8</v>
      </c>
      <c r="D3" t="s">
        <v>11</v>
      </c>
      <c r="E3">
        <v>5</v>
      </c>
      <c r="F3">
        <v>20</v>
      </c>
      <c r="G3" t="s">
        <v>10</v>
      </c>
    </row>
    <row r="4" spans="1:7">
      <c r="A4">
        <v>3</v>
      </c>
      <c r="B4" t="s">
        <v>7</v>
      </c>
      <c r="C4" t="s">
        <v>8</v>
      </c>
      <c r="D4" t="s">
        <v>12</v>
      </c>
      <c r="E4">
        <v>5</v>
      </c>
      <c r="F4">
        <v>20</v>
      </c>
      <c r="G4" t="s">
        <v>10</v>
      </c>
    </row>
    <row r="5" spans="1:7">
      <c r="A5">
        <v>4</v>
      </c>
      <c r="B5" t="s">
        <v>7</v>
      </c>
      <c r="C5" t="s">
        <v>8</v>
      </c>
      <c r="D5" t="s">
        <v>13</v>
      </c>
      <c r="E5">
        <v>55</v>
      </c>
      <c r="F5">
        <v>70</v>
      </c>
      <c r="G5" t="s">
        <v>10</v>
      </c>
    </row>
    <row r="6" spans="1:7">
      <c r="A6">
        <v>5</v>
      </c>
      <c r="B6" t="s">
        <v>7</v>
      </c>
      <c r="C6" t="s">
        <v>8</v>
      </c>
      <c r="D6" t="s">
        <v>14</v>
      </c>
      <c r="E6">
        <v>55</v>
      </c>
      <c r="F6">
        <v>70</v>
      </c>
      <c r="G6" t="s">
        <v>10</v>
      </c>
    </row>
    <row r="7" spans="1:7">
      <c r="A7">
        <v>6</v>
      </c>
      <c r="B7" t="s">
        <v>7</v>
      </c>
      <c r="C7" t="s">
        <v>8</v>
      </c>
      <c r="D7" t="s">
        <v>15</v>
      </c>
      <c r="E7">
        <v>55</v>
      </c>
      <c r="F7">
        <v>70</v>
      </c>
      <c r="G7" t="s">
        <v>10</v>
      </c>
    </row>
    <row r="8" spans="1:7">
      <c r="A8">
        <v>7</v>
      </c>
      <c r="B8" t="s">
        <v>7</v>
      </c>
      <c r="C8" t="s">
        <v>8</v>
      </c>
      <c r="D8" t="s">
        <v>16</v>
      </c>
      <c r="E8">
        <v>5</v>
      </c>
      <c r="F8">
        <v>20</v>
      </c>
      <c r="G8" t="s">
        <v>10</v>
      </c>
    </row>
    <row r="9" spans="1:7">
      <c r="A9">
        <v>8</v>
      </c>
      <c r="B9" t="s">
        <v>7</v>
      </c>
      <c r="C9" t="s">
        <v>8</v>
      </c>
      <c r="D9" t="s">
        <v>17</v>
      </c>
      <c r="E9">
        <v>5</v>
      </c>
      <c r="F9">
        <v>20</v>
      </c>
      <c r="G9" t="s">
        <v>10</v>
      </c>
    </row>
    <row r="10" spans="1:7">
      <c r="A10">
        <v>9</v>
      </c>
      <c r="B10" t="s">
        <v>7</v>
      </c>
      <c r="C10" t="s">
        <v>8</v>
      </c>
      <c r="D10" t="s">
        <v>18</v>
      </c>
      <c r="E10">
        <v>5</v>
      </c>
      <c r="F10">
        <v>20</v>
      </c>
      <c r="G10" t="s">
        <v>10</v>
      </c>
    </row>
    <row r="11" spans="1:7">
      <c r="A11">
        <v>10</v>
      </c>
      <c r="B11" t="s">
        <v>7</v>
      </c>
      <c r="C11" t="s">
        <v>8</v>
      </c>
      <c r="D11" t="s">
        <v>19</v>
      </c>
      <c r="E11">
        <v>40</v>
      </c>
      <c r="F11">
        <v>60</v>
      </c>
      <c r="G11" t="s">
        <v>10</v>
      </c>
    </row>
    <row r="12" spans="1:7">
      <c r="A12">
        <v>11</v>
      </c>
      <c r="B12" t="s">
        <v>7</v>
      </c>
      <c r="C12" t="s">
        <v>8</v>
      </c>
      <c r="D12" t="s">
        <v>20</v>
      </c>
      <c r="E12">
        <v>40</v>
      </c>
      <c r="F12">
        <v>60</v>
      </c>
      <c r="G12" t="s">
        <v>10</v>
      </c>
    </row>
    <row r="13" spans="1:7">
      <c r="A13">
        <v>12</v>
      </c>
      <c r="B13" t="s">
        <v>7</v>
      </c>
      <c r="C13" t="s">
        <v>8</v>
      </c>
      <c r="D13" t="s">
        <v>21</v>
      </c>
      <c r="E13">
        <v>40</v>
      </c>
      <c r="F13">
        <v>60</v>
      </c>
      <c r="G13" t="s">
        <v>10</v>
      </c>
    </row>
    <row r="14" spans="1:7">
      <c r="A14">
        <v>13</v>
      </c>
      <c r="B14" t="s">
        <v>7</v>
      </c>
      <c r="C14" t="s">
        <v>8</v>
      </c>
      <c r="D14" t="s">
        <v>22</v>
      </c>
      <c r="E14">
        <v>0</v>
      </c>
      <c r="F14">
        <v>5</v>
      </c>
      <c r="G14" t="s">
        <v>10</v>
      </c>
    </row>
    <row r="15" spans="1:7">
      <c r="A15">
        <v>14</v>
      </c>
      <c r="B15" t="s">
        <v>7</v>
      </c>
      <c r="C15" t="s">
        <v>8</v>
      </c>
      <c r="D15" t="s">
        <v>23</v>
      </c>
      <c r="E15">
        <v>5</v>
      </c>
      <c r="F15">
        <v>15</v>
      </c>
      <c r="G15" t="s">
        <v>10</v>
      </c>
    </row>
    <row r="16" spans="1:7">
      <c r="A16">
        <v>15</v>
      </c>
      <c r="B16" t="s">
        <v>7</v>
      </c>
      <c r="C16" t="s">
        <v>8</v>
      </c>
      <c r="D16" t="s">
        <v>24</v>
      </c>
      <c r="E16">
        <v>0</v>
      </c>
      <c r="F16">
        <v>5</v>
      </c>
      <c r="G16" t="s">
        <v>10</v>
      </c>
    </row>
    <row r="17" spans="1:7">
      <c r="A17">
        <v>16</v>
      </c>
      <c r="B17" t="s">
        <v>7</v>
      </c>
      <c r="C17" t="s">
        <v>8</v>
      </c>
      <c r="D17" t="s">
        <v>25</v>
      </c>
      <c r="E17">
        <v>0</v>
      </c>
      <c r="F17">
        <v>5</v>
      </c>
      <c r="G17" t="s">
        <v>10</v>
      </c>
    </row>
    <row r="18" spans="1:7">
      <c r="A18">
        <v>17</v>
      </c>
      <c r="B18" t="s">
        <v>7</v>
      </c>
      <c r="C18" t="s">
        <v>8</v>
      </c>
      <c r="D18" t="s">
        <v>26</v>
      </c>
      <c r="E18">
        <v>0</v>
      </c>
      <c r="F18">
        <v>5</v>
      </c>
      <c r="G18" t="s">
        <v>10</v>
      </c>
    </row>
    <row r="19" spans="1:7">
      <c r="A19">
        <v>18</v>
      </c>
      <c r="B19" t="s">
        <v>7</v>
      </c>
      <c r="C19" t="s">
        <v>8</v>
      </c>
      <c r="D19" t="s">
        <v>27</v>
      </c>
      <c r="E19">
        <v>0</v>
      </c>
      <c r="F19">
        <v>5</v>
      </c>
      <c r="G19" t="s">
        <v>10</v>
      </c>
    </row>
    <row r="20" spans="1:7">
      <c r="A20">
        <v>19</v>
      </c>
      <c r="B20" t="s">
        <v>7</v>
      </c>
      <c r="C20" t="s">
        <v>8</v>
      </c>
      <c r="D20" t="s">
        <v>28</v>
      </c>
      <c r="E20">
        <v>0</v>
      </c>
      <c r="F20">
        <v>5</v>
      </c>
      <c r="G20" t="s">
        <v>10</v>
      </c>
    </row>
    <row r="21" spans="1:7">
      <c r="A21">
        <v>20</v>
      </c>
      <c r="B21" t="s">
        <v>7</v>
      </c>
      <c r="C21" t="s">
        <v>8</v>
      </c>
      <c r="D21" t="s">
        <v>29</v>
      </c>
      <c r="E21">
        <v>0</v>
      </c>
      <c r="F21">
        <v>5</v>
      </c>
      <c r="G21" t="s">
        <v>10</v>
      </c>
    </row>
    <row r="22" spans="1:7">
      <c r="A22">
        <v>21</v>
      </c>
      <c r="B22" t="s">
        <v>7</v>
      </c>
      <c r="C22" t="s">
        <v>8</v>
      </c>
      <c r="D22" t="s">
        <v>30</v>
      </c>
      <c r="E22">
        <v>0</v>
      </c>
      <c r="F22">
        <v>5</v>
      </c>
      <c r="G22" t="s">
        <v>10</v>
      </c>
    </row>
    <row r="23" spans="1:7">
      <c r="A23">
        <v>22</v>
      </c>
      <c r="B23" t="s">
        <v>7</v>
      </c>
      <c r="C23" t="s">
        <v>8</v>
      </c>
      <c r="D23" t="s">
        <v>31</v>
      </c>
      <c r="E23">
        <v>0</v>
      </c>
      <c r="F23">
        <v>5</v>
      </c>
      <c r="G23" t="s">
        <v>10</v>
      </c>
    </row>
    <row r="24" spans="1:7">
      <c r="A24">
        <v>23</v>
      </c>
      <c r="B24" t="s">
        <v>7</v>
      </c>
      <c r="C24" t="s">
        <v>8</v>
      </c>
      <c r="D24" t="s">
        <v>32</v>
      </c>
      <c r="E24">
        <v>0</v>
      </c>
      <c r="F24">
        <v>5</v>
      </c>
      <c r="G24" t="s">
        <v>10</v>
      </c>
    </row>
    <row r="25" spans="1:7">
      <c r="A25">
        <v>24</v>
      </c>
      <c r="B25" t="s">
        <v>7</v>
      </c>
      <c r="C25" t="s">
        <v>8</v>
      </c>
      <c r="D25" t="s">
        <v>33</v>
      </c>
      <c r="E25">
        <v>0</v>
      </c>
      <c r="F25">
        <v>5</v>
      </c>
      <c r="G25" t="s">
        <v>10</v>
      </c>
    </row>
    <row r="26" spans="1:7">
      <c r="A26">
        <v>25</v>
      </c>
      <c r="B26" t="s">
        <v>7</v>
      </c>
      <c r="C26" t="s">
        <v>8</v>
      </c>
      <c r="D26" t="s">
        <v>34</v>
      </c>
      <c r="E26">
        <v>0</v>
      </c>
      <c r="F26">
        <v>5</v>
      </c>
      <c r="G26" t="s">
        <v>10</v>
      </c>
    </row>
    <row r="27" spans="1:7">
      <c r="A27">
        <v>26</v>
      </c>
      <c r="B27" t="s">
        <v>7</v>
      </c>
      <c r="C27" t="s">
        <v>8</v>
      </c>
      <c r="D27" t="s">
        <v>35</v>
      </c>
      <c r="E27">
        <v>0</v>
      </c>
      <c r="F27">
        <v>5</v>
      </c>
      <c r="G27" t="s">
        <v>10</v>
      </c>
    </row>
    <row r="28" spans="1:7">
      <c r="A28">
        <v>27</v>
      </c>
      <c r="B28" t="s">
        <v>7</v>
      </c>
      <c r="C28" t="s">
        <v>8</v>
      </c>
      <c r="D28" t="s">
        <v>36</v>
      </c>
      <c r="E28">
        <v>0</v>
      </c>
      <c r="F28">
        <v>10</v>
      </c>
      <c r="G28" t="s">
        <v>10</v>
      </c>
    </row>
    <row r="29" spans="1:7">
      <c r="A29">
        <v>28</v>
      </c>
      <c r="B29" t="s">
        <v>7</v>
      </c>
      <c r="C29" t="s">
        <v>8</v>
      </c>
      <c r="D29" t="s">
        <v>37</v>
      </c>
      <c r="E29">
        <v>0</v>
      </c>
      <c r="F29">
        <v>10</v>
      </c>
      <c r="G29" t="s">
        <v>10</v>
      </c>
    </row>
    <row r="30" spans="1:7">
      <c r="A30">
        <v>29</v>
      </c>
      <c r="B30" t="s">
        <v>7</v>
      </c>
      <c r="C30" t="s">
        <v>8</v>
      </c>
      <c r="D30" t="s">
        <v>38</v>
      </c>
      <c r="E30">
        <v>0</v>
      </c>
      <c r="F30">
        <v>10</v>
      </c>
      <c r="G30" t="s">
        <v>10</v>
      </c>
    </row>
    <row r="31" spans="1:7">
      <c r="A31">
        <v>30</v>
      </c>
      <c r="B31" t="s">
        <v>7</v>
      </c>
      <c r="C31" t="s">
        <v>8</v>
      </c>
      <c r="D31" t="s">
        <v>39</v>
      </c>
      <c r="E31">
        <v>0</v>
      </c>
      <c r="F31">
        <v>10</v>
      </c>
      <c r="G31" t="s">
        <v>10</v>
      </c>
    </row>
    <row r="32" spans="1:7">
      <c r="A32">
        <v>31</v>
      </c>
      <c r="B32" t="s">
        <v>7</v>
      </c>
      <c r="C32" t="s">
        <v>8</v>
      </c>
      <c r="D32" t="s">
        <v>40</v>
      </c>
      <c r="E32">
        <v>0</v>
      </c>
      <c r="F32">
        <v>10</v>
      </c>
      <c r="G32" t="s">
        <v>10</v>
      </c>
    </row>
    <row r="33" spans="1:7">
      <c r="A33">
        <v>32</v>
      </c>
      <c r="B33" t="s">
        <v>7</v>
      </c>
      <c r="C33" t="s">
        <v>8</v>
      </c>
      <c r="D33" t="s">
        <v>41</v>
      </c>
      <c r="E33">
        <v>0</v>
      </c>
      <c r="F33">
        <v>10</v>
      </c>
      <c r="G33" t="s">
        <v>10</v>
      </c>
    </row>
    <row r="34" spans="1:7">
      <c r="A34">
        <v>33</v>
      </c>
      <c r="B34" t="s">
        <v>7</v>
      </c>
      <c r="C34" t="s">
        <v>8</v>
      </c>
      <c r="D34" t="s">
        <v>42</v>
      </c>
      <c r="E34">
        <v>0</v>
      </c>
      <c r="F34">
        <v>10</v>
      </c>
      <c r="G34" t="s">
        <v>10</v>
      </c>
    </row>
    <row r="35" spans="1:7">
      <c r="A35">
        <v>34</v>
      </c>
      <c r="B35" t="s">
        <v>7</v>
      </c>
      <c r="C35" t="s">
        <v>8</v>
      </c>
      <c r="D35" t="s">
        <v>43</v>
      </c>
      <c r="E35">
        <v>0</v>
      </c>
      <c r="F35">
        <v>10</v>
      </c>
      <c r="G35" t="s">
        <v>10</v>
      </c>
    </row>
    <row r="36" spans="1:7">
      <c r="A36">
        <v>35</v>
      </c>
      <c r="B36" t="s">
        <v>7</v>
      </c>
      <c r="C36" t="s">
        <v>8</v>
      </c>
      <c r="D36" t="s">
        <v>44</v>
      </c>
      <c r="E36">
        <v>0</v>
      </c>
      <c r="F36">
        <v>10</v>
      </c>
      <c r="G36" t="s">
        <v>10</v>
      </c>
    </row>
    <row r="37" spans="1:7">
      <c r="A37">
        <v>36</v>
      </c>
      <c r="B37" t="s">
        <v>7</v>
      </c>
      <c r="C37" t="s">
        <v>8</v>
      </c>
      <c r="D37" t="s">
        <v>45</v>
      </c>
      <c r="E37">
        <v>0</v>
      </c>
      <c r="F37">
        <v>10</v>
      </c>
      <c r="G37" t="s">
        <v>10</v>
      </c>
    </row>
    <row r="38" spans="1:7">
      <c r="A38">
        <v>37</v>
      </c>
      <c r="B38" t="s">
        <v>7</v>
      </c>
      <c r="C38" t="s">
        <v>8</v>
      </c>
      <c r="D38" t="s">
        <v>46</v>
      </c>
      <c r="E38">
        <v>0</v>
      </c>
      <c r="F38">
        <v>10</v>
      </c>
      <c r="G38" t="s">
        <v>10</v>
      </c>
    </row>
    <row r="39" spans="1:7">
      <c r="A39">
        <v>38</v>
      </c>
      <c r="B39" t="s">
        <v>7</v>
      </c>
      <c r="C39" t="s">
        <v>8</v>
      </c>
      <c r="D39" t="s">
        <v>47</v>
      </c>
      <c r="E39">
        <v>0</v>
      </c>
      <c r="F39">
        <v>10</v>
      </c>
      <c r="G39" t="s">
        <v>10</v>
      </c>
    </row>
    <row r="40" spans="1:7">
      <c r="A40">
        <v>39</v>
      </c>
      <c r="B40" t="s">
        <v>7</v>
      </c>
      <c r="C40" t="s">
        <v>8</v>
      </c>
      <c r="D40" t="s">
        <v>48</v>
      </c>
      <c r="E40">
        <v>0</v>
      </c>
      <c r="F40">
        <v>10</v>
      </c>
      <c r="G40" t="s">
        <v>10</v>
      </c>
    </row>
    <row r="41" spans="1:7">
      <c r="A41">
        <v>40</v>
      </c>
      <c r="B41" t="s">
        <v>7</v>
      </c>
      <c r="C41" t="s">
        <v>8</v>
      </c>
      <c r="D41" t="s">
        <v>49</v>
      </c>
      <c r="E41">
        <v>0</v>
      </c>
      <c r="F41">
        <v>10</v>
      </c>
      <c r="G41" t="s">
        <v>10</v>
      </c>
    </row>
    <row r="42" spans="1:7">
      <c r="A42">
        <v>41</v>
      </c>
      <c r="B42" t="s">
        <v>7</v>
      </c>
      <c r="C42" t="s">
        <v>8</v>
      </c>
      <c r="D42" t="s">
        <v>50</v>
      </c>
      <c r="E42">
        <v>0</v>
      </c>
      <c r="F42">
        <v>10</v>
      </c>
      <c r="G42" t="s">
        <v>10</v>
      </c>
    </row>
    <row r="43" spans="1:7">
      <c r="A43">
        <v>42</v>
      </c>
      <c r="B43" t="s">
        <v>7</v>
      </c>
      <c r="C43" t="s">
        <v>8</v>
      </c>
      <c r="D43" t="s">
        <v>51</v>
      </c>
      <c r="E43">
        <v>0</v>
      </c>
      <c r="F43">
        <v>10</v>
      </c>
      <c r="G43" t="s">
        <v>10</v>
      </c>
    </row>
    <row r="44" spans="1:7">
      <c r="A44">
        <v>43</v>
      </c>
      <c r="B44" t="s">
        <v>7</v>
      </c>
      <c r="C44" t="s">
        <v>8</v>
      </c>
      <c r="D44" t="s">
        <v>52</v>
      </c>
      <c r="E44">
        <v>0</v>
      </c>
      <c r="F44">
        <v>10</v>
      </c>
      <c r="G44" t="s">
        <v>10</v>
      </c>
    </row>
    <row r="45" spans="1:7">
      <c r="A45">
        <v>44</v>
      </c>
      <c r="B45" t="s">
        <v>7</v>
      </c>
      <c r="C45" t="s">
        <v>8</v>
      </c>
      <c r="D45" t="s">
        <v>53</v>
      </c>
      <c r="E45">
        <v>0</v>
      </c>
      <c r="F45">
        <v>10</v>
      </c>
      <c r="G45" t="s">
        <v>10</v>
      </c>
    </row>
    <row r="46" spans="1:7">
      <c r="A46">
        <v>45</v>
      </c>
      <c r="B46" t="s">
        <v>7</v>
      </c>
      <c r="C46" t="s">
        <v>8</v>
      </c>
      <c r="D46" t="s">
        <v>54</v>
      </c>
      <c r="E46">
        <v>0</v>
      </c>
      <c r="F46">
        <v>10</v>
      </c>
      <c r="G46" t="s">
        <v>10</v>
      </c>
    </row>
    <row r="47" spans="1:7">
      <c r="A47">
        <v>46</v>
      </c>
      <c r="B47" t="s">
        <v>7</v>
      </c>
      <c r="C47" t="s">
        <v>8</v>
      </c>
      <c r="D47" t="s">
        <v>55</v>
      </c>
      <c r="E47">
        <v>0</v>
      </c>
      <c r="F47">
        <v>10</v>
      </c>
      <c r="G47" t="s">
        <v>10</v>
      </c>
    </row>
    <row r="48" spans="1:7">
      <c r="A48">
        <v>47</v>
      </c>
      <c r="B48" t="s">
        <v>7</v>
      </c>
      <c r="C48" t="s">
        <v>8</v>
      </c>
      <c r="D48" t="s">
        <v>56</v>
      </c>
      <c r="E48">
        <v>0</v>
      </c>
      <c r="F48">
        <v>10</v>
      </c>
      <c r="G48" t="s">
        <v>10</v>
      </c>
    </row>
    <row r="49" spans="1:7">
      <c r="A49">
        <v>48</v>
      </c>
      <c r="B49" t="s">
        <v>7</v>
      </c>
      <c r="C49" t="s">
        <v>8</v>
      </c>
      <c r="D49" t="s">
        <v>57</v>
      </c>
      <c r="E49">
        <v>0</v>
      </c>
      <c r="F49">
        <v>10</v>
      </c>
      <c r="G49" t="s">
        <v>10</v>
      </c>
    </row>
    <row r="50" spans="1:7">
      <c r="A50">
        <v>49</v>
      </c>
      <c r="B50" t="s">
        <v>7</v>
      </c>
      <c r="C50" t="s">
        <v>8</v>
      </c>
      <c r="D50" t="s">
        <v>58</v>
      </c>
      <c r="E50">
        <v>0</v>
      </c>
      <c r="F50">
        <v>10</v>
      </c>
      <c r="G50" t="s">
        <v>10</v>
      </c>
    </row>
    <row r="51" spans="1:7">
      <c r="A51">
        <v>50</v>
      </c>
      <c r="B51" t="s">
        <v>7</v>
      </c>
      <c r="C51" t="s">
        <v>8</v>
      </c>
      <c r="D51" t="s">
        <v>59</v>
      </c>
      <c r="E51">
        <v>0</v>
      </c>
      <c r="F51">
        <v>10</v>
      </c>
      <c r="G51" t="s">
        <v>10</v>
      </c>
    </row>
    <row r="52" spans="1:7">
      <c r="A52">
        <v>51</v>
      </c>
      <c r="B52" t="s">
        <v>7</v>
      </c>
      <c r="C52" t="s">
        <v>8</v>
      </c>
      <c r="D52" t="s">
        <v>60</v>
      </c>
      <c r="E52">
        <v>0</v>
      </c>
      <c r="F52">
        <v>10</v>
      </c>
      <c r="G52" t="s">
        <v>10</v>
      </c>
    </row>
    <row r="53" spans="1:7">
      <c r="A53">
        <v>52</v>
      </c>
      <c r="B53" t="s">
        <v>7</v>
      </c>
      <c r="C53" t="s">
        <v>8</v>
      </c>
      <c r="D53" t="s">
        <v>61</v>
      </c>
      <c r="E53">
        <v>0</v>
      </c>
      <c r="F53">
        <v>10</v>
      </c>
      <c r="G53" t="s">
        <v>10</v>
      </c>
    </row>
    <row r="54" spans="1:7">
      <c r="A54">
        <v>53</v>
      </c>
      <c r="B54" t="s">
        <v>7</v>
      </c>
      <c r="C54" t="s">
        <v>8</v>
      </c>
      <c r="D54" t="s">
        <v>62</v>
      </c>
      <c r="E54">
        <v>0</v>
      </c>
      <c r="F54">
        <v>10</v>
      </c>
      <c r="G54" t="s">
        <v>10</v>
      </c>
    </row>
    <row r="55" spans="1:7">
      <c r="A55">
        <v>54</v>
      </c>
      <c r="B55" t="s">
        <v>7</v>
      </c>
      <c r="C55" t="s">
        <v>8</v>
      </c>
      <c r="D55" t="s">
        <v>63</v>
      </c>
      <c r="E55">
        <v>0</v>
      </c>
      <c r="F55">
        <v>10</v>
      </c>
      <c r="G55" t="s">
        <v>10</v>
      </c>
    </row>
    <row r="56" spans="1:7">
      <c r="A56">
        <v>55</v>
      </c>
      <c r="B56" t="s">
        <v>7</v>
      </c>
      <c r="C56" t="s">
        <v>8</v>
      </c>
      <c r="D56" t="s">
        <v>64</v>
      </c>
      <c r="E56">
        <v>0</v>
      </c>
      <c r="F56">
        <v>10</v>
      </c>
      <c r="G56" t="s">
        <v>10</v>
      </c>
    </row>
    <row r="57" spans="1:7">
      <c r="A57">
        <v>56</v>
      </c>
      <c r="B57" t="s">
        <v>7</v>
      </c>
      <c r="C57" t="s">
        <v>8</v>
      </c>
      <c r="D57" t="s">
        <v>65</v>
      </c>
      <c r="E57">
        <v>0</v>
      </c>
      <c r="F57">
        <v>10</v>
      </c>
      <c r="G57" t="s">
        <v>10</v>
      </c>
    </row>
    <row r="58" spans="1:7">
      <c r="A58">
        <v>57</v>
      </c>
      <c r="B58" t="s">
        <v>7</v>
      </c>
      <c r="C58" t="s">
        <v>8</v>
      </c>
      <c r="D58" t="s">
        <v>66</v>
      </c>
      <c r="E58">
        <v>0</v>
      </c>
      <c r="F58">
        <v>10</v>
      </c>
      <c r="G58" t="s">
        <v>10</v>
      </c>
    </row>
    <row r="59" spans="1:7">
      <c r="A59">
        <v>58</v>
      </c>
      <c r="B59" t="s">
        <v>7</v>
      </c>
      <c r="C59" t="s">
        <v>8</v>
      </c>
      <c r="D59" t="s">
        <v>67</v>
      </c>
      <c r="E59">
        <v>0</v>
      </c>
      <c r="F59">
        <v>10</v>
      </c>
      <c r="G59" t="s">
        <v>10</v>
      </c>
    </row>
    <row r="60" spans="1:7">
      <c r="A60">
        <v>59</v>
      </c>
      <c r="B60" t="s">
        <v>7</v>
      </c>
      <c r="C60" t="s">
        <v>8</v>
      </c>
      <c r="D60" t="s">
        <v>68</v>
      </c>
      <c r="E60">
        <v>0</v>
      </c>
      <c r="F60">
        <v>10</v>
      </c>
      <c r="G60" t="s">
        <v>10</v>
      </c>
    </row>
    <row r="61" spans="1:7">
      <c r="A61">
        <v>60</v>
      </c>
      <c r="B61" t="s">
        <v>7</v>
      </c>
      <c r="C61" t="s">
        <v>8</v>
      </c>
      <c r="D61" t="s">
        <v>69</v>
      </c>
      <c r="E61">
        <v>0</v>
      </c>
      <c r="F61">
        <v>10</v>
      </c>
      <c r="G61" t="s">
        <v>10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Q29" sqref="Q28:Q29"/>
    </sheetView>
  </sheetViews>
  <sheetFormatPr baseColWidth="10" defaultRowHeight="14" x14ac:dyDescent="0"/>
  <cols>
    <col min="1" max="1" width="11" bestFit="1" customWidth="1"/>
    <col min="2" max="2" width="19.83203125" bestFit="1" customWidth="1"/>
    <col min="9" max="9" width="15.6640625" bestFit="1" customWidth="1"/>
    <col min="16" max="16" width="21.33203125" bestFit="1" customWidth="1"/>
    <col min="17" max="17" width="10.1640625" bestFit="1" customWidth="1"/>
    <col min="19" max="19" width="19.6640625" bestFit="1" customWidth="1"/>
  </cols>
  <sheetData>
    <row r="1" spans="1:21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9"/>
    </row>
    <row r="2" spans="1:21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21">
      <c r="A3" s="21">
        <v>5</v>
      </c>
      <c r="B3" s="31">
        <v>43332</v>
      </c>
      <c r="C3" s="32">
        <v>3015</v>
      </c>
      <c r="D3" s="22">
        <v>1649</v>
      </c>
      <c r="E3" s="33">
        <v>402.37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21">
      <c r="A4" s="21">
        <v>4.4000000000000004</v>
      </c>
      <c r="B4" s="31">
        <v>43332</v>
      </c>
      <c r="C4" s="32">
        <v>3015</v>
      </c>
      <c r="D4" s="33">
        <v>1433.5</v>
      </c>
      <c r="E4" s="33">
        <v>345.67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21">
      <c r="A5" s="21">
        <v>4</v>
      </c>
      <c r="B5" s="31">
        <v>43332</v>
      </c>
      <c r="C5" s="32">
        <v>3015</v>
      </c>
      <c r="D5" s="22">
        <v>1312.3</v>
      </c>
      <c r="E5" s="33">
        <v>309.63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21">
      <c r="A6" s="21">
        <v>3.4</v>
      </c>
      <c r="B6" s="31">
        <v>43332</v>
      </c>
      <c r="C6" s="32">
        <v>3015</v>
      </c>
      <c r="D6" s="33">
        <v>1155.8</v>
      </c>
      <c r="E6" s="33">
        <v>282.02999999999997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21">
      <c r="A7" s="21">
        <v>3</v>
      </c>
      <c r="B7" s="31">
        <v>43332</v>
      </c>
      <c r="C7" s="32">
        <v>3015</v>
      </c>
      <c r="D7" s="22">
        <v>1007.1</v>
      </c>
      <c r="E7" s="33">
        <v>252.59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21">
      <c r="A8" s="21">
        <v>2.4</v>
      </c>
      <c r="B8" s="31">
        <v>43332</v>
      </c>
      <c r="C8" s="32">
        <v>3015</v>
      </c>
      <c r="D8" s="33">
        <v>830.23</v>
      </c>
      <c r="E8" s="33">
        <v>201.23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21">
      <c r="A9" s="21">
        <v>2</v>
      </c>
      <c r="B9" s="31">
        <v>43332</v>
      </c>
      <c r="C9" s="32">
        <v>3015</v>
      </c>
      <c r="D9" s="22">
        <v>711.28</v>
      </c>
      <c r="E9" s="33">
        <v>177.42</v>
      </c>
      <c r="F9" s="34">
        <f t="shared" si="0"/>
        <v>6.03</v>
      </c>
      <c r="G9" s="37" t="s">
        <v>112</v>
      </c>
      <c r="H9" s="37"/>
      <c r="I9" s="38">
        <f>SLOPE(F3:F13,D3:D13)</f>
        <v>9.0548909917651035E-3</v>
      </c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21">
      <c r="A10" s="21">
        <v>1.4</v>
      </c>
      <c r="B10" s="31">
        <v>43332</v>
      </c>
      <c r="C10" s="32">
        <v>3015</v>
      </c>
      <c r="D10" s="22">
        <v>500.16</v>
      </c>
      <c r="E10" s="33">
        <v>123.1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6.8881476879640857E-3</v>
      </c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21">
      <c r="A11" s="21">
        <v>1</v>
      </c>
      <c r="B11" s="31">
        <v>43332</v>
      </c>
      <c r="C11" s="32">
        <v>3015</v>
      </c>
      <c r="D11" s="22">
        <v>254.65</v>
      </c>
      <c r="E11" s="33">
        <v>63.069000000000003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21">
      <c r="A12" s="39">
        <v>0.4</v>
      </c>
      <c r="B12" s="31">
        <v>43332</v>
      </c>
      <c r="C12" s="32">
        <v>3015</v>
      </c>
      <c r="D12" s="39">
        <v>129.33000000000001</v>
      </c>
      <c r="E12" s="39">
        <v>38.058</v>
      </c>
      <c r="F12" s="34">
        <f t="shared" si="0"/>
        <v>1.206</v>
      </c>
      <c r="G12" s="40" t="s">
        <v>114</v>
      </c>
      <c r="H12" s="40"/>
      <c r="I12" s="41">
        <f>SLOPE(F3:F13,E3:E13)</f>
        <v>3.7863210197267023E-2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21">
      <c r="A13" s="39">
        <v>0.2</v>
      </c>
      <c r="B13" s="31">
        <v>43332</v>
      </c>
      <c r="C13" s="32">
        <v>3015</v>
      </c>
      <c r="D13" s="39">
        <v>65.045000000000002</v>
      </c>
      <c r="E13" s="39">
        <v>20.077000000000002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-0.16984083729405342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21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21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148</v>
      </c>
      <c r="R15" s="43" t="s">
        <v>148</v>
      </c>
      <c r="S15" s="43" t="s">
        <v>150</v>
      </c>
      <c r="T15" s="68" t="s">
        <v>134</v>
      </c>
      <c r="U15" s="68" t="s">
        <v>133</v>
      </c>
    </row>
    <row r="16" spans="1:21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75" t="s">
        <v>156</v>
      </c>
      <c r="R16" s="47" t="s">
        <v>132</v>
      </c>
      <c r="S16" s="47" t="s">
        <v>153</v>
      </c>
    </row>
    <row r="17" spans="1:22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 t="str">
        <f>Jar_Information!M3</f>
        <v>27/07/2018 16:50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5"/>
      <c r="R17" s="58"/>
      <c r="S17" s="58"/>
      <c r="T17" s="71" t="e">
        <f>F17*1000000</f>
        <v>#DIV/0!</v>
      </c>
      <c r="U17" s="72" t="e">
        <f>M17/L17*100</f>
        <v>#DIV/0!</v>
      </c>
    </row>
    <row r="18" spans="1:22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 t="str">
        <f>Jar_Information!M4</f>
        <v>27/07/2018 16:50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5"/>
      <c r="R18" s="58"/>
      <c r="S18" s="58"/>
      <c r="T18" s="71" t="e">
        <f t="shared" ref="T18:T36" si="8">F18*1000000</f>
        <v>#DIV/0!</v>
      </c>
      <c r="U18" s="72" t="e">
        <f t="shared" ref="U18:U36" si="9">M18/L18*100</f>
        <v>#DIV/0!</v>
      </c>
    </row>
    <row r="19" spans="1:22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 t="str">
        <f>Jar_Information!M5</f>
        <v>27/07/2018 16:50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5"/>
      <c r="R19" s="58"/>
      <c r="S19" s="58"/>
      <c r="T19" s="71" t="e">
        <f t="shared" si="8"/>
        <v>#DIV/0!</v>
      </c>
      <c r="U19" s="72" t="e">
        <f t="shared" si="9"/>
        <v>#DIV/0!</v>
      </c>
    </row>
    <row r="20" spans="1:22">
      <c r="A20" s="1" t="s">
        <v>13</v>
      </c>
      <c r="B20" s="50">
        <v>43332.416666666664</v>
      </c>
      <c r="C20" s="21">
        <v>2</v>
      </c>
      <c r="D20" s="59">
        <v>1205.0999999999999</v>
      </c>
      <c r="E20" s="60">
        <v>295.39</v>
      </c>
      <c r="F20" s="53">
        <f t="shared" si="2"/>
        <v>5.4594686409320447E-3</v>
      </c>
      <c r="G20" s="53">
        <f t="shared" si="3"/>
        <v>5.5072864114383254E-3</v>
      </c>
      <c r="H20" s="53"/>
      <c r="I20" s="54" t="str">
        <f>Jar_Information!M6</f>
        <v>27/07/2018 16:50</v>
      </c>
      <c r="J20" s="55">
        <f t="shared" si="1"/>
        <v>23.715277777773736</v>
      </c>
      <c r="K20" s="55">
        <f t="shared" si="4"/>
        <v>569.16666666656965</v>
      </c>
      <c r="L20" s="56">
        <f>Jar_Information!H6</f>
        <v>1006.9230769230769</v>
      </c>
      <c r="M20" s="55">
        <f t="shared" si="5"/>
        <v>5.4972649622923431</v>
      </c>
      <c r="N20" s="55">
        <f t="shared" si="6"/>
        <v>10.059994880994989</v>
      </c>
      <c r="O20" s="57">
        <f t="shared" si="7"/>
        <v>2.7436349675440876</v>
      </c>
      <c r="P20" s="55">
        <v>26.611591631551708</v>
      </c>
      <c r="Q20" s="55"/>
      <c r="R20" s="58"/>
      <c r="S20" s="58"/>
      <c r="T20" s="71">
        <f t="shared" si="8"/>
        <v>5459.4686409320448</v>
      </c>
      <c r="U20" s="72">
        <f t="shared" si="9"/>
        <v>0.54594686409320448</v>
      </c>
    </row>
    <row r="21" spans="1:22">
      <c r="A21" s="1" t="s">
        <v>14</v>
      </c>
      <c r="B21" s="50">
        <v>43332.416666666664</v>
      </c>
      <c r="C21" s="21">
        <v>2</v>
      </c>
      <c r="D21" s="59">
        <v>1327</v>
      </c>
      <c r="E21" s="60">
        <v>313.39</v>
      </c>
      <c r="F21" s="53">
        <f t="shared" si="2"/>
        <v>6.0113642468801274E-3</v>
      </c>
      <c r="G21" s="53">
        <f t="shared" si="3"/>
        <v>5.8480553032137289E-3</v>
      </c>
      <c r="H21" s="53"/>
      <c r="I21" s="54" t="str">
        <f>Jar_Information!M7</f>
        <v>27/07/2018 16:50</v>
      </c>
      <c r="J21" s="55">
        <f t="shared" si="1"/>
        <v>23.715277777773736</v>
      </c>
      <c r="K21" s="55">
        <f t="shared" si="4"/>
        <v>569.16666666656965</v>
      </c>
      <c r="L21" s="56">
        <f>Jar_Information!H7</f>
        <v>1026.0859728506789</v>
      </c>
      <c r="M21" s="55">
        <f t="shared" si="5"/>
        <v>6.1681765314197845</v>
      </c>
      <c r="N21" s="55">
        <f t="shared" si="6"/>
        <v>11.287763052498207</v>
      </c>
      <c r="O21" s="57">
        <f t="shared" si="7"/>
        <v>3.0784808324995105</v>
      </c>
      <c r="P21" s="55">
        <v>27.118040607238672</v>
      </c>
      <c r="Q21" s="55"/>
      <c r="R21" s="58"/>
      <c r="S21" s="58"/>
      <c r="T21" s="71">
        <f t="shared" si="8"/>
        <v>6011.3642468801272</v>
      </c>
      <c r="U21" s="72">
        <f t="shared" si="9"/>
        <v>0.60113642468801276</v>
      </c>
    </row>
    <row r="22" spans="1:22">
      <c r="A22" s="1" t="s">
        <v>15</v>
      </c>
      <c r="B22" s="50">
        <v>43332.416666666664</v>
      </c>
      <c r="C22" s="21">
        <v>2</v>
      </c>
      <c r="D22" s="59">
        <v>1221.3</v>
      </c>
      <c r="E22" s="60">
        <v>294.66000000000003</v>
      </c>
      <c r="F22" s="53">
        <f t="shared" si="2"/>
        <v>5.5328132579653428E-3</v>
      </c>
      <c r="G22" s="53">
        <f t="shared" si="3"/>
        <v>5.4934663397163243E-3</v>
      </c>
      <c r="H22" s="53"/>
      <c r="I22" s="54" t="str">
        <f>Jar_Information!M8</f>
        <v>27/07/2018 16:50</v>
      </c>
      <c r="J22" s="55">
        <f t="shared" si="1"/>
        <v>23.715277777773736</v>
      </c>
      <c r="K22" s="55">
        <f t="shared" si="4"/>
        <v>569.16666666656965</v>
      </c>
      <c r="L22" s="56">
        <f>Jar_Information!H8</f>
        <v>1002.1673217293657</v>
      </c>
      <c r="M22" s="55">
        <f t="shared" si="5"/>
        <v>5.5448046443638539</v>
      </c>
      <c r="N22" s="55">
        <f t="shared" si="6"/>
        <v>10.146992499185853</v>
      </c>
      <c r="O22" s="57">
        <f t="shared" si="7"/>
        <v>2.7673615906870506</v>
      </c>
      <c r="P22" s="55">
        <v>26.485903564592896</v>
      </c>
      <c r="Q22" s="55"/>
      <c r="R22" s="58"/>
      <c r="S22" s="58"/>
      <c r="T22" s="71">
        <f t="shared" si="8"/>
        <v>5532.8132579653429</v>
      </c>
      <c r="U22" s="72">
        <f t="shared" si="9"/>
        <v>0.55328132579653433</v>
      </c>
    </row>
    <row r="23" spans="1:22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 t="str">
        <f>Jar_Information!M9</f>
        <v>27/07/2018 17:22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5"/>
      <c r="R23" s="58"/>
      <c r="S23" s="58"/>
      <c r="T23" s="71" t="e">
        <f t="shared" si="8"/>
        <v>#DIV/0!</v>
      </c>
      <c r="U23" s="72" t="e">
        <f t="shared" si="9"/>
        <v>#DIV/0!</v>
      </c>
    </row>
    <row r="24" spans="1:22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 t="str">
        <f>Jar_Information!M10</f>
        <v>27/07/2018 17:22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5"/>
      <c r="R24" s="58"/>
      <c r="S24" s="58"/>
      <c r="T24" s="71" t="e">
        <f t="shared" si="8"/>
        <v>#DIV/0!</v>
      </c>
      <c r="U24" s="72" t="e">
        <f t="shared" si="9"/>
        <v>#DIV/0!</v>
      </c>
    </row>
    <row r="25" spans="1:22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 t="str">
        <f>Jar_Information!M11</f>
        <v>27/07/2018 17:22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73"/>
      <c r="R25" s="61"/>
      <c r="S25" s="61"/>
      <c r="T25" s="71" t="e">
        <f t="shared" si="8"/>
        <v>#DIV/0!</v>
      </c>
      <c r="U25" s="72" t="e">
        <f t="shared" si="9"/>
        <v>#DIV/0!</v>
      </c>
    </row>
    <row r="26" spans="1:22">
      <c r="A26" s="1" t="s">
        <v>19</v>
      </c>
      <c r="B26" s="50">
        <v>43332.416666666664</v>
      </c>
      <c r="C26" s="21">
        <v>1</v>
      </c>
      <c r="D26" s="59">
        <v>1242.2</v>
      </c>
      <c r="E26" s="60">
        <v>304.52999999999997</v>
      </c>
      <c r="F26" s="53">
        <f t="shared" si="2"/>
        <v>1.1254873737658577E-2</v>
      </c>
      <c r="G26" s="53">
        <f t="shared" si="3"/>
        <v>1.1360642564079673E-2</v>
      </c>
      <c r="H26" s="53"/>
      <c r="I26" s="54" t="str">
        <f>Jar_Information!M12</f>
        <v>27/07/2018 17:22</v>
      </c>
      <c r="J26" s="55">
        <f t="shared" si="1"/>
        <v>23.693055555551837</v>
      </c>
      <c r="K26" s="55">
        <f t="shared" si="4"/>
        <v>568.63333333324408</v>
      </c>
      <c r="L26" s="56">
        <f>Jar_Information!H12</f>
        <v>1002.1673217293657</v>
      </c>
      <c r="M26" s="55">
        <f t="shared" si="5"/>
        <v>11.279266670071472</v>
      </c>
      <c r="N26" s="55">
        <f t="shared" si="6"/>
        <v>20.641058006230793</v>
      </c>
      <c r="O26" s="57">
        <f t="shared" si="7"/>
        <v>5.6293794562447612</v>
      </c>
      <c r="P26" s="73">
        <v>26.485903564592896</v>
      </c>
      <c r="Q26" s="73">
        <f>R26/O26*100</f>
        <v>77.050486388098022</v>
      </c>
      <c r="R26" s="89">
        <f>1365/314.7</f>
        <v>4.3374642516682558</v>
      </c>
      <c r="S26" s="61">
        <v>1365</v>
      </c>
      <c r="T26" s="71">
        <f t="shared" si="8"/>
        <v>11254.873737658578</v>
      </c>
      <c r="U26" s="72">
        <f t="shared" si="9"/>
        <v>1.1254873737658577</v>
      </c>
      <c r="V26" s="61" t="s">
        <v>149</v>
      </c>
    </row>
    <row r="27" spans="1:22">
      <c r="A27" s="1" t="s">
        <v>20</v>
      </c>
      <c r="B27" s="50">
        <v>43332.416666666664</v>
      </c>
      <c r="C27" s="21">
        <v>1</v>
      </c>
      <c r="D27" s="59">
        <v>1255</v>
      </c>
      <c r="E27" s="60">
        <v>304.31</v>
      </c>
      <c r="F27" s="53">
        <f t="shared" si="2"/>
        <v>1.1370776342353167E-2</v>
      </c>
      <c r="G27" s="53">
        <f t="shared" si="3"/>
        <v>1.1352312657836273E-2</v>
      </c>
      <c r="H27" s="53"/>
      <c r="I27" s="54" t="str">
        <f>Jar_Information!M13</f>
        <v>27/07/2018 17:22</v>
      </c>
      <c r="J27" s="55">
        <f t="shared" si="1"/>
        <v>23.693055555551837</v>
      </c>
      <c r="K27" s="55">
        <f t="shared" si="4"/>
        <v>568.63333333324408</v>
      </c>
      <c r="L27" s="56">
        <f>Jar_Information!H13</f>
        <v>1002.1673217293657</v>
      </c>
      <c r="M27" s="55">
        <f t="shared" si="5"/>
        <v>11.395420472999707</v>
      </c>
      <c r="N27" s="55">
        <f t="shared" si="6"/>
        <v>20.853619465589464</v>
      </c>
      <c r="O27" s="57">
        <f t="shared" si="7"/>
        <v>5.6873507633425806</v>
      </c>
      <c r="P27" s="73">
        <v>26.485903564592896</v>
      </c>
      <c r="Q27" s="73">
        <f t="shared" ref="Q27:Q30" si="10">R27/O27*100</f>
        <v>78.560325483175461</v>
      </c>
      <c r="R27" s="89">
        <f>S27/314.7</f>
        <v>4.4680012710517953</v>
      </c>
      <c r="S27" s="61">
        <f>1098.5*1.28</f>
        <v>1406.08</v>
      </c>
      <c r="T27" s="71">
        <f t="shared" si="8"/>
        <v>11370.776342353167</v>
      </c>
      <c r="U27" s="72">
        <f t="shared" si="9"/>
        <v>1.1370776342353168</v>
      </c>
      <c r="V27" t="s">
        <v>151</v>
      </c>
    </row>
    <row r="28" spans="1:22">
      <c r="A28" s="1" t="s">
        <v>21</v>
      </c>
      <c r="B28" s="50">
        <v>43332.416666666664</v>
      </c>
      <c r="C28" s="21">
        <v>1</v>
      </c>
      <c r="D28" s="59">
        <v>910.92</v>
      </c>
      <c r="E28" s="60">
        <v>213.86</v>
      </c>
      <c r="F28" s="53">
        <f t="shared" si="2"/>
        <v>8.2551694499066307E-3</v>
      </c>
      <c r="G28" s="53">
        <f t="shared" si="3"/>
        <v>7.9275852954934726E-3</v>
      </c>
      <c r="H28" s="53"/>
      <c r="I28" s="54" t="str">
        <f>Jar_Information!M14</f>
        <v>27/07/2018 17:30</v>
      </c>
      <c r="J28" s="55">
        <f t="shared" si="1"/>
        <v>23.6875</v>
      </c>
      <c r="K28" s="55">
        <f t="shared" si="4"/>
        <v>568.5</v>
      </c>
      <c r="L28" s="56">
        <f>Jar_Information!H14</f>
        <v>1006.9230769230769</v>
      </c>
      <c r="M28" s="55">
        <f t="shared" si="5"/>
        <v>8.3123206230213693</v>
      </c>
      <c r="N28" s="55">
        <f t="shared" si="6"/>
        <v>15.211546740129107</v>
      </c>
      <c r="O28" s="57">
        <f t="shared" si="7"/>
        <v>4.1486036563988469</v>
      </c>
      <c r="P28" s="73">
        <v>26.611591631551708</v>
      </c>
      <c r="Q28" s="73"/>
      <c r="R28" s="89"/>
      <c r="S28" s="61"/>
      <c r="T28" s="71">
        <f t="shared" si="8"/>
        <v>8255.1694499066307</v>
      </c>
      <c r="U28" s="72">
        <f t="shared" si="9"/>
        <v>0.82551694499066308</v>
      </c>
    </row>
    <row r="29" spans="1:22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 t="str">
        <f>Jar_Information!M15</f>
        <v>27/07/2018 17:30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73"/>
      <c r="R29" s="89"/>
      <c r="S29" s="61"/>
      <c r="T29" s="71" t="e">
        <f t="shared" si="8"/>
        <v>#DIV/0!</v>
      </c>
      <c r="U29" s="72" t="e">
        <f t="shared" si="9"/>
        <v>#DIV/0!</v>
      </c>
    </row>
    <row r="30" spans="1:22">
      <c r="A30" s="1" t="s">
        <v>23</v>
      </c>
      <c r="B30" s="50">
        <v>43332.416666666664</v>
      </c>
      <c r="C30" s="21">
        <v>1</v>
      </c>
      <c r="D30" s="59">
        <v>1555.3</v>
      </c>
      <c r="E30" s="60">
        <v>386.09</v>
      </c>
      <c r="F30" s="53">
        <f t="shared" si="2"/>
        <v>1.4089960107180229E-2</v>
      </c>
      <c r="G30" s="53">
        <f t="shared" si="3"/>
        <v>1.4448765987768772E-2</v>
      </c>
      <c r="H30" s="53"/>
      <c r="I30" s="54" t="str">
        <f>Jar_Information!M16</f>
        <v>27/07/2018 17:30</v>
      </c>
      <c r="J30" s="55">
        <f t="shared" si="1"/>
        <v>23.6875</v>
      </c>
      <c r="K30" s="55">
        <f t="shared" si="4"/>
        <v>568.5</v>
      </c>
      <c r="L30" s="56">
        <f>Jar_Information!H16</f>
        <v>1020.9105809506466</v>
      </c>
      <c r="M30" s="55">
        <f t="shared" si="5"/>
        <v>14.384589358592802</v>
      </c>
      <c r="N30" s="55">
        <f t="shared" si="6"/>
        <v>26.323798526224827</v>
      </c>
      <c r="O30" s="57">
        <f t="shared" si="7"/>
        <v>7.1792177798794974</v>
      </c>
      <c r="P30" s="73">
        <v>26.855607956200881</v>
      </c>
      <c r="Q30" s="73">
        <f t="shared" si="10"/>
        <v>83.499541340251398</v>
      </c>
      <c r="R30" s="89">
        <f>S30/314.7</f>
        <v>5.9946139180171594</v>
      </c>
      <c r="S30" s="61">
        <f>1217.1*1.55</f>
        <v>1886.5049999999999</v>
      </c>
      <c r="T30" s="71">
        <f t="shared" si="8"/>
        <v>14089.960107180228</v>
      </c>
      <c r="U30" s="72">
        <f t="shared" si="9"/>
        <v>1.4089960107180228</v>
      </c>
      <c r="V30" t="s">
        <v>152</v>
      </c>
    </row>
    <row r="31" spans="1:22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 t="str">
        <f>Jar_Information!M17</f>
        <v>27/07/2018 17:30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73"/>
      <c r="R31" s="61"/>
      <c r="S31" s="61"/>
      <c r="T31" s="71" t="e">
        <f t="shared" si="8"/>
        <v>#DIV/0!</v>
      </c>
      <c r="U31" s="72" t="e">
        <f t="shared" si="9"/>
        <v>#DIV/0!</v>
      </c>
    </row>
    <row r="32" spans="1:22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 t="str">
        <f>Jar_Information!M18</f>
        <v>27/07/2018 17:39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73"/>
      <c r="R32" s="61"/>
      <c r="S32" s="61"/>
      <c r="T32" s="71" t="e">
        <f t="shared" si="8"/>
        <v>#DIV/0!</v>
      </c>
      <c r="U32" s="72" t="e">
        <f t="shared" si="9"/>
        <v>#DIV/0!</v>
      </c>
    </row>
    <row r="33" spans="1:21">
      <c r="A33" s="1" t="s">
        <v>26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 t="str">
        <f>Jar_Information!M19</f>
        <v>27/07/2018 17:39</v>
      </c>
      <c r="J33" s="55">
        <f t="shared" si="1"/>
        <v>-43308.73541666667</v>
      </c>
      <c r="K33" s="55">
        <f t="shared" si="4"/>
        <v>-1039409.6500000001</v>
      </c>
      <c r="L33" s="56">
        <f>Jar_Information!H19</f>
        <v>1030.5926189758623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73"/>
      <c r="R33" s="61"/>
      <c r="S33" s="61"/>
      <c r="T33" s="71" t="e">
        <f t="shared" si="8"/>
        <v>#DIV/0!</v>
      </c>
      <c r="U33" s="72" t="e">
        <f t="shared" si="9"/>
        <v>#DIV/0!</v>
      </c>
    </row>
    <row r="34" spans="1:21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 t="str">
        <f>Jar_Information!M20</f>
        <v>27/07/2018 17:39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73"/>
      <c r="R34" s="61"/>
      <c r="S34" s="61"/>
      <c r="T34" s="71" t="e">
        <f t="shared" si="8"/>
        <v>#DIV/0!</v>
      </c>
      <c r="U34" s="72" t="e">
        <f t="shared" si="9"/>
        <v>#DIV/0!</v>
      </c>
    </row>
    <row r="35" spans="1:21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 t="str">
        <f>Jar_Information!M21</f>
        <v>27/07/2018 17:39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74"/>
      <c r="R35" s="61"/>
      <c r="T35" s="71" t="e">
        <f t="shared" si="8"/>
        <v>#DIV/0!</v>
      </c>
      <c r="U35" s="72" t="e">
        <f t="shared" si="9"/>
        <v>#DIV/0!</v>
      </c>
    </row>
    <row r="36" spans="1:21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 t="str">
        <f>Jar_Information!M22</f>
        <v>27/07/2018 17:39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74"/>
      <c r="R36" s="61"/>
      <c r="T36" s="71" t="e">
        <f t="shared" si="8"/>
        <v>#DIV/0!</v>
      </c>
      <c r="U36" s="72" t="e">
        <f t="shared" si="9"/>
        <v>#DIV/0!</v>
      </c>
    </row>
    <row r="37" spans="1:21">
      <c r="A37" s="62"/>
      <c r="B37" s="50"/>
    </row>
  </sheetData>
  <conditionalFormatting sqref="N17:N36">
    <cfRule type="cellIs" dxfId="13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7" workbookViewId="0">
      <selection activeCell="J25" sqref="J25"/>
    </sheetView>
  </sheetViews>
  <sheetFormatPr baseColWidth="10" defaultRowHeight="14" x14ac:dyDescent="0"/>
  <cols>
    <col min="1" max="1" width="11" bestFit="1" customWidth="1"/>
    <col min="2" max="2" width="5" customWidth="1"/>
    <col min="8" max="8" width="3" customWidth="1"/>
    <col min="9" max="9" width="3.33203125" customWidth="1"/>
    <col min="23" max="23" width="14.33203125" bestFit="1" customWidth="1"/>
  </cols>
  <sheetData>
    <row r="1" spans="1:22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2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2">
      <c r="A3" s="21">
        <v>5</v>
      </c>
      <c r="B3" s="31">
        <v>43336</v>
      </c>
      <c r="C3" s="32">
        <v>3015</v>
      </c>
      <c r="D3" s="22">
        <v>1614.4</v>
      </c>
      <c r="E3" s="33">
        <v>372.16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1:22">
      <c r="A4" s="21">
        <v>4.4000000000000004</v>
      </c>
      <c r="B4" s="31">
        <v>43336</v>
      </c>
      <c r="C4" s="32">
        <v>3015</v>
      </c>
      <c r="D4" s="33">
        <v>1421</v>
      </c>
      <c r="E4" s="33">
        <v>338.12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</row>
    <row r="5" spans="1:22">
      <c r="A5" s="21">
        <v>4</v>
      </c>
      <c r="B5" s="31">
        <v>43336</v>
      </c>
      <c r="C5" s="32">
        <v>3015</v>
      </c>
      <c r="D5" s="22">
        <v>1315.2</v>
      </c>
      <c r="E5" s="33">
        <v>318.8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2">
      <c r="A6" s="21">
        <v>3.4</v>
      </c>
      <c r="B6" s="31">
        <v>43336</v>
      </c>
      <c r="C6" s="32">
        <v>3015</v>
      </c>
      <c r="D6" s="33">
        <v>1157.0999999999999</v>
      </c>
      <c r="E6" s="33">
        <v>276.10000000000002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</row>
    <row r="7" spans="1:22">
      <c r="A7" s="21">
        <v>3</v>
      </c>
      <c r="B7" s="31">
        <v>43336</v>
      </c>
      <c r="C7" s="32">
        <v>3015</v>
      </c>
      <c r="D7" s="22">
        <v>1050.0999999999999</v>
      </c>
      <c r="E7" s="33">
        <v>246.74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1:22">
      <c r="A8" s="21">
        <v>2.4</v>
      </c>
      <c r="B8" s="31">
        <v>43336</v>
      </c>
      <c r="C8" s="32">
        <v>3015</v>
      </c>
      <c r="D8" s="33">
        <v>827.66</v>
      </c>
      <c r="E8" s="33">
        <v>205.93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1:22">
      <c r="A9" s="21">
        <v>2</v>
      </c>
      <c r="B9" s="31">
        <v>43336</v>
      </c>
      <c r="C9" s="32">
        <v>3015</v>
      </c>
      <c r="D9" s="22">
        <v>696.62</v>
      </c>
      <c r="E9" s="33">
        <v>176.04</v>
      </c>
      <c r="F9" s="34">
        <f t="shared" si="0"/>
        <v>6.03</v>
      </c>
      <c r="G9" s="37" t="s">
        <v>112</v>
      </c>
      <c r="H9" s="37"/>
      <c r="I9" s="38">
        <f>SLOPE(F3:F13,D3:D13)</f>
        <v>9.3812761787956094E-3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2">
      <c r="A10" s="21">
        <v>1.4</v>
      </c>
      <c r="B10" s="31">
        <v>43336</v>
      </c>
      <c r="C10" s="32">
        <v>3015</v>
      </c>
      <c r="D10" s="22">
        <v>504.98</v>
      </c>
      <c r="E10" s="33">
        <v>129.21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-0.36350670325015777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1:22">
      <c r="A11" s="21">
        <v>1</v>
      </c>
      <c r="B11" s="31">
        <v>43336</v>
      </c>
      <c r="C11" s="32">
        <v>3015</v>
      </c>
      <c r="D11" s="22">
        <v>360.33</v>
      </c>
      <c r="E11" s="33">
        <v>90.995999999999995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1:22">
      <c r="A12" s="39">
        <v>0.4</v>
      </c>
      <c r="B12" s="31">
        <v>43336</v>
      </c>
      <c r="C12" s="32">
        <v>3015</v>
      </c>
      <c r="D12" s="39">
        <v>149.6</v>
      </c>
      <c r="E12" s="39">
        <v>39.540999999999997</v>
      </c>
      <c r="F12" s="34">
        <f t="shared" si="0"/>
        <v>1.206</v>
      </c>
      <c r="G12" s="40" t="s">
        <v>114</v>
      </c>
      <c r="H12" s="40"/>
      <c r="I12" s="41">
        <f>SLOPE(F3:F13,E3:E13)</f>
        <v>4.0472156408123829E-2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2">
      <c r="A13" s="39">
        <v>0.2</v>
      </c>
      <c r="B13" s="31">
        <v>43336</v>
      </c>
      <c r="C13" s="32">
        <v>3015</v>
      </c>
      <c r="D13" s="39">
        <v>70.906999999999996</v>
      </c>
      <c r="E13" s="39">
        <v>19.515000000000001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-0.68754853626836976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2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76" t="s">
        <v>140</v>
      </c>
      <c r="P15" s="43" t="s">
        <v>124</v>
      </c>
      <c r="Q15" s="43" t="s">
        <v>157</v>
      </c>
      <c r="R15" s="43" t="s">
        <v>148</v>
      </c>
      <c r="S15" s="43" t="s">
        <v>148</v>
      </c>
      <c r="T15" s="43" t="s">
        <v>150</v>
      </c>
      <c r="U15" s="68" t="s">
        <v>134</v>
      </c>
      <c r="V15" s="68" t="s">
        <v>133</v>
      </c>
    </row>
    <row r="16" spans="1:22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75" t="s">
        <v>141</v>
      </c>
      <c r="P16" s="47" t="s">
        <v>132</v>
      </c>
      <c r="Q16" s="47"/>
      <c r="R16" s="47" t="s">
        <v>156</v>
      </c>
      <c r="S16" s="47" t="s">
        <v>132</v>
      </c>
      <c r="T16" s="47" t="s">
        <v>153</v>
      </c>
    </row>
    <row r="17" spans="1:25">
      <c r="A17" s="1" t="s">
        <v>30</v>
      </c>
      <c r="B17" s="50">
        <v>43336.630555555559</v>
      </c>
      <c r="C17" s="21">
        <v>2</v>
      </c>
      <c r="D17" s="51">
        <v>1110.2</v>
      </c>
      <c r="E17" s="52">
        <v>266.49</v>
      </c>
      <c r="F17" s="53">
        <f>((I$9*D17)+I$10)/C17/1000</f>
        <v>5.0257930552243639E-3</v>
      </c>
      <c r="G17" s="53">
        <f>((I$12*E17)+I$13)/C17/1000</f>
        <v>5.0489382124662748E-3</v>
      </c>
      <c r="H17" s="53"/>
      <c r="I17" s="54" t="str">
        <f>Jar_Information!M23</f>
        <v>21/08/2018 14:29</v>
      </c>
      <c r="J17" s="55">
        <f t="shared" ref="J17:J36" si="1">B17-I17</f>
        <v>3.0270833333343035</v>
      </c>
      <c r="K17" s="55">
        <f>J17*24</f>
        <v>72.650000000023283</v>
      </c>
      <c r="L17" s="56">
        <f>Jar_Information!H23</f>
        <v>1021.6154823015972</v>
      </c>
      <c r="M17" s="55">
        <f>F17*L17</f>
        <v>5.1344279960610564</v>
      </c>
      <c r="N17" s="55">
        <f>M17*1.83</f>
        <v>9.3960032327917329</v>
      </c>
      <c r="O17" s="55">
        <v>27.373506019753322</v>
      </c>
      <c r="P17" s="57">
        <f>N17*(12/(12+(16*2)))</f>
        <v>2.5625463362159269</v>
      </c>
      <c r="Q17" s="93"/>
      <c r="R17" s="57"/>
      <c r="S17" s="58"/>
      <c r="T17" s="56"/>
      <c r="U17" s="71">
        <f t="shared" ref="U17:U36" si="2">F17*1000000</f>
        <v>5025.7930552243643</v>
      </c>
      <c r="V17" s="72">
        <f t="shared" ref="V17:V36" si="3">M17/L17*100</f>
        <v>0.50257930552243635</v>
      </c>
    </row>
    <row r="18" spans="1:25">
      <c r="A18" s="1" t="s">
        <v>31</v>
      </c>
      <c r="B18" s="50">
        <v>43336.631944444445</v>
      </c>
      <c r="C18" s="21">
        <v>2</v>
      </c>
      <c r="D18" s="59">
        <v>690.38</v>
      </c>
      <c r="E18" s="60">
        <v>170.24</v>
      </c>
      <c r="F18" s="53">
        <f t="shared" ref="F18:F36" si="4">((I$9*D18)+I$10)/C18/1000</f>
        <v>3.0565693725333777E-3</v>
      </c>
      <c r="G18" s="53">
        <f t="shared" ref="G18:G36" si="5">((I$12*E18)+I$13)/C18/1000</f>
        <v>3.1012156853253156E-3</v>
      </c>
      <c r="H18" s="53"/>
      <c r="I18" s="54" t="str">
        <f>Jar_Information!M24</f>
        <v>21/08/2018 14:29</v>
      </c>
      <c r="J18" s="55">
        <f t="shared" si="1"/>
        <v>3.0284722222204437</v>
      </c>
      <c r="K18" s="55">
        <f t="shared" ref="K18:K36" si="6">J18*24</f>
        <v>72.683333333290648</v>
      </c>
      <c r="L18" s="56">
        <f>Jar_Information!H24</f>
        <v>1040.8668117949733</v>
      </c>
      <c r="M18" s="55">
        <f t="shared" ref="M18:M36" si="7">F18*L18</f>
        <v>3.1814816178189789</v>
      </c>
      <c r="N18" s="55">
        <f t="shared" ref="N18:N36" si="8">M18*1.83</f>
        <v>5.8221113606087318</v>
      </c>
      <c r="O18" s="55">
        <v>26.611591631551708</v>
      </c>
      <c r="P18" s="57">
        <f t="shared" ref="P18:P36" si="9">N18*(12/(12+(16*2)))</f>
        <v>1.5878485528932904</v>
      </c>
      <c r="Q18" s="93"/>
      <c r="R18" s="57"/>
      <c r="S18" s="58"/>
      <c r="T18" s="56"/>
      <c r="U18" s="71">
        <f t="shared" si="2"/>
        <v>3056.5693725333776</v>
      </c>
      <c r="V18" s="72">
        <f t="shared" si="3"/>
        <v>0.30565693725333776</v>
      </c>
    </row>
    <row r="19" spans="1:25">
      <c r="A19" s="1" t="s">
        <v>32</v>
      </c>
      <c r="B19" s="50">
        <v>43336.633333333331</v>
      </c>
      <c r="C19" s="21">
        <v>2</v>
      </c>
      <c r="D19" s="59">
        <v>365.12</v>
      </c>
      <c r="E19" s="60">
        <v>95.185000000000002</v>
      </c>
      <c r="F19" s="53">
        <f t="shared" si="4"/>
        <v>1.5308924275758476E-3</v>
      </c>
      <c r="G19" s="53">
        <f t="shared" si="5"/>
        <v>1.5823968357194485E-3</v>
      </c>
      <c r="H19" s="53"/>
      <c r="I19" s="54" t="str">
        <f>Jar_Information!M25</f>
        <v>21/08/2018 14:29</v>
      </c>
      <c r="J19" s="55">
        <f t="shared" si="1"/>
        <v>3.0298611111065838</v>
      </c>
      <c r="K19" s="55">
        <f t="shared" si="6"/>
        <v>72.716666666558012</v>
      </c>
      <c r="L19" s="56">
        <f>Jar_Information!H25</f>
        <v>1031.2130018297275</v>
      </c>
      <c r="M19" s="55">
        <f t="shared" si="7"/>
        <v>1.5786761757188885</v>
      </c>
      <c r="N19" s="55">
        <f t="shared" si="8"/>
        <v>2.8889774015655663</v>
      </c>
      <c r="O19" s="55">
        <v>27.373506019753343</v>
      </c>
      <c r="P19" s="57">
        <f t="shared" si="9"/>
        <v>0.78790292769969983</v>
      </c>
      <c r="Q19" s="93"/>
      <c r="R19" s="57"/>
      <c r="S19" s="58"/>
      <c r="T19" s="56"/>
      <c r="U19" s="71">
        <f t="shared" si="2"/>
        <v>1530.8924275758477</v>
      </c>
      <c r="V19" s="72">
        <f t="shared" si="3"/>
        <v>0.15308924275758476</v>
      </c>
    </row>
    <row r="20" spans="1:25">
      <c r="A20" s="1" t="s">
        <v>33</v>
      </c>
      <c r="B20" s="50">
        <v>43336.634722222225</v>
      </c>
      <c r="C20" s="21">
        <v>3</v>
      </c>
      <c r="D20" s="59">
        <v>540.11</v>
      </c>
      <c r="E20" s="60">
        <v>139.77000000000001</v>
      </c>
      <c r="F20" s="53">
        <f t="shared" si="4"/>
        <v>1.5678047912263795E-3</v>
      </c>
      <c r="G20" s="53">
        <f t="shared" si="5"/>
        <v>1.6564149216316995E-3</v>
      </c>
      <c r="H20" s="53"/>
      <c r="I20" s="54" t="str">
        <f>Jar_Information!M26</f>
        <v>21/08/2018 15:49</v>
      </c>
      <c r="J20" s="55">
        <f t="shared" si="1"/>
        <v>2.9756944444452529</v>
      </c>
      <c r="K20" s="55">
        <f t="shared" si="6"/>
        <v>71.416666666686069</v>
      </c>
      <c r="L20" s="56">
        <f>Jar_Information!H26</f>
        <v>1016.8376778203445</v>
      </c>
      <c r="M20" s="55">
        <f t="shared" si="7"/>
        <v>1.5942029831862417</v>
      </c>
      <c r="N20" s="55">
        <f t="shared" si="8"/>
        <v>2.9173914592308225</v>
      </c>
      <c r="O20" s="55">
        <v>26.611591631551708</v>
      </c>
      <c r="P20" s="57">
        <f t="shared" si="9"/>
        <v>0.79565221615386061</v>
      </c>
      <c r="Q20" s="93"/>
      <c r="R20" s="57"/>
      <c r="S20" s="58"/>
      <c r="T20" s="56"/>
      <c r="U20" s="71">
        <f t="shared" si="2"/>
        <v>1567.8047912263794</v>
      </c>
      <c r="V20" s="72">
        <f t="shared" si="3"/>
        <v>0.15678047912263793</v>
      </c>
    </row>
    <row r="21" spans="1:25">
      <c r="A21" s="1" t="s">
        <v>34</v>
      </c>
      <c r="B21" s="50">
        <v>43336.635416666664</v>
      </c>
      <c r="C21" s="21">
        <v>3</v>
      </c>
      <c r="D21" s="59">
        <v>426.05</v>
      </c>
      <c r="E21" s="60">
        <v>101.87</v>
      </c>
      <c r="F21" s="53">
        <f t="shared" si="4"/>
        <v>1.2111286709085708E-3</v>
      </c>
      <c r="G21" s="53">
        <f t="shared" si="5"/>
        <v>1.1451166790090684E-3</v>
      </c>
      <c r="H21" s="53"/>
      <c r="I21" s="54" t="str">
        <f>Jar_Information!M27</f>
        <v>21/08/2018 14:29</v>
      </c>
      <c r="J21" s="55">
        <f t="shared" si="1"/>
        <v>3.0319444444394321</v>
      </c>
      <c r="K21" s="55">
        <f t="shared" si="6"/>
        <v>72.766666666546371</v>
      </c>
      <c r="L21" s="56">
        <f>Jar_Information!H27</f>
        <v>1026.4072365769557</v>
      </c>
      <c r="M21" s="55">
        <f t="shared" si="7"/>
        <v>1.2431112322463873</v>
      </c>
      <c r="N21" s="55">
        <f t="shared" si="8"/>
        <v>2.2748935550108889</v>
      </c>
      <c r="O21" s="55">
        <v>27.118040607238672</v>
      </c>
      <c r="P21" s="57">
        <f t="shared" si="9"/>
        <v>0.62042551500296961</v>
      </c>
      <c r="Q21" s="93"/>
      <c r="R21" s="57"/>
      <c r="S21" s="58"/>
      <c r="T21" s="91"/>
      <c r="U21" s="71">
        <f t="shared" si="2"/>
        <v>1211.1286709085707</v>
      </c>
      <c r="V21" s="72">
        <f t="shared" si="3"/>
        <v>0.12111286709085708</v>
      </c>
    </row>
    <row r="22" spans="1:25">
      <c r="A22" s="1" t="s">
        <v>35</v>
      </c>
      <c r="B22" s="50">
        <v>43336.636805555558</v>
      </c>
      <c r="C22" s="21">
        <v>3</v>
      </c>
      <c r="D22" s="59">
        <v>463.34</v>
      </c>
      <c r="E22" s="60">
        <v>11058</v>
      </c>
      <c r="F22" s="53">
        <f t="shared" si="4"/>
        <v>1.3277379338109999E-3</v>
      </c>
      <c r="G22" s="53">
        <f t="shared" si="5"/>
        <v>0.14895118567492166</v>
      </c>
      <c r="H22" s="53"/>
      <c r="I22" s="54" t="str">
        <f>Jar_Information!M28</f>
        <v>21/08/2018 15:49</v>
      </c>
      <c r="J22" s="55">
        <f t="shared" si="1"/>
        <v>2.9777777777781012</v>
      </c>
      <c r="K22" s="55">
        <f t="shared" si="6"/>
        <v>71.466666666674428</v>
      </c>
      <c r="L22" s="56">
        <f>Jar_Information!H28</f>
        <v>1007.3236752829298</v>
      </c>
      <c r="M22" s="55">
        <f t="shared" si="7"/>
        <v>1.3374618552990598</v>
      </c>
      <c r="N22" s="55">
        <f t="shared" si="8"/>
        <v>2.4475551951972796</v>
      </c>
      <c r="O22" s="55">
        <v>26.485903564592896</v>
      </c>
      <c r="P22" s="57">
        <f t="shared" si="9"/>
        <v>0.66751505323562166</v>
      </c>
      <c r="Q22" s="93"/>
      <c r="R22" s="57"/>
      <c r="S22" s="58"/>
      <c r="T22" s="56"/>
      <c r="U22" s="71">
        <f t="shared" si="2"/>
        <v>1327.7379338109999</v>
      </c>
      <c r="V22" s="72">
        <f t="shared" si="3"/>
        <v>0.13277379338109999</v>
      </c>
    </row>
    <row r="23" spans="1:25">
      <c r="A23" s="1" t="s">
        <v>36</v>
      </c>
      <c r="B23" s="50">
        <v>43336.637499999997</v>
      </c>
      <c r="C23" s="21">
        <v>1</v>
      </c>
      <c r="D23" s="59">
        <v>920.36</v>
      </c>
      <c r="E23" s="60">
        <v>215.53</v>
      </c>
      <c r="F23" s="53">
        <f t="shared" si="4"/>
        <v>8.27064464066617E-3</v>
      </c>
      <c r="G23" s="53">
        <f t="shared" si="5"/>
        <v>8.0354153343745582E-3</v>
      </c>
      <c r="H23" s="53"/>
      <c r="I23" s="54" t="str">
        <f>Jar_Information!M29</f>
        <v>21/08/2018 15:49</v>
      </c>
      <c r="J23" s="55">
        <f t="shared" si="1"/>
        <v>2.9784722222175333</v>
      </c>
      <c r="K23" s="55">
        <f t="shared" si="6"/>
        <v>71.483333333220799</v>
      </c>
      <c r="L23" s="56">
        <f>Jar_Information!H29</f>
        <v>1036.0328396015414</v>
      </c>
      <c r="M23" s="55">
        <f t="shared" si="7"/>
        <v>8.568659452404642</v>
      </c>
      <c r="N23" s="55">
        <f t="shared" si="8"/>
        <v>15.680646797900495</v>
      </c>
      <c r="O23" s="55">
        <v>27.501804749819797</v>
      </c>
      <c r="P23" s="57">
        <f t="shared" si="9"/>
        <v>4.2765400357910437</v>
      </c>
      <c r="Q23" s="93"/>
      <c r="R23" s="57"/>
      <c r="S23" s="58"/>
      <c r="T23" s="56"/>
      <c r="U23" s="71">
        <f t="shared" si="2"/>
        <v>8270.6446406661707</v>
      </c>
      <c r="V23" s="72">
        <f t="shared" si="3"/>
        <v>0.82706446406661704</v>
      </c>
    </row>
    <row r="24" spans="1:25">
      <c r="A24" s="1" t="s">
        <v>37</v>
      </c>
      <c r="B24" s="50">
        <v>43336.63958333333</v>
      </c>
      <c r="C24" s="21">
        <v>1</v>
      </c>
      <c r="D24" s="59">
        <v>856.54</v>
      </c>
      <c r="E24" s="60">
        <v>198.43</v>
      </c>
      <c r="F24" s="53">
        <f t="shared" si="4"/>
        <v>7.6719315949354333E-3</v>
      </c>
      <c r="G24" s="53">
        <f t="shared" si="5"/>
        <v>7.3433414597956423E-3</v>
      </c>
      <c r="H24" s="53"/>
      <c r="I24" s="54" t="str">
        <f>Jar_Information!M30</f>
        <v>21/08/2018 15:49</v>
      </c>
      <c r="J24" s="55">
        <f t="shared" si="1"/>
        <v>2.9805555555503815</v>
      </c>
      <c r="K24" s="55">
        <f t="shared" si="6"/>
        <v>71.533333333209157</v>
      </c>
      <c r="L24" s="56">
        <f>Jar_Information!H30</f>
        <v>1036.0328396015414</v>
      </c>
      <c r="M24" s="55">
        <f t="shared" si="7"/>
        <v>7.948373075529739</v>
      </c>
      <c r="N24" s="55">
        <f t="shared" si="8"/>
        <v>14.545522728219423</v>
      </c>
      <c r="O24" s="55">
        <v>27.118040607238672</v>
      </c>
      <c r="P24" s="57">
        <f t="shared" si="9"/>
        <v>3.9669607440598424</v>
      </c>
      <c r="Q24" s="93"/>
      <c r="R24" s="57"/>
      <c r="S24" s="58"/>
      <c r="T24" s="56"/>
      <c r="U24" s="71">
        <f t="shared" si="2"/>
        <v>7671.9315949354332</v>
      </c>
      <c r="V24" s="72">
        <f t="shared" si="3"/>
        <v>0.76719315949354328</v>
      </c>
    </row>
    <row r="25" spans="1:25">
      <c r="A25" s="1" t="s">
        <v>38</v>
      </c>
      <c r="B25" s="50">
        <v>43336.640972222223</v>
      </c>
      <c r="C25" s="21">
        <v>1</v>
      </c>
      <c r="D25" s="59">
        <v>1580.7</v>
      </c>
      <c r="E25" s="60">
        <v>383.2</v>
      </c>
      <c r="F25" s="53">
        <f t="shared" si="4"/>
        <v>1.4465476552572062E-2</v>
      </c>
      <c r="G25" s="53">
        <f t="shared" si="5"/>
        <v>1.4821381799324681E-2</v>
      </c>
      <c r="H25" s="53"/>
      <c r="I25" s="54" t="str">
        <f>Jar_Information!M31</f>
        <v>21/08/2018 15:49</v>
      </c>
      <c r="J25" s="55">
        <f t="shared" si="1"/>
        <v>2.9819444444437977</v>
      </c>
      <c r="K25" s="55">
        <f t="shared" si="6"/>
        <v>71.566666666651145</v>
      </c>
      <c r="L25" s="56">
        <f>Jar_Information!H31</f>
        <v>1036.0328396015414</v>
      </c>
      <c r="M25" s="55">
        <f t="shared" si="7"/>
        <v>14.986708748950749</v>
      </c>
      <c r="N25" s="55">
        <f t="shared" si="8"/>
        <v>27.425677010579872</v>
      </c>
      <c r="O25" s="73">
        <v>27.245585194635542</v>
      </c>
      <c r="P25" s="57">
        <f t="shared" si="9"/>
        <v>7.4797300937945099</v>
      </c>
      <c r="Q25" s="93">
        <f t="shared" ref="Q25:Q35" si="10">P25*(400/(400+L25))</f>
        <v>2.0834426309832645</v>
      </c>
      <c r="R25" s="57">
        <f>S25/Q25*100</f>
        <v>47.875467343131788</v>
      </c>
      <c r="S25" s="89">
        <f>T25/314.7</f>
        <v>0.99745789640927862</v>
      </c>
      <c r="T25" s="61">
        <v>313.89999999999998</v>
      </c>
      <c r="U25" s="71">
        <f t="shared" si="2"/>
        <v>14465.476552572063</v>
      </c>
      <c r="V25" s="72">
        <f t="shared" si="3"/>
        <v>1.4465476552572063</v>
      </c>
    </row>
    <row r="26" spans="1:25">
      <c r="A26" s="1" t="s">
        <v>39</v>
      </c>
      <c r="B26" s="50">
        <v>43336.64166666667</v>
      </c>
      <c r="C26" s="21">
        <v>1</v>
      </c>
      <c r="D26" s="59">
        <v>1503.6</v>
      </c>
      <c r="E26" s="60">
        <v>337.53</v>
      </c>
      <c r="F26" s="53">
        <f t="shared" si="4"/>
        <v>1.3742180159186919E-2</v>
      </c>
      <c r="G26" s="53">
        <f t="shared" si="5"/>
        <v>1.2973018416165666E-2</v>
      </c>
      <c r="H26" s="53"/>
      <c r="I26" s="54" t="str">
        <f>Jar_Information!M32</f>
        <v>21/08/2018 15:55</v>
      </c>
      <c r="J26" s="55">
        <f t="shared" si="1"/>
        <v>2.9784722222248092</v>
      </c>
      <c r="K26" s="55">
        <f t="shared" si="6"/>
        <v>71.483333333395422</v>
      </c>
      <c r="L26" s="56">
        <f>Jar_Information!H32</f>
        <v>1036.0328396015414</v>
      </c>
      <c r="M26" s="55">
        <f t="shared" si="7"/>
        <v>14.237349932638384</v>
      </c>
      <c r="N26" s="55">
        <f t="shared" si="8"/>
        <v>26.054350376728244</v>
      </c>
      <c r="O26" s="73">
        <v>26.485903564592896</v>
      </c>
      <c r="P26" s="57">
        <f t="shared" si="9"/>
        <v>7.1057319209258845</v>
      </c>
      <c r="Q26" s="93">
        <f t="shared" si="10"/>
        <v>1.9792672493193191</v>
      </c>
      <c r="R26" s="57">
        <f t="shared" ref="R26:R35" si="11">S26/Q26*100</f>
        <v>99.474147904522013</v>
      </c>
      <c r="S26" s="89">
        <f>T26/314.7</f>
        <v>1.9688592310136639</v>
      </c>
      <c r="T26" s="61">
        <v>619.6</v>
      </c>
      <c r="U26" s="71">
        <f t="shared" si="2"/>
        <v>13742.180159186919</v>
      </c>
      <c r="V26" s="72">
        <f t="shared" si="3"/>
        <v>1.3742180159186919</v>
      </c>
      <c r="Y26" t="s">
        <v>162</v>
      </c>
    </row>
    <row r="27" spans="1:25">
      <c r="A27" s="1" t="s">
        <v>40</v>
      </c>
      <c r="B27" s="50">
        <v>43336.656944444447</v>
      </c>
      <c r="C27" s="21">
        <v>0.2</v>
      </c>
      <c r="D27" s="59">
        <v>1122.3</v>
      </c>
      <c r="E27" s="60">
        <v>258.14999999999998</v>
      </c>
      <c r="F27" s="53">
        <f t="shared" si="4"/>
        <v>5.0825497761060774E-2</v>
      </c>
      <c r="G27" s="53">
        <f t="shared" si="5"/>
        <v>4.8801693202443971E-2</v>
      </c>
      <c r="H27" s="53"/>
      <c r="I27" s="54" t="str">
        <f>Jar_Information!M33</f>
        <v>21/08/2018 15:55</v>
      </c>
      <c r="J27" s="55">
        <f t="shared" si="1"/>
        <v>2.9937500000014552</v>
      </c>
      <c r="K27" s="55">
        <f t="shared" si="6"/>
        <v>71.850000000034925</v>
      </c>
      <c r="L27" s="56">
        <f>Jar_Information!H33</f>
        <v>1012.0737623056069</v>
      </c>
      <c r="M27" s="55">
        <f t="shared" si="7"/>
        <v>51.439152740091977</v>
      </c>
      <c r="N27" s="55">
        <f t="shared" si="8"/>
        <v>94.133649514368315</v>
      </c>
      <c r="O27" s="73">
        <v>26.485903564592896</v>
      </c>
      <c r="P27" s="57">
        <f t="shared" si="9"/>
        <v>25.672813503918629</v>
      </c>
      <c r="Q27" s="93">
        <f t="shared" si="10"/>
        <v>7.2723717950825888</v>
      </c>
      <c r="R27" s="57">
        <f t="shared" si="11"/>
        <v>54.395334308761001</v>
      </c>
      <c r="S27" s="89">
        <f t="shared" ref="S27:S35" si="12">T27/314.7</f>
        <v>3.9558309501112174</v>
      </c>
      <c r="T27" s="61">
        <v>1244.9000000000001</v>
      </c>
      <c r="U27" s="71">
        <f t="shared" si="2"/>
        <v>50825.497761060775</v>
      </c>
      <c r="V27" s="72">
        <f t="shared" si="3"/>
        <v>5.0825497761060774</v>
      </c>
      <c r="X27">
        <v>261</v>
      </c>
      <c r="Y27" s="71">
        <f>X27*4.78</f>
        <v>1247.5800000000002</v>
      </c>
    </row>
    <row r="28" spans="1:25">
      <c r="A28" s="1" t="s">
        <v>41</v>
      </c>
      <c r="B28" s="50">
        <v>43336.658333333333</v>
      </c>
      <c r="C28" s="21">
        <v>0.2</v>
      </c>
      <c r="D28" s="59">
        <v>1065.0999999999999</v>
      </c>
      <c r="E28" s="60">
        <v>242.4</v>
      </c>
      <c r="F28" s="53">
        <f t="shared" si="4"/>
        <v>4.8142452773925232E-2</v>
      </c>
      <c r="G28" s="53">
        <f t="shared" si="5"/>
        <v>4.561451088530423E-2</v>
      </c>
      <c r="H28" s="53"/>
      <c r="I28" s="54" t="str">
        <f>Jar_Information!M34</f>
        <v>21/08/2018 15:55</v>
      </c>
      <c r="J28" s="55">
        <f t="shared" si="1"/>
        <v>2.9951388888875954</v>
      </c>
      <c r="K28" s="55">
        <f t="shared" si="6"/>
        <v>71.883333333302289</v>
      </c>
      <c r="L28" s="56">
        <f>Jar_Information!H34</f>
        <v>1026.4072365769557</v>
      </c>
      <c r="M28" s="55">
        <f t="shared" si="7"/>
        <v>49.413761913721196</v>
      </c>
      <c r="N28" s="55">
        <f t="shared" si="8"/>
        <v>90.427184302109794</v>
      </c>
      <c r="O28" s="73">
        <v>26.611591631551708</v>
      </c>
      <c r="P28" s="57">
        <f t="shared" si="9"/>
        <v>24.66195935512085</v>
      </c>
      <c r="Q28" s="93">
        <f t="shared" si="10"/>
        <v>6.9158256415759061</v>
      </c>
      <c r="R28" s="57">
        <f t="shared" si="11"/>
        <v>65.934257920610477</v>
      </c>
      <c r="S28" s="89">
        <f t="shared" si="12"/>
        <v>4.5598983158563717</v>
      </c>
      <c r="T28" s="61">
        <f>512.5*2.8</f>
        <v>1435</v>
      </c>
      <c r="U28" s="71">
        <f t="shared" si="2"/>
        <v>48142.45277392523</v>
      </c>
      <c r="V28" s="72">
        <f t="shared" si="3"/>
        <v>4.8142452773925228</v>
      </c>
      <c r="W28" t="s">
        <v>160</v>
      </c>
      <c r="X28">
        <v>300.02</v>
      </c>
      <c r="Y28" s="71">
        <f t="shared" ref="Y28:Y35" si="13">X28*4.78</f>
        <v>1434.0955999999999</v>
      </c>
    </row>
    <row r="29" spans="1:25">
      <c r="A29" s="1" t="s">
        <v>42</v>
      </c>
      <c r="B29" s="50">
        <v>43336.660416666666</v>
      </c>
      <c r="C29" s="21">
        <v>0.2</v>
      </c>
      <c r="D29" s="59">
        <v>1132.3</v>
      </c>
      <c r="E29" s="60">
        <v>253.86</v>
      </c>
      <c r="F29" s="53">
        <f t="shared" si="4"/>
        <v>5.1294561570000549E-2</v>
      </c>
      <c r="G29" s="53">
        <f t="shared" si="5"/>
        <v>4.793356544748973E-2</v>
      </c>
      <c r="H29" s="53"/>
      <c r="I29" s="54" t="str">
        <f>Jar_Information!M35</f>
        <v>21/08/2018 15:55</v>
      </c>
      <c r="J29" s="55">
        <f t="shared" si="1"/>
        <v>2.9972222222204437</v>
      </c>
      <c r="K29" s="55">
        <f t="shared" si="6"/>
        <v>71.933333333290648</v>
      </c>
      <c r="L29" s="56">
        <f>Jar_Information!H35</f>
        <v>1021.6154823015972</v>
      </c>
      <c r="M29" s="55">
        <f t="shared" si="7"/>
        <v>52.403318257785088</v>
      </c>
      <c r="N29" s="55">
        <f t="shared" si="8"/>
        <v>95.89807241174671</v>
      </c>
      <c r="O29" s="73">
        <v>27.366497554966767</v>
      </c>
      <c r="P29" s="57">
        <f t="shared" si="9"/>
        <v>26.154019748658193</v>
      </c>
      <c r="Q29" s="93">
        <f t="shared" si="10"/>
        <v>7.3589574886494074</v>
      </c>
      <c r="R29" s="57">
        <f t="shared" si="11"/>
        <v>51.600613870877091</v>
      </c>
      <c r="S29" s="89">
        <f t="shared" si="12"/>
        <v>3.7972672386399746</v>
      </c>
      <c r="T29" s="61">
        <v>1195</v>
      </c>
      <c r="U29" s="71">
        <f t="shared" si="2"/>
        <v>51294.561570000551</v>
      </c>
      <c r="V29" s="72">
        <f t="shared" si="3"/>
        <v>5.129456157000055</v>
      </c>
      <c r="X29">
        <v>251.85</v>
      </c>
      <c r="Y29" s="71">
        <f t="shared" si="13"/>
        <v>1203.8430000000001</v>
      </c>
    </row>
    <row r="30" spans="1:25">
      <c r="A30" s="1" t="s">
        <v>43</v>
      </c>
      <c r="B30" s="50">
        <v>43336.661805555559</v>
      </c>
      <c r="C30" s="21">
        <v>0.2</v>
      </c>
      <c r="D30" s="59">
        <v>1053</v>
      </c>
      <c r="E30" s="60">
        <v>253.29</v>
      </c>
      <c r="F30" s="53">
        <f t="shared" si="4"/>
        <v>4.757488556510809E-2</v>
      </c>
      <c r="G30" s="53">
        <f t="shared" si="5"/>
        <v>4.7818219801726569E-2</v>
      </c>
      <c r="H30" s="53"/>
      <c r="I30" s="54" t="str">
        <f>Jar_Information!M36</f>
        <v>21/08/2018 15:55</v>
      </c>
      <c r="J30" s="55">
        <f t="shared" si="1"/>
        <v>2.9986111111138598</v>
      </c>
      <c r="K30" s="55">
        <f t="shared" si="6"/>
        <v>71.966666666732635</v>
      </c>
      <c r="L30" s="56">
        <f>Jar_Information!H36</f>
        <v>1016.8376778203445</v>
      </c>
      <c r="M30" s="55">
        <f t="shared" si="7"/>
        <v>48.375936160593142</v>
      </c>
      <c r="N30" s="55">
        <f t="shared" si="8"/>
        <v>88.527963173885453</v>
      </c>
      <c r="O30" s="73">
        <v>26.855607956200881</v>
      </c>
      <c r="P30" s="57">
        <f t="shared" si="9"/>
        <v>24.143989956514211</v>
      </c>
      <c r="Q30" s="93">
        <f t="shared" si="10"/>
        <v>6.8163037543318845</v>
      </c>
      <c r="R30" s="57">
        <f t="shared" si="11"/>
        <v>66.596714958105736</v>
      </c>
      <c r="S30" s="89">
        <f t="shared" si="12"/>
        <v>4.5394343819510645</v>
      </c>
      <c r="T30" s="61">
        <f>510.2*2.8</f>
        <v>1428.56</v>
      </c>
      <c r="U30" s="71">
        <f t="shared" si="2"/>
        <v>47574.885565108088</v>
      </c>
      <c r="V30" s="72">
        <f t="shared" si="3"/>
        <v>4.7574885565108094</v>
      </c>
      <c r="W30" t="s">
        <v>160</v>
      </c>
      <c r="X30">
        <v>297.77999999999997</v>
      </c>
      <c r="Y30" s="71">
        <f t="shared" si="13"/>
        <v>1423.3884</v>
      </c>
    </row>
    <row r="31" spans="1:25">
      <c r="A31" s="1" t="s">
        <v>44</v>
      </c>
      <c r="B31" s="50">
        <v>43336.662499999999</v>
      </c>
      <c r="C31" s="21">
        <v>0.2</v>
      </c>
      <c r="D31" s="59">
        <v>1126.5</v>
      </c>
      <c r="E31" s="60">
        <v>255.92</v>
      </c>
      <c r="F31" s="53">
        <f t="shared" si="4"/>
        <v>5.1022504560815481E-2</v>
      </c>
      <c r="G31" s="53">
        <f t="shared" si="5"/>
        <v>4.83504286584934E-2</v>
      </c>
      <c r="H31" s="53"/>
      <c r="I31" s="54" t="str">
        <f>Jar_Information!M37</f>
        <v>21/08/2018 15:55</v>
      </c>
      <c r="J31" s="55">
        <f t="shared" si="1"/>
        <v>2.9993055555532919</v>
      </c>
      <c r="K31" s="55">
        <f t="shared" si="6"/>
        <v>71.983333333279006</v>
      </c>
      <c r="L31" s="56">
        <f>Jar_Information!H37</f>
        <v>997.86474656628161</v>
      </c>
      <c r="M31" s="55">
        <f t="shared" si="7"/>
        <v>50.913558582755087</v>
      </c>
      <c r="N31" s="55">
        <f t="shared" si="8"/>
        <v>93.171812206441814</v>
      </c>
      <c r="O31" s="73">
        <v>27.110299231101873</v>
      </c>
      <c r="P31" s="57">
        <f t="shared" si="9"/>
        <v>25.410494238120492</v>
      </c>
      <c r="Q31" s="93">
        <f t="shared" si="10"/>
        <v>7.2712311546704047</v>
      </c>
      <c r="R31" s="57">
        <f t="shared" si="11"/>
        <v>76.709933640309643</v>
      </c>
      <c r="S31" s="89">
        <f t="shared" si="12"/>
        <v>5.5777565935811886</v>
      </c>
      <c r="T31" s="61">
        <f>626.9*2.8</f>
        <v>1755.32</v>
      </c>
      <c r="U31" s="71">
        <f t="shared" si="2"/>
        <v>51022.504560815483</v>
      </c>
      <c r="V31" s="72">
        <f t="shared" si="3"/>
        <v>5.1022504560815483</v>
      </c>
      <c r="W31" t="s">
        <v>160</v>
      </c>
      <c r="X31">
        <v>368.5</v>
      </c>
      <c r="Y31" s="71">
        <f t="shared" si="13"/>
        <v>1761.43</v>
      </c>
    </row>
    <row r="32" spans="1:25">
      <c r="A32" s="1" t="s">
        <v>45</v>
      </c>
      <c r="B32" s="50">
        <v>43336.663888888892</v>
      </c>
      <c r="C32" s="21">
        <v>0.2</v>
      </c>
      <c r="D32" s="59">
        <v>1153.2</v>
      </c>
      <c r="E32" s="60">
        <v>260.22000000000003</v>
      </c>
      <c r="F32" s="53">
        <f t="shared" si="4"/>
        <v>5.22749049306847E-2</v>
      </c>
      <c r="G32" s="53">
        <f t="shared" si="5"/>
        <v>4.9220580021268071E-2</v>
      </c>
      <c r="H32" s="53"/>
      <c r="I32" s="54" t="str">
        <f>Jar_Information!M38</f>
        <v>21/08/2018 16:01</v>
      </c>
      <c r="J32" s="55">
        <f t="shared" si="1"/>
        <v>2.9965277777810115</v>
      </c>
      <c r="K32" s="55">
        <f t="shared" si="6"/>
        <v>71.916666666744277</v>
      </c>
      <c r="L32" s="56">
        <f>Jar_Information!H38</f>
        <v>1026.4072365769557</v>
      </c>
      <c r="M32" s="55">
        <f t="shared" si="7"/>
        <v>53.655340712227158</v>
      </c>
      <c r="N32" s="55">
        <f t="shared" si="8"/>
        <v>98.189273503375702</v>
      </c>
      <c r="O32" s="73">
        <v>26.982766044848059</v>
      </c>
      <c r="P32" s="57">
        <f t="shared" si="9"/>
        <v>26.778892773647918</v>
      </c>
      <c r="Q32" s="93">
        <f t="shared" si="10"/>
        <v>7.5094663254544356</v>
      </c>
      <c r="R32" s="57">
        <f t="shared" si="11"/>
        <v>72.544131856324839</v>
      </c>
      <c r="S32" s="89">
        <f t="shared" si="12"/>
        <v>5.447677152843978</v>
      </c>
      <c r="T32" s="61">
        <f>612.28*2.8</f>
        <v>1714.3839999999998</v>
      </c>
      <c r="U32" s="71">
        <f t="shared" si="2"/>
        <v>52274.904930684701</v>
      </c>
      <c r="V32" s="72">
        <f t="shared" si="3"/>
        <v>5.22749049306847</v>
      </c>
      <c r="W32" t="s">
        <v>160</v>
      </c>
      <c r="X32">
        <v>360.6</v>
      </c>
      <c r="Y32" s="71">
        <f t="shared" si="13"/>
        <v>1723.6680000000001</v>
      </c>
    </row>
    <row r="33" spans="1:25">
      <c r="A33" s="1" t="s">
        <v>46</v>
      </c>
      <c r="B33" s="50">
        <v>43336.664583333331</v>
      </c>
      <c r="C33" s="21">
        <v>0.2</v>
      </c>
      <c r="D33" s="59">
        <v>1046.4000000000001</v>
      </c>
      <c r="E33" s="60">
        <v>239.21</v>
      </c>
      <c r="F33" s="53">
        <f t="shared" si="4"/>
        <v>4.7265303451207843E-2</v>
      </c>
      <c r="G33" s="53">
        <f t="shared" si="5"/>
        <v>4.4968979990594654E-2</v>
      </c>
      <c r="H33" s="61"/>
      <c r="I33" s="54" t="str">
        <f>Jar_Information!M39</f>
        <v>21/08/2018 16:01</v>
      </c>
      <c r="J33" s="55">
        <f t="shared" si="1"/>
        <v>2.9972222222204437</v>
      </c>
      <c r="K33" s="55">
        <f t="shared" si="6"/>
        <v>71.933333333290648</v>
      </c>
      <c r="L33" s="56">
        <f>Jar_Information!H39</f>
        <v>1021.6154823015972</v>
      </c>
      <c r="M33" s="55">
        <f t="shared" si="7"/>
        <v>48.286965781437047</v>
      </c>
      <c r="N33" s="55">
        <f t="shared" si="8"/>
        <v>88.365147380029796</v>
      </c>
      <c r="O33" s="73">
        <v>27.110299231101873</v>
      </c>
      <c r="P33" s="57">
        <f t="shared" si="9"/>
        <v>24.099585649099033</v>
      </c>
      <c r="Q33" s="93">
        <f t="shared" si="10"/>
        <v>6.7809012912779414</v>
      </c>
      <c r="R33" s="57">
        <f t="shared" si="11"/>
        <v>68.571440256315356</v>
      </c>
      <c r="S33" s="89">
        <f t="shared" si="12"/>
        <v>4.6497616777883701</v>
      </c>
      <c r="T33" s="61">
        <f>522.6*2.8</f>
        <v>1463.28</v>
      </c>
      <c r="U33" s="71">
        <f t="shared" si="2"/>
        <v>47265.303451207845</v>
      </c>
      <c r="V33" s="72">
        <f t="shared" si="3"/>
        <v>4.7265303451207847</v>
      </c>
      <c r="W33" t="s">
        <v>160</v>
      </c>
      <c r="X33">
        <v>305.7</v>
      </c>
      <c r="Y33" s="71">
        <f t="shared" si="13"/>
        <v>1461.2460000000001</v>
      </c>
    </row>
    <row r="34" spans="1:25">
      <c r="A34" s="1" t="s">
        <v>47</v>
      </c>
      <c r="B34" s="50">
        <v>43336.667361111111</v>
      </c>
      <c r="C34" s="21">
        <v>0.2</v>
      </c>
      <c r="D34" s="59">
        <v>834.16</v>
      </c>
      <c r="E34" s="60">
        <v>204.62</v>
      </c>
      <c r="F34" s="53">
        <f t="shared" si="4"/>
        <v>3.7309893170269941E-2</v>
      </c>
      <c r="G34" s="53">
        <f t="shared" si="5"/>
        <v>3.7969320539809635E-2</v>
      </c>
      <c r="H34" s="61"/>
      <c r="I34" s="54" t="str">
        <f>Jar_Information!M40</f>
        <v>21/08/2018 16:01</v>
      </c>
      <c r="J34" s="55">
        <f t="shared" si="1"/>
        <v>3</v>
      </c>
      <c r="K34" s="55">
        <f t="shared" si="6"/>
        <v>72</v>
      </c>
      <c r="L34" s="56">
        <f>Jar_Information!H40</f>
        <v>1002.5873566284342</v>
      </c>
      <c r="M34" s="55">
        <f t="shared" si="7"/>
        <v>37.406427169670209</v>
      </c>
      <c r="N34" s="55">
        <f t="shared" si="8"/>
        <v>68.453761720496487</v>
      </c>
      <c r="O34" s="73">
        <v>27.366497554966767</v>
      </c>
      <c r="P34" s="57">
        <f t="shared" si="9"/>
        <v>18.669207741953585</v>
      </c>
      <c r="Q34" s="93">
        <f t="shared" si="10"/>
        <v>5.324219601360439</v>
      </c>
      <c r="R34" s="57">
        <f t="shared" si="11"/>
        <v>67.059301841265068</v>
      </c>
      <c r="S34" s="89">
        <f t="shared" si="12"/>
        <v>3.5703844931680964</v>
      </c>
      <c r="T34" s="61">
        <v>1123.5999999999999</v>
      </c>
      <c r="U34" s="71">
        <f t="shared" si="2"/>
        <v>37309.893170269941</v>
      </c>
      <c r="V34" s="72">
        <f t="shared" si="3"/>
        <v>3.7309893170269941</v>
      </c>
      <c r="X34">
        <v>235.5</v>
      </c>
      <c r="Y34" s="71">
        <f t="shared" si="13"/>
        <v>1125.69</v>
      </c>
    </row>
    <row r="35" spans="1:25">
      <c r="A35" s="1" t="s">
        <v>48</v>
      </c>
      <c r="B35" s="50">
        <v>43336.668749999997</v>
      </c>
      <c r="C35" s="21">
        <v>0.2</v>
      </c>
      <c r="D35" s="59">
        <v>780.73</v>
      </c>
      <c r="E35" s="60">
        <v>190.3</v>
      </c>
      <c r="F35" s="53">
        <f t="shared" si="4"/>
        <v>3.4803685239104688E-2</v>
      </c>
      <c r="G35" s="53">
        <f t="shared" si="5"/>
        <v>3.5071514140987976E-2</v>
      </c>
      <c r="H35" s="61"/>
      <c r="I35" s="54" t="str">
        <f>Jar_Information!M41</f>
        <v>21/08/2018 16:01</v>
      </c>
      <c r="J35" s="55">
        <f t="shared" si="1"/>
        <v>3.0013888888861402</v>
      </c>
      <c r="K35" s="55">
        <f t="shared" si="6"/>
        <v>72.033333333267365</v>
      </c>
      <c r="L35" s="56">
        <f>Jar_Information!H41</f>
        <v>993.15578566615829</v>
      </c>
      <c r="M35" s="55">
        <f t="shared" si="7"/>
        <v>34.565481357720692</v>
      </c>
      <c r="N35" s="55">
        <f t="shared" si="8"/>
        <v>63.254830884628866</v>
      </c>
      <c r="O35" s="74">
        <v>27.753650148385191</v>
      </c>
      <c r="P35" s="57">
        <f t="shared" si="9"/>
        <v>17.25131751398969</v>
      </c>
      <c r="Q35" s="93">
        <f t="shared" si="10"/>
        <v>4.9531625081657928</v>
      </c>
      <c r="R35" s="57">
        <f t="shared" si="11"/>
        <v>98.095907213116675</v>
      </c>
      <c r="S35" s="89">
        <f t="shared" si="12"/>
        <v>4.8588496981251987</v>
      </c>
      <c r="T35" s="61">
        <f>546.1*2.8</f>
        <v>1529.08</v>
      </c>
      <c r="U35" s="71">
        <f t="shared" si="2"/>
        <v>34803.685239104685</v>
      </c>
      <c r="V35" s="72">
        <f t="shared" si="3"/>
        <v>3.4803685239104687</v>
      </c>
      <c r="W35" t="s">
        <v>160</v>
      </c>
      <c r="X35">
        <v>319.10000000000002</v>
      </c>
      <c r="Y35" s="71">
        <f t="shared" si="13"/>
        <v>1525.2980000000002</v>
      </c>
    </row>
    <row r="36" spans="1:25">
      <c r="A36" s="1" t="s">
        <v>49</v>
      </c>
      <c r="B36" s="50">
        <v>43336.670138888891</v>
      </c>
      <c r="C36" s="21">
        <v>2</v>
      </c>
      <c r="D36" s="59">
        <v>1078.3</v>
      </c>
      <c r="E36" s="60">
        <v>254.61</v>
      </c>
      <c r="F36" s="53">
        <f t="shared" si="4"/>
        <v>4.8761617001725739E-3</v>
      </c>
      <c r="G36" s="53">
        <f t="shared" si="5"/>
        <v>4.8085336034020196E-3</v>
      </c>
      <c r="H36" s="61"/>
      <c r="I36" s="54" t="str">
        <f>Jar_Information!M42</f>
        <v>21/08/2018 16:01</v>
      </c>
      <c r="J36" s="55">
        <f t="shared" si="1"/>
        <v>3.0027777777795563</v>
      </c>
      <c r="K36" s="55">
        <f t="shared" si="6"/>
        <v>72.066666666709352</v>
      </c>
      <c r="L36" s="56">
        <f>Jar_Information!H42</f>
        <v>1026.4072365769557</v>
      </c>
      <c r="M36" s="55">
        <f t="shared" si="7"/>
        <v>5.0049276557765214</v>
      </c>
      <c r="N36" s="55">
        <f t="shared" si="8"/>
        <v>9.1590176100710341</v>
      </c>
      <c r="O36" s="74">
        <v>27.110299231101873</v>
      </c>
      <c r="P36" s="57">
        <f t="shared" si="9"/>
        <v>2.4979138936557366</v>
      </c>
      <c r="Q36" s="57"/>
      <c r="R36" s="57"/>
      <c r="S36" s="61"/>
      <c r="T36" s="61"/>
      <c r="U36" s="71">
        <f t="shared" si="2"/>
        <v>4876.1617001725735</v>
      </c>
      <c r="V36" s="72">
        <f t="shared" si="3"/>
        <v>0.48761617001725738</v>
      </c>
    </row>
    <row r="37" spans="1:25">
      <c r="A37" s="62"/>
      <c r="B37" s="50"/>
      <c r="S37" s="61"/>
      <c r="T37" s="61"/>
    </row>
    <row r="38" spans="1:25">
      <c r="A38" s="1" t="s">
        <v>13</v>
      </c>
      <c r="B38" s="50">
        <v>43336.626388888886</v>
      </c>
      <c r="C38" s="21">
        <v>2</v>
      </c>
      <c r="D38" s="59">
        <v>1500.9</v>
      </c>
      <c r="E38" s="60">
        <v>368.75</v>
      </c>
      <c r="F38" s="53">
        <f t="shared" ref="F38:F40" si="14">((I$9*D38)+I$10)/C38/1000</f>
        <v>6.8584253567520867E-3</v>
      </c>
      <c r="G38" s="53">
        <f t="shared" ref="G38:G40" si="15">((I$12*E38)+I$13)/C38/1000</f>
        <v>7.1182795696136461E-3</v>
      </c>
      <c r="H38" s="53"/>
      <c r="I38" s="54" t="str">
        <f>Jar_Information!M6</f>
        <v>27/07/2018 16:50</v>
      </c>
      <c r="J38" s="55">
        <f t="shared" ref="J38:J40" si="16">B38-I38</f>
        <v>27.924999999995634</v>
      </c>
      <c r="K38" s="55">
        <f t="shared" ref="K38:K40" si="17">J38*24</f>
        <v>670.19999999989523</v>
      </c>
      <c r="L38" s="56">
        <f>Jar_Information!H6</f>
        <v>1006.9230769230769</v>
      </c>
      <c r="M38" s="55">
        <f t="shared" ref="M38:M40" si="18">F38*L38</f>
        <v>6.9059067630680628</v>
      </c>
      <c r="N38" s="55">
        <f t="shared" ref="N38:N40" si="19">M38*1.83</f>
        <v>12.637809376414555</v>
      </c>
      <c r="O38" s="55">
        <v>26.611591631551708</v>
      </c>
      <c r="P38" s="57">
        <f t="shared" ref="P38:P40" si="20">N38*(12/(12+(16*2)))</f>
        <v>3.4466752844766968</v>
      </c>
      <c r="Q38" s="57"/>
      <c r="R38" s="57"/>
      <c r="S38" s="58"/>
      <c r="T38" s="58"/>
      <c r="U38" s="71">
        <f>F38*1000000</f>
        <v>6858.4253567520864</v>
      </c>
      <c r="V38" s="72">
        <f>M38/L38*100</f>
        <v>0.6858425356752087</v>
      </c>
    </row>
    <row r="39" spans="1:25">
      <c r="A39" s="1" t="s">
        <v>14</v>
      </c>
      <c r="B39" s="50">
        <v>43336.62777777778</v>
      </c>
      <c r="C39" s="21">
        <v>2</v>
      </c>
      <c r="D39" s="59">
        <v>1522.1</v>
      </c>
      <c r="E39" s="60">
        <v>354.83</v>
      </c>
      <c r="F39" s="53">
        <f t="shared" si="14"/>
        <v>6.9578668842473186E-3</v>
      </c>
      <c r="G39" s="53">
        <f t="shared" si="15"/>
        <v>6.8365933610131033E-3</v>
      </c>
      <c r="H39" s="53"/>
      <c r="I39" s="54" t="str">
        <f>Jar_Information!M7</f>
        <v>27/07/2018 16:50</v>
      </c>
      <c r="J39" s="55">
        <f t="shared" si="16"/>
        <v>27.926388888889051</v>
      </c>
      <c r="K39" s="55">
        <f t="shared" si="17"/>
        <v>670.23333333333721</v>
      </c>
      <c r="L39" s="56">
        <f>Jar_Information!H7</f>
        <v>1026.0859728506789</v>
      </c>
      <c r="M39" s="55">
        <f t="shared" si="18"/>
        <v>7.1393696108884317</v>
      </c>
      <c r="N39" s="55">
        <f t="shared" si="19"/>
        <v>13.065046387925831</v>
      </c>
      <c r="O39" s="55">
        <v>27.118040607238672</v>
      </c>
      <c r="P39" s="57">
        <f t="shared" si="20"/>
        <v>3.5631944694343174</v>
      </c>
      <c r="Q39" s="57"/>
      <c r="R39" s="57"/>
      <c r="S39" s="58"/>
      <c r="T39" s="58"/>
      <c r="U39" s="71">
        <f>F39*1000000</f>
        <v>6957.8668842473189</v>
      </c>
      <c r="V39" s="72">
        <f>M39/L39*100</f>
        <v>0.6957866884247319</v>
      </c>
    </row>
    <row r="40" spans="1:25">
      <c r="A40" s="1" t="s">
        <v>15</v>
      </c>
      <c r="B40" s="50">
        <v>43336.629166666666</v>
      </c>
      <c r="C40" s="21">
        <v>2</v>
      </c>
      <c r="D40" s="59">
        <v>1405.3</v>
      </c>
      <c r="E40" s="60">
        <v>322.45</v>
      </c>
      <c r="F40" s="53">
        <f t="shared" si="14"/>
        <v>6.4100003554056562E-3</v>
      </c>
      <c r="G40" s="53">
        <f t="shared" si="15"/>
        <v>6.1813491487655798E-3</v>
      </c>
      <c r="H40" s="53"/>
      <c r="I40" s="54" t="str">
        <f>Jar_Information!M8</f>
        <v>27/07/2018 16:50</v>
      </c>
      <c r="J40" s="55">
        <f t="shared" si="16"/>
        <v>27.927777777775191</v>
      </c>
      <c r="K40" s="55">
        <f t="shared" si="17"/>
        <v>670.26666666660458</v>
      </c>
      <c r="L40" s="56">
        <f>Jar_Information!H8</f>
        <v>1002.1673217293657</v>
      </c>
      <c r="M40" s="55">
        <f t="shared" si="18"/>
        <v>6.4238928884611681</v>
      </c>
      <c r="N40" s="55">
        <f t="shared" si="19"/>
        <v>11.755723985883938</v>
      </c>
      <c r="O40" s="55">
        <v>26.485903564592896</v>
      </c>
      <c r="P40" s="57">
        <f t="shared" si="20"/>
        <v>3.2061065416047101</v>
      </c>
      <c r="Q40" s="57"/>
      <c r="R40" s="57"/>
      <c r="S40" s="58"/>
      <c r="T40" s="58"/>
      <c r="U40" s="71">
        <f>F40*1000000</f>
        <v>6410.0003554056566</v>
      </c>
      <c r="V40" s="72">
        <f>M40/L40*100</f>
        <v>0.64100003554056562</v>
      </c>
    </row>
  </sheetData>
  <conditionalFormatting sqref="N17:N36">
    <cfRule type="cellIs" dxfId="12" priority="2" operator="greaterThan">
      <formula>26</formula>
    </cfRule>
  </conditionalFormatting>
  <conditionalFormatting sqref="N38:N40">
    <cfRule type="cellIs" dxfId="11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A7" workbookViewId="0">
      <selection activeCell="Q21" sqref="Q21"/>
    </sheetView>
  </sheetViews>
  <sheetFormatPr baseColWidth="10" defaultRowHeight="14" x14ac:dyDescent="0"/>
  <cols>
    <col min="2" max="2" width="19.83203125" bestFit="1" customWidth="1"/>
    <col min="9" max="9" width="15.6640625" bestFit="1" customWidth="1"/>
    <col min="19" max="19" width="19" bestFit="1" customWidth="1"/>
  </cols>
  <sheetData>
    <row r="1" spans="1:21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9"/>
    </row>
    <row r="2" spans="1:21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9"/>
    </row>
    <row r="3" spans="1:21">
      <c r="A3" s="21">
        <v>5</v>
      </c>
      <c r="B3" s="31">
        <v>43339</v>
      </c>
      <c r="C3" s="32">
        <v>3015</v>
      </c>
      <c r="D3" s="22">
        <v>1622.8</v>
      </c>
      <c r="E3" s="33">
        <v>373.33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</row>
    <row r="4" spans="1:21">
      <c r="A4" s="21">
        <v>4.4000000000000004</v>
      </c>
      <c r="B4" s="31">
        <v>43339</v>
      </c>
      <c r="C4" s="32">
        <v>3015</v>
      </c>
      <c r="D4" s="33">
        <v>1396.4</v>
      </c>
      <c r="E4" s="33">
        <v>325.75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9"/>
    </row>
    <row r="5" spans="1:21">
      <c r="A5" s="21">
        <v>4</v>
      </c>
      <c r="B5" s="31">
        <v>43339</v>
      </c>
      <c r="C5" s="32">
        <v>3015</v>
      </c>
      <c r="D5" s="22">
        <v>1290.2</v>
      </c>
      <c r="E5" s="33">
        <v>292.92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9"/>
    </row>
    <row r="6" spans="1:21">
      <c r="A6" s="21">
        <v>3.4</v>
      </c>
      <c r="B6" s="31">
        <v>43339</v>
      </c>
      <c r="C6" s="32">
        <v>3015</v>
      </c>
      <c r="D6" s="33">
        <v>1128.5</v>
      </c>
      <c r="E6" s="33">
        <v>260.45999999999998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9"/>
    </row>
    <row r="7" spans="1:21">
      <c r="A7" s="21">
        <v>3</v>
      </c>
      <c r="B7" s="31">
        <v>43339</v>
      </c>
      <c r="C7" s="32">
        <v>3015</v>
      </c>
      <c r="D7" s="22">
        <v>1024.9000000000001</v>
      </c>
      <c r="E7" s="33">
        <v>242.44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9"/>
    </row>
    <row r="8" spans="1:21">
      <c r="A8" s="21">
        <v>2.4</v>
      </c>
      <c r="B8" s="31">
        <v>43339</v>
      </c>
      <c r="C8" s="32">
        <v>3015</v>
      </c>
      <c r="D8" s="33">
        <v>826.72</v>
      </c>
      <c r="E8" s="33">
        <v>195.5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9"/>
    </row>
    <row r="9" spans="1:21">
      <c r="A9" s="21">
        <v>2</v>
      </c>
      <c r="B9" s="31">
        <v>43339</v>
      </c>
      <c r="C9" s="32">
        <v>3015</v>
      </c>
      <c r="D9" s="22">
        <v>650.91999999999996</v>
      </c>
      <c r="E9" s="33">
        <v>165.27</v>
      </c>
      <c r="F9" s="34">
        <f t="shared" si="0"/>
        <v>6.03</v>
      </c>
      <c r="G9" s="37" t="s">
        <v>112</v>
      </c>
      <c r="H9" s="37"/>
      <c r="I9" s="38">
        <f>SLOPE(F3:F13,D3:D13)</f>
        <v>9.3003063724118439E-3</v>
      </c>
      <c r="J9" s="28"/>
      <c r="K9" s="28"/>
      <c r="L9" s="28"/>
      <c r="M9" s="28"/>
      <c r="N9" s="28"/>
      <c r="O9" s="28"/>
      <c r="P9" s="28"/>
      <c r="Q9" s="28"/>
      <c r="R9" s="28"/>
      <c r="S9" s="29"/>
    </row>
    <row r="10" spans="1:21">
      <c r="A10" s="21">
        <v>1.4</v>
      </c>
      <c r="B10" s="31">
        <v>43339</v>
      </c>
      <c r="C10" s="32">
        <v>3015</v>
      </c>
      <c r="D10" s="22">
        <v>485.54</v>
      </c>
      <c r="E10" s="33">
        <v>114.85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-9.5383916945225522E-2</v>
      </c>
      <c r="J10" s="28"/>
      <c r="K10" s="28"/>
      <c r="L10" s="28"/>
      <c r="M10" s="28"/>
      <c r="N10" s="28"/>
      <c r="O10" s="28"/>
      <c r="P10" s="28"/>
      <c r="Q10" s="28"/>
      <c r="R10" s="28"/>
      <c r="S10" s="29"/>
    </row>
    <row r="11" spans="1:21">
      <c r="A11" s="21">
        <v>1</v>
      </c>
      <c r="B11" s="31">
        <v>43339</v>
      </c>
      <c r="C11" s="32">
        <v>3015</v>
      </c>
      <c r="D11" s="22">
        <v>323.02</v>
      </c>
      <c r="E11" s="33">
        <v>85.850999999999999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9"/>
    </row>
    <row r="12" spans="1:21">
      <c r="A12" s="39">
        <v>0.4</v>
      </c>
      <c r="B12" s="31">
        <v>43339</v>
      </c>
      <c r="C12" s="32">
        <v>3015</v>
      </c>
      <c r="D12" s="39">
        <v>119.84</v>
      </c>
      <c r="E12" s="39">
        <v>31.286000000000001</v>
      </c>
      <c r="F12" s="34">
        <f t="shared" si="0"/>
        <v>1.206</v>
      </c>
      <c r="G12" s="40" t="s">
        <v>114</v>
      </c>
      <c r="H12" s="40"/>
      <c r="I12" s="41">
        <f>SLOPE(F3:F13,E3:E13)</f>
        <v>4.1165320547071095E-2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21">
      <c r="A13" s="39">
        <v>0.2</v>
      </c>
      <c r="B13" s="31">
        <v>43339</v>
      </c>
      <c r="C13" s="32">
        <v>3015</v>
      </c>
      <c r="D13" s="39">
        <v>61.75</v>
      </c>
      <c r="E13" s="39">
        <v>18.687999999999999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-0.42730610070185993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21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21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148</v>
      </c>
      <c r="R15" s="43" t="s">
        <v>148</v>
      </c>
      <c r="S15" s="43" t="s">
        <v>150</v>
      </c>
      <c r="T15" s="43" t="s">
        <v>122</v>
      </c>
      <c r="U15" s="43" t="s">
        <v>122</v>
      </c>
    </row>
    <row r="16" spans="1:21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75" t="s">
        <v>156</v>
      </c>
      <c r="R16" s="47" t="s">
        <v>132</v>
      </c>
      <c r="S16" s="47" t="s">
        <v>153</v>
      </c>
      <c r="T16" s="92" t="s">
        <v>155</v>
      </c>
      <c r="U16" s="92" t="s">
        <v>156</v>
      </c>
    </row>
    <row r="17" spans="1:22">
      <c r="A17" s="1" t="s">
        <v>30</v>
      </c>
      <c r="B17" s="50">
        <v>43339.677083333336</v>
      </c>
      <c r="C17" s="21">
        <v>0.2</v>
      </c>
      <c r="D17" s="51">
        <v>970.68</v>
      </c>
      <c r="E17" s="52">
        <v>224.19</v>
      </c>
      <c r="F17" s="53">
        <f>((I$9*D17)+I$10)/C17/1000</f>
        <v>4.4661187363137504E-2</v>
      </c>
      <c r="G17" s="53">
        <f>((I$12*E17)+I$13)/C17/1000</f>
        <v>4.4007735563730034E-2</v>
      </c>
      <c r="H17" s="53"/>
      <c r="I17" s="54" t="str">
        <f>Jar_Information!M23</f>
        <v>21/08/2018 14:29</v>
      </c>
      <c r="J17" s="55">
        <f t="shared" ref="J17:J36" si="1">B17-I17</f>
        <v>6.0736111111109494</v>
      </c>
      <c r="K17" s="55">
        <f>J17*24</f>
        <v>145.76666666666279</v>
      </c>
      <c r="L17" s="56">
        <f>Jar_Information!H23</f>
        <v>1021.6154823015972</v>
      </c>
      <c r="M17" s="55">
        <f>F17*L17</f>
        <v>45.62656046815372</v>
      </c>
      <c r="N17" s="55">
        <f>M17*1.83</f>
        <v>83.496605656721314</v>
      </c>
      <c r="O17" s="57">
        <f>N17*(12/(12+(16*2)))</f>
        <v>22.771801542742175</v>
      </c>
      <c r="P17" s="55">
        <v>27.373506019753322</v>
      </c>
      <c r="Q17" s="55">
        <f>R17/O17*100</f>
        <v>72.641812503563045</v>
      </c>
      <c r="R17" s="58">
        <f>S17/314.7</f>
        <v>16.541849380362248</v>
      </c>
      <c r="S17" s="56">
        <f>1222*4.26</f>
        <v>5205.7199999999993</v>
      </c>
      <c r="T17" s="71">
        <f>F17*1000000</f>
        <v>44661.187363137506</v>
      </c>
      <c r="U17" s="72">
        <f>M17/L17*100</f>
        <v>4.4661187363137502</v>
      </c>
      <c r="V17" t="s">
        <v>161</v>
      </c>
    </row>
    <row r="18" spans="1:22">
      <c r="A18" s="1" t="s">
        <v>31</v>
      </c>
      <c r="B18" s="50">
        <v>43339.678472222222</v>
      </c>
      <c r="C18" s="21">
        <v>0.2</v>
      </c>
      <c r="D18" s="59">
        <v>735.37</v>
      </c>
      <c r="E18" s="60">
        <v>167.56</v>
      </c>
      <c r="F18" s="53">
        <f t="shared" ref="F18:F36" si="2">((I$9*D18)+I$10)/C18/1000</f>
        <v>3.3718911900676357E-2</v>
      </c>
      <c r="G18" s="53">
        <f t="shared" ref="G18:G36" si="3">((I$12*E18)+I$13)/C18/1000</f>
        <v>3.2351775050826863E-2</v>
      </c>
      <c r="H18" s="53"/>
      <c r="I18" s="54" t="str">
        <f>Jar_Information!M24</f>
        <v>21/08/2018 14:29</v>
      </c>
      <c r="J18" s="55">
        <f t="shared" si="1"/>
        <v>6.0749999999970896</v>
      </c>
      <c r="K18" s="55">
        <f t="shared" ref="K18:K36" si="4">J18*24</f>
        <v>145.79999999993015</v>
      </c>
      <c r="L18" s="56">
        <f>Jar_Information!H24</f>
        <v>1040.8668117949733</v>
      </c>
      <c r="M18" s="55">
        <f t="shared" ref="M18:M36" si="5">F18*L18</f>
        <v>35.09689632725258</v>
      </c>
      <c r="N18" s="55">
        <f t="shared" ref="N18:N36" si="6">M18*1.83</f>
        <v>64.227320278872227</v>
      </c>
      <c r="O18" s="57">
        <f t="shared" ref="O18:O36" si="7">N18*(12/(12+(16*2)))</f>
        <v>17.516541894237879</v>
      </c>
      <c r="P18" s="55">
        <v>26.611591631551708</v>
      </c>
      <c r="Q18" s="55">
        <f t="shared" ref="Q18:Q24" si="8">R18/O18*100</f>
        <v>86.707635045815422</v>
      </c>
      <c r="R18" s="58">
        <f t="shared" ref="R18:R24" si="9">S18/314.7</f>
        <v>15.188179218303144</v>
      </c>
      <c r="S18" s="56">
        <f>1122*4.26</f>
        <v>4779.7199999999993</v>
      </c>
      <c r="T18" s="71">
        <f t="shared" ref="T18:T36" si="10">F18*1000000</f>
        <v>33718.911900676358</v>
      </c>
      <c r="U18" s="72">
        <f t="shared" ref="U18:U36" si="11">M18/L18*100</f>
        <v>3.3718911900676356</v>
      </c>
      <c r="V18" t="s">
        <v>161</v>
      </c>
    </row>
    <row r="19" spans="1:22">
      <c r="A19" s="1" t="s">
        <v>32</v>
      </c>
      <c r="B19" s="50">
        <v>43339.679861111108</v>
      </c>
      <c r="C19" s="21">
        <v>0.2</v>
      </c>
      <c r="D19" s="59">
        <v>542.89</v>
      </c>
      <c r="E19" s="60">
        <v>135.74</v>
      </c>
      <c r="F19" s="53">
        <f t="shared" si="2"/>
        <v>2.4768297047867201E-2</v>
      </c>
      <c r="G19" s="53">
        <f t="shared" si="3"/>
        <v>2.5802372551787855E-2</v>
      </c>
      <c r="H19" s="53"/>
      <c r="I19" s="54" t="str">
        <f>Jar_Information!M25</f>
        <v>21/08/2018 14:29</v>
      </c>
      <c r="J19" s="55">
        <f t="shared" si="1"/>
        <v>6.0763888888832298</v>
      </c>
      <c r="K19" s="55">
        <f t="shared" si="4"/>
        <v>145.83333333319752</v>
      </c>
      <c r="L19" s="56">
        <f>Jar_Information!H25</f>
        <v>1031.2130018297275</v>
      </c>
      <c r="M19" s="55">
        <f t="shared" si="5"/>
        <v>25.541389948941514</v>
      </c>
      <c r="N19" s="55">
        <f t="shared" si="6"/>
        <v>46.740743606562972</v>
      </c>
      <c r="O19" s="57">
        <f t="shared" si="7"/>
        <v>12.747475529062628</v>
      </c>
      <c r="P19" s="55">
        <v>27.373506019753343</v>
      </c>
      <c r="Q19" s="55">
        <f t="shared" si="8"/>
        <v>93.388460234395509</v>
      </c>
      <c r="R19" s="58">
        <f t="shared" si="9"/>
        <v>11.90467111534795</v>
      </c>
      <c r="S19" s="56">
        <f>1338*2.8</f>
        <v>3746.3999999999996</v>
      </c>
      <c r="T19" s="71">
        <f t="shared" si="10"/>
        <v>24768.297047867203</v>
      </c>
      <c r="U19" s="72">
        <f t="shared" si="11"/>
        <v>2.47682970478672</v>
      </c>
      <c r="V19" t="s">
        <v>160</v>
      </c>
    </row>
    <row r="20" spans="1:22">
      <c r="A20" s="1" t="s">
        <v>33</v>
      </c>
      <c r="B20" s="50">
        <v>43339.681250000001</v>
      </c>
      <c r="C20" s="21">
        <v>1</v>
      </c>
      <c r="D20" s="59">
        <v>1409.4</v>
      </c>
      <c r="E20" s="60">
        <v>314.94</v>
      </c>
      <c r="F20" s="53">
        <f t="shared" si="2"/>
        <v>1.3012467884332029E-2</v>
      </c>
      <c r="G20" s="53">
        <f t="shared" si="3"/>
        <v>1.2537299952392712E-2</v>
      </c>
      <c r="H20" s="53"/>
      <c r="I20" s="54" t="str">
        <f>Jar_Information!M26</f>
        <v>21/08/2018 15:49</v>
      </c>
      <c r="J20" s="55">
        <f t="shared" si="1"/>
        <v>6.0222222222218988</v>
      </c>
      <c r="K20" s="55">
        <f t="shared" si="4"/>
        <v>144.53333333332557</v>
      </c>
      <c r="L20" s="56">
        <f>Jar_Information!H26</f>
        <v>1016.8376778203445</v>
      </c>
      <c r="M20" s="55">
        <f t="shared" si="5"/>
        <v>13.231567626215993</v>
      </c>
      <c r="N20" s="55">
        <f t="shared" si="6"/>
        <v>24.213768755975266</v>
      </c>
      <c r="O20" s="57">
        <f t="shared" si="7"/>
        <v>6.6037551152659812</v>
      </c>
      <c r="P20" s="55">
        <v>26.611591631551708</v>
      </c>
      <c r="Q20" s="55">
        <f t="shared" si="8"/>
        <v>135.54025833329618</v>
      </c>
      <c r="R20" s="58">
        <f t="shared" si="9"/>
        <v>8.9507467429297733</v>
      </c>
      <c r="S20" s="56">
        <f>1006*2.8</f>
        <v>2816.7999999999997</v>
      </c>
      <c r="T20" s="71">
        <f t="shared" si="10"/>
        <v>13012.467884332029</v>
      </c>
      <c r="U20" s="72">
        <f t="shared" si="11"/>
        <v>1.3012467884332029</v>
      </c>
      <c r="V20" t="s">
        <v>160</v>
      </c>
    </row>
    <row r="21" spans="1:22">
      <c r="A21" s="1" t="s">
        <v>34</v>
      </c>
      <c r="B21" s="50">
        <v>43339.682638888888</v>
      </c>
      <c r="C21" s="21">
        <v>1</v>
      </c>
      <c r="D21" s="59">
        <v>861.27</v>
      </c>
      <c r="E21" s="60">
        <v>208.87</v>
      </c>
      <c r="F21" s="53">
        <f t="shared" si="2"/>
        <v>7.9146909524219228E-3</v>
      </c>
      <c r="G21" s="53">
        <f t="shared" si="3"/>
        <v>8.1708944019648795E-3</v>
      </c>
      <c r="H21" s="53"/>
      <c r="I21" s="54" t="str">
        <f>Jar_Information!M27</f>
        <v>21/08/2018 14:29</v>
      </c>
      <c r="J21" s="55">
        <f t="shared" si="1"/>
        <v>6.0791666666627862</v>
      </c>
      <c r="K21" s="55">
        <f t="shared" si="4"/>
        <v>145.89999999990687</v>
      </c>
      <c r="L21" s="56">
        <f>Jar_Information!H27</f>
        <v>1026.4072365769557</v>
      </c>
      <c r="M21" s="55">
        <f t="shared" si="5"/>
        <v>8.1236960688360202</v>
      </c>
      <c r="N21" s="55">
        <f t="shared" si="6"/>
        <v>14.866363805969918</v>
      </c>
      <c r="O21" s="57">
        <f t="shared" si="7"/>
        <v>4.0544628561736138</v>
      </c>
      <c r="P21" s="55">
        <v>27.118040607238672</v>
      </c>
      <c r="Q21" s="55">
        <f t="shared" si="8"/>
        <v>0</v>
      </c>
      <c r="R21" s="58"/>
      <c r="S21" s="91"/>
      <c r="T21" s="71">
        <f t="shared" si="10"/>
        <v>7914.6909524219227</v>
      </c>
      <c r="U21" s="72">
        <f t="shared" si="11"/>
        <v>0.79146909524219233</v>
      </c>
      <c r="V21" s="90" t="s">
        <v>154</v>
      </c>
    </row>
    <row r="22" spans="1:22">
      <c r="A22" s="1" t="s">
        <v>35</v>
      </c>
      <c r="B22" s="50">
        <v>43339.684027777781</v>
      </c>
      <c r="C22" s="21">
        <v>0.4</v>
      </c>
      <c r="D22" s="59">
        <v>846.64</v>
      </c>
      <c r="E22" s="60">
        <v>193.23</v>
      </c>
      <c r="F22" s="53">
        <f t="shared" si="2"/>
        <v>1.9446568675483843E-2</v>
      </c>
      <c r="G22" s="53">
        <f t="shared" si="3"/>
        <v>1.8817671971521718E-2</v>
      </c>
      <c r="H22" s="53"/>
      <c r="I22" s="54" t="str">
        <f>Jar_Information!M28</f>
        <v>21/08/2018 15:49</v>
      </c>
      <c r="J22" s="55">
        <f t="shared" si="1"/>
        <v>6.0250000000014552</v>
      </c>
      <c r="K22" s="55">
        <f t="shared" si="4"/>
        <v>144.60000000003492</v>
      </c>
      <c r="L22" s="56">
        <f>Jar_Information!H28</f>
        <v>1007.3236752829298</v>
      </c>
      <c r="M22" s="55">
        <f t="shared" si="5"/>
        <v>19.58898902983028</v>
      </c>
      <c r="N22" s="55">
        <f t="shared" si="6"/>
        <v>35.847849924589411</v>
      </c>
      <c r="O22" s="57">
        <f t="shared" si="7"/>
        <v>9.776686343069839</v>
      </c>
      <c r="P22" s="55">
        <v>26.485903564592896</v>
      </c>
      <c r="Q22" s="55">
        <f t="shared" si="8"/>
        <v>93.190053863223696</v>
      </c>
      <c r="R22" s="58">
        <f t="shared" si="9"/>
        <v>9.110899269145218</v>
      </c>
      <c r="S22" s="56">
        <f>1024*2.8</f>
        <v>2867.2</v>
      </c>
      <c r="T22" s="71">
        <f t="shared" si="10"/>
        <v>19446.568675483843</v>
      </c>
      <c r="U22" s="72">
        <f t="shared" si="11"/>
        <v>1.9446568675483844</v>
      </c>
      <c r="V22" t="s">
        <v>160</v>
      </c>
    </row>
    <row r="23" spans="1:22">
      <c r="A23" s="1" t="s">
        <v>36</v>
      </c>
      <c r="B23" s="50">
        <v>43339.670138888891</v>
      </c>
      <c r="C23" s="21">
        <v>0.4</v>
      </c>
      <c r="D23" s="59">
        <v>741.8</v>
      </c>
      <c r="E23" s="60">
        <v>176.12</v>
      </c>
      <c r="F23" s="53">
        <f t="shared" si="2"/>
        <v>1.7008958375274698E-2</v>
      </c>
      <c r="G23" s="53">
        <f t="shared" si="3"/>
        <v>1.7056825385120752E-2</v>
      </c>
      <c r="H23" s="53"/>
      <c r="I23" s="54" t="str">
        <f>Jar_Information!M29</f>
        <v>21/08/2018 15:49</v>
      </c>
      <c r="J23" s="55">
        <f t="shared" si="1"/>
        <v>6.0111111111109494</v>
      </c>
      <c r="K23" s="55">
        <f t="shared" si="4"/>
        <v>144.26666666666279</v>
      </c>
      <c r="L23" s="56">
        <f>Jar_Information!H29</f>
        <v>1036.0328396015414</v>
      </c>
      <c r="M23" s="55">
        <f t="shared" si="5"/>
        <v>17.621839444200265</v>
      </c>
      <c r="N23" s="55">
        <f t="shared" si="6"/>
        <v>32.247966182886486</v>
      </c>
      <c r="O23" s="57">
        <f t="shared" si="7"/>
        <v>8.7948998680599502</v>
      </c>
      <c r="P23" s="55">
        <v>27.501804749819797</v>
      </c>
      <c r="Q23" s="55">
        <f t="shared" si="8"/>
        <v>82.752989680604443</v>
      </c>
      <c r="R23" s="58">
        <f t="shared" si="9"/>
        <v>7.2780425802351436</v>
      </c>
      <c r="S23" s="56">
        <f>818*2.8</f>
        <v>2290.3999999999996</v>
      </c>
      <c r="T23" s="71">
        <f t="shared" si="10"/>
        <v>17008.958375274698</v>
      </c>
      <c r="U23" s="72">
        <f t="shared" si="11"/>
        <v>1.7008958375274699</v>
      </c>
      <c r="V23" t="s">
        <v>160</v>
      </c>
    </row>
    <row r="24" spans="1:22">
      <c r="A24" s="1" t="s">
        <v>37</v>
      </c>
      <c r="B24" s="50">
        <v>43339.671527777777</v>
      </c>
      <c r="C24" s="21">
        <v>0.4</v>
      </c>
      <c r="D24" s="59">
        <v>673.8</v>
      </c>
      <c r="E24" s="60">
        <v>168.63</v>
      </c>
      <c r="F24" s="53">
        <f t="shared" si="2"/>
        <v>1.5427906291964685E-2</v>
      </c>
      <c r="G24" s="53">
        <f t="shared" si="3"/>
        <v>1.6286004757876844E-2</v>
      </c>
      <c r="H24" s="53"/>
      <c r="I24" s="54" t="str">
        <f>Jar_Information!M30</f>
        <v>21/08/2018 15:49</v>
      </c>
      <c r="J24" s="55">
        <f t="shared" si="1"/>
        <v>6.0124999999970896</v>
      </c>
      <c r="K24" s="55">
        <f t="shared" si="4"/>
        <v>144.29999999993015</v>
      </c>
      <c r="L24" s="56">
        <f>Jar_Information!H30</f>
        <v>1036.0328396015414</v>
      </c>
      <c r="M24" s="55">
        <f t="shared" si="5"/>
        <v>15.983817564770659</v>
      </c>
      <c r="N24" s="55">
        <f t="shared" si="6"/>
        <v>29.250386143530307</v>
      </c>
      <c r="O24" s="57">
        <f t="shared" si="7"/>
        <v>7.9773780391446287</v>
      </c>
      <c r="P24" s="55">
        <v>27.118040607238672</v>
      </c>
      <c r="Q24" s="55">
        <f t="shared" si="8"/>
        <v>79.968743233825563</v>
      </c>
      <c r="R24" s="58">
        <f t="shared" si="9"/>
        <v>6.379408960915157</v>
      </c>
      <c r="S24" s="56">
        <f>717*2.8</f>
        <v>2007.6</v>
      </c>
      <c r="T24" s="71">
        <f t="shared" si="10"/>
        <v>15427.906291964686</v>
      </c>
      <c r="U24" s="72">
        <f t="shared" si="11"/>
        <v>1.5427906291964686</v>
      </c>
      <c r="V24" t="s">
        <v>160</v>
      </c>
    </row>
    <row r="25" spans="1:22">
      <c r="A25" s="1" t="s">
        <v>38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 t="str">
        <f>Jar_Information!M31</f>
        <v>21/08/2018 15:49</v>
      </c>
      <c r="J25" s="55">
        <f t="shared" si="1"/>
        <v>-43333.65902777778</v>
      </c>
      <c r="K25" s="55">
        <f t="shared" si="4"/>
        <v>-1040007.8166666667</v>
      </c>
      <c r="L25" s="56">
        <f>Jar_Information!H31</f>
        <v>1036.0328396015414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73"/>
      <c r="T25" s="71" t="e">
        <f t="shared" si="10"/>
        <v>#DIV/0!</v>
      </c>
      <c r="U25" s="72" t="e">
        <f t="shared" si="11"/>
        <v>#DIV/0!</v>
      </c>
    </row>
    <row r="26" spans="1:22">
      <c r="A26" s="1" t="s">
        <v>39</v>
      </c>
      <c r="B26" s="50"/>
      <c r="C26" s="21"/>
      <c r="D26" s="59"/>
      <c r="E26" s="60"/>
      <c r="F26" s="53" t="e">
        <f t="shared" si="2"/>
        <v>#DIV/0!</v>
      </c>
      <c r="G26" s="53" t="e">
        <f t="shared" si="3"/>
        <v>#DIV/0!</v>
      </c>
      <c r="H26" s="53"/>
      <c r="I26" s="54" t="str">
        <f>Jar_Information!M32</f>
        <v>21/08/2018 15:55</v>
      </c>
      <c r="J26" s="55">
        <f t="shared" si="1"/>
        <v>-43333.663194444445</v>
      </c>
      <c r="K26" s="55">
        <f t="shared" si="4"/>
        <v>-1040007.9166666667</v>
      </c>
      <c r="L26" s="56">
        <f>Jar_Information!H32</f>
        <v>1036.0328396015414</v>
      </c>
      <c r="M26" s="55" t="e">
        <f t="shared" si="5"/>
        <v>#DIV/0!</v>
      </c>
      <c r="N26" s="55" t="e">
        <f t="shared" si="6"/>
        <v>#DIV/0!</v>
      </c>
      <c r="O26" s="57" t="e">
        <f t="shared" si="7"/>
        <v>#DIV/0!</v>
      </c>
      <c r="P26" s="73">
        <v>26.485903564592896</v>
      </c>
      <c r="Q26" s="73"/>
      <c r="T26" s="71" t="e">
        <f t="shared" si="10"/>
        <v>#DIV/0!</v>
      </c>
      <c r="U26" s="72" t="e">
        <f t="shared" si="11"/>
        <v>#DIV/0!</v>
      </c>
    </row>
    <row r="27" spans="1:22">
      <c r="A27" s="1" t="s">
        <v>40</v>
      </c>
      <c r="B27" s="50"/>
      <c r="C27" s="21"/>
      <c r="D27" s="59"/>
      <c r="E27" s="60"/>
      <c r="F27" s="53" t="e">
        <f t="shared" si="2"/>
        <v>#DIV/0!</v>
      </c>
      <c r="G27" s="53" t="e">
        <f t="shared" si="3"/>
        <v>#DIV/0!</v>
      </c>
      <c r="H27" s="53"/>
      <c r="I27" s="54" t="str">
        <f>Jar_Information!M33</f>
        <v>21/08/2018 15:55</v>
      </c>
      <c r="J27" s="55">
        <f t="shared" si="1"/>
        <v>-43333.663194444445</v>
      </c>
      <c r="K27" s="55">
        <f t="shared" si="4"/>
        <v>-1040007.9166666667</v>
      </c>
      <c r="L27" s="56">
        <f>Jar_Information!H33</f>
        <v>1012.0737623056069</v>
      </c>
      <c r="M27" s="55" t="e">
        <f t="shared" si="5"/>
        <v>#DIV/0!</v>
      </c>
      <c r="N27" s="55" t="e">
        <f t="shared" si="6"/>
        <v>#DIV/0!</v>
      </c>
      <c r="O27" s="57" t="e">
        <f t="shared" si="7"/>
        <v>#DIV/0!</v>
      </c>
      <c r="P27" s="73">
        <v>26.485903564592896</v>
      </c>
      <c r="Q27" s="73"/>
      <c r="R27" s="89"/>
      <c r="S27" s="61"/>
      <c r="T27" s="71" t="e">
        <f t="shared" si="10"/>
        <v>#DIV/0!</v>
      </c>
      <c r="U27" s="72" t="e">
        <f t="shared" si="11"/>
        <v>#DIV/0!</v>
      </c>
    </row>
    <row r="28" spans="1:22">
      <c r="A28" s="1" t="s">
        <v>41</v>
      </c>
      <c r="B28" s="50"/>
      <c r="C28" s="21"/>
      <c r="D28" s="59"/>
      <c r="E28" s="60"/>
      <c r="F28" s="53" t="e">
        <f t="shared" si="2"/>
        <v>#DIV/0!</v>
      </c>
      <c r="G28" s="53" t="e">
        <f t="shared" si="3"/>
        <v>#DIV/0!</v>
      </c>
      <c r="H28" s="53"/>
      <c r="I28" s="54" t="str">
        <f>Jar_Information!M34</f>
        <v>21/08/2018 15:55</v>
      </c>
      <c r="J28" s="55">
        <f t="shared" si="1"/>
        <v>-43333.663194444445</v>
      </c>
      <c r="K28" s="55">
        <f t="shared" si="4"/>
        <v>-1040007.9166666667</v>
      </c>
      <c r="L28" s="56">
        <f>Jar_Information!H34</f>
        <v>1026.4072365769557</v>
      </c>
      <c r="M28" s="55" t="e">
        <f t="shared" si="5"/>
        <v>#DIV/0!</v>
      </c>
      <c r="N28" s="55" t="e">
        <f t="shared" si="6"/>
        <v>#DIV/0!</v>
      </c>
      <c r="O28" s="57" t="e">
        <f t="shared" si="7"/>
        <v>#DIV/0!</v>
      </c>
      <c r="P28" s="73">
        <v>26.611591631551708</v>
      </c>
      <c r="Q28" s="73"/>
      <c r="R28" s="89"/>
      <c r="S28" s="61"/>
      <c r="T28" s="71" t="e">
        <f t="shared" si="10"/>
        <v>#DIV/0!</v>
      </c>
      <c r="U28" s="72" t="e">
        <f t="shared" si="11"/>
        <v>#DIV/0!</v>
      </c>
    </row>
    <row r="29" spans="1:22">
      <c r="A29" s="1" t="s">
        <v>42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 t="str">
        <f>Jar_Information!M35</f>
        <v>21/08/2018 15:55</v>
      </c>
      <c r="J29" s="55">
        <f t="shared" si="1"/>
        <v>-43333.663194444445</v>
      </c>
      <c r="K29" s="55">
        <f t="shared" si="4"/>
        <v>-1040007.9166666667</v>
      </c>
      <c r="L29" s="56">
        <f>Jar_Information!H35</f>
        <v>1021.6154823015972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73"/>
      <c r="R29" s="89"/>
      <c r="S29" s="61"/>
      <c r="T29" s="71" t="e">
        <f t="shared" si="10"/>
        <v>#DIV/0!</v>
      </c>
      <c r="U29" s="72" t="e">
        <f t="shared" si="11"/>
        <v>#DIV/0!</v>
      </c>
    </row>
    <row r="30" spans="1:22">
      <c r="A30" s="1" t="s">
        <v>43</v>
      </c>
      <c r="B30" s="50"/>
      <c r="C30" s="21"/>
      <c r="D30" s="59"/>
      <c r="E30" s="60"/>
      <c r="F30" s="53" t="e">
        <f t="shared" si="2"/>
        <v>#DIV/0!</v>
      </c>
      <c r="G30" s="53" t="e">
        <f t="shared" si="3"/>
        <v>#DIV/0!</v>
      </c>
      <c r="H30" s="53"/>
      <c r="I30" s="54" t="str">
        <f>Jar_Information!M36</f>
        <v>21/08/2018 15:55</v>
      </c>
      <c r="J30" s="55">
        <f t="shared" si="1"/>
        <v>-43333.663194444445</v>
      </c>
      <c r="K30" s="55">
        <f t="shared" si="4"/>
        <v>-1040007.9166666667</v>
      </c>
      <c r="L30" s="56">
        <f>Jar_Information!H36</f>
        <v>1016.8376778203445</v>
      </c>
      <c r="M30" s="55" t="e">
        <f t="shared" si="5"/>
        <v>#DIV/0!</v>
      </c>
      <c r="N30" s="55" t="e">
        <f t="shared" si="6"/>
        <v>#DIV/0!</v>
      </c>
      <c r="O30" s="57" t="e">
        <f t="shared" si="7"/>
        <v>#DIV/0!</v>
      </c>
      <c r="P30" s="73">
        <v>26.855607956200881</v>
      </c>
      <c r="Q30" s="73"/>
      <c r="R30" s="89"/>
      <c r="S30" s="61"/>
      <c r="T30" s="71" t="e">
        <f t="shared" si="10"/>
        <v>#DIV/0!</v>
      </c>
      <c r="U30" s="72" t="e">
        <f t="shared" si="11"/>
        <v>#DIV/0!</v>
      </c>
    </row>
    <row r="31" spans="1:22">
      <c r="A31" s="1" t="s">
        <v>44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 t="str">
        <f>Jar_Information!M37</f>
        <v>21/08/2018 15:55</v>
      </c>
      <c r="J31" s="55">
        <f t="shared" si="1"/>
        <v>-43333.663194444445</v>
      </c>
      <c r="K31" s="55">
        <f t="shared" si="4"/>
        <v>-1040007.9166666667</v>
      </c>
      <c r="L31" s="56">
        <f>Jar_Information!H37</f>
        <v>997.86474656628161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73"/>
      <c r="R31" s="61"/>
      <c r="S31" s="61"/>
      <c r="T31" s="71" t="e">
        <f t="shared" si="10"/>
        <v>#DIV/0!</v>
      </c>
      <c r="U31" s="72" t="e">
        <f t="shared" si="11"/>
        <v>#DIV/0!</v>
      </c>
    </row>
    <row r="32" spans="1:22">
      <c r="A32" s="1" t="s">
        <v>45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 t="str">
        <f>Jar_Information!M38</f>
        <v>21/08/2018 16:01</v>
      </c>
      <c r="J32" s="55">
        <f t="shared" si="1"/>
        <v>-43333.667361111111</v>
      </c>
      <c r="K32" s="55">
        <f t="shared" si="4"/>
        <v>-1040008.0166666666</v>
      </c>
      <c r="L32" s="56">
        <f>Jar_Information!H38</f>
        <v>1026.4072365769557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73"/>
      <c r="R32" s="61"/>
      <c r="S32" s="61"/>
      <c r="T32" s="71" t="e">
        <f t="shared" si="10"/>
        <v>#DIV/0!</v>
      </c>
      <c r="U32" s="72" t="e">
        <f t="shared" si="11"/>
        <v>#DIV/0!</v>
      </c>
    </row>
    <row r="33" spans="1:22">
      <c r="A33" s="1" t="s">
        <v>46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 t="str">
        <f>Jar_Information!M39</f>
        <v>21/08/2018 16:01</v>
      </c>
      <c r="J33" s="55">
        <f t="shared" si="1"/>
        <v>-43333.667361111111</v>
      </c>
      <c r="K33" s="55">
        <f t="shared" si="4"/>
        <v>-1040008.0166666666</v>
      </c>
      <c r="L33" s="56">
        <f>Jar_Information!H39</f>
        <v>1021.6154823015972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73"/>
      <c r="R33" s="61"/>
      <c r="S33" s="61"/>
      <c r="T33" s="71" t="e">
        <f t="shared" si="10"/>
        <v>#DIV/0!</v>
      </c>
      <c r="U33" s="72" t="e">
        <f t="shared" si="11"/>
        <v>#DIV/0!</v>
      </c>
    </row>
    <row r="34" spans="1:22">
      <c r="A34" s="1" t="s">
        <v>47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 t="str">
        <f>Jar_Information!M40</f>
        <v>21/08/2018 16:01</v>
      </c>
      <c r="J34" s="55">
        <f t="shared" si="1"/>
        <v>-43333.667361111111</v>
      </c>
      <c r="K34" s="55">
        <f t="shared" si="4"/>
        <v>-1040008.0166666666</v>
      </c>
      <c r="L34" s="56">
        <f>Jar_Information!H40</f>
        <v>1002.5873566284342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73"/>
      <c r="R34" s="61"/>
      <c r="S34" s="61"/>
      <c r="T34" s="71" t="e">
        <f t="shared" si="10"/>
        <v>#DIV/0!</v>
      </c>
      <c r="U34" s="72" t="e">
        <f t="shared" si="11"/>
        <v>#DIV/0!</v>
      </c>
    </row>
    <row r="35" spans="1:22">
      <c r="A35" s="1" t="s">
        <v>48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 t="str">
        <f>Jar_Information!M41</f>
        <v>21/08/2018 16:01</v>
      </c>
      <c r="J35" s="55">
        <f t="shared" si="1"/>
        <v>-43333.667361111111</v>
      </c>
      <c r="K35" s="55">
        <f t="shared" si="4"/>
        <v>-1040008.0166666666</v>
      </c>
      <c r="L35" s="56">
        <f>Jar_Information!H41</f>
        <v>993.15578566615829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74"/>
      <c r="R35" s="61"/>
      <c r="S35" s="61"/>
      <c r="T35" s="71" t="e">
        <f t="shared" si="10"/>
        <v>#DIV/0!</v>
      </c>
      <c r="U35" s="72" t="e">
        <f t="shared" si="11"/>
        <v>#DIV/0!</v>
      </c>
    </row>
    <row r="36" spans="1:22">
      <c r="A36" s="1" t="s">
        <v>49</v>
      </c>
      <c r="B36" s="50">
        <v>43339.67291666667</v>
      </c>
      <c r="C36" s="21">
        <v>0.4</v>
      </c>
      <c r="D36" s="59">
        <v>574.6</v>
      </c>
      <c r="E36" s="60">
        <v>135.88999999999999</v>
      </c>
      <c r="F36" s="53">
        <f t="shared" si="2"/>
        <v>1.3121430311606549E-2</v>
      </c>
      <c r="G36" s="53">
        <f t="shared" si="3"/>
        <v>1.2916623271099078E-2</v>
      </c>
      <c r="H36" s="61"/>
      <c r="I36" s="54" t="str">
        <f>Jar_Information!M42</f>
        <v>21/08/2018 16:01</v>
      </c>
      <c r="J36" s="55">
        <f t="shared" si="1"/>
        <v>6.0055555555591127</v>
      </c>
      <c r="K36" s="55">
        <f t="shared" si="4"/>
        <v>144.1333333334187</v>
      </c>
      <c r="L36" s="56">
        <f>Jar_Information!H42</f>
        <v>1026.4072365769557</v>
      </c>
      <c r="M36" s="55">
        <f t="shared" si="5"/>
        <v>13.467931026073181</v>
      </c>
      <c r="N36" s="55">
        <f t="shared" si="6"/>
        <v>24.646313777713921</v>
      </c>
      <c r="O36" s="57">
        <f t="shared" si="7"/>
        <v>6.7217219393765237</v>
      </c>
      <c r="P36" s="74">
        <v>27.110299231101873</v>
      </c>
      <c r="Q36" s="55">
        <f t="shared" ref="Q36" si="12">R36/O36*100</f>
        <v>99.27548306561502</v>
      </c>
      <c r="R36" s="58">
        <f>S36/314.7</f>
        <v>6.6730219256434706</v>
      </c>
      <c r="S36" s="61">
        <f>750*2.8</f>
        <v>2100</v>
      </c>
      <c r="T36" s="71">
        <f t="shared" si="10"/>
        <v>13121.430311606549</v>
      </c>
      <c r="U36" s="72">
        <f t="shared" si="11"/>
        <v>1.312143031160655</v>
      </c>
      <c r="V36" t="s">
        <v>160</v>
      </c>
    </row>
    <row r="37" spans="1:22">
      <c r="A37" s="62"/>
      <c r="B37" s="50"/>
      <c r="R37" s="61"/>
      <c r="S37" s="61"/>
    </row>
    <row r="38" spans="1:22">
      <c r="A38" s="1" t="s">
        <v>13</v>
      </c>
      <c r="B38" s="50">
        <v>43339.674305555556</v>
      </c>
      <c r="C38" s="21">
        <v>2</v>
      </c>
      <c r="D38" s="59">
        <v>1618</v>
      </c>
      <c r="E38" s="60">
        <v>359</v>
      </c>
      <c r="F38" s="53">
        <f t="shared" ref="F38:F40" si="13">((I$9*D38)+I$10)/C38/1000</f>
        <v>7.4762558968085686E-3</v>
      </c>
      <c r="G38" s="53">
        <f t="shared" ref="G38:G40" si="14">((I$12*E38)+I$13)/C38/1000</f>
        <v>7.1755219878483307E-3</v>
      </c>
      <c r="H38" s="53"/>
      <c r="I38" s="54" t="str">
        <f>Jar_Information!M6</f>
        <v>27/07/2018 16:50</v>
      </c>
      <c r="J38" s="55">
        <f t="shared" ref="J38:J40" si="15">B38-I38</f>
        <v>30.972916666665697</v>
      </c>
      <c r="K38" s="55">
        <f t="shared" ref="K38:K40" si="16">J38*24</f>
        <v>743.34999999997672</v>
      </c>
      <c r="L38" s="56">
        <f>Jar_Information!H6</f>
        <v>1006.9230769230769</v>
      </c>
      <c r="M38" s="55">
        <f t="shared" ref="M38:M40" si="17">F38*L38</f>
        <v>7.5280145914787813</v>
      </c>
      <c r="N38" s="55">
        <f t="shared" ref="N38:N40" si="18">M38*1.83</f>
        <v>13.77626670240617</v>
      </c>
      <c r="O38" s="57">
        <f t="shared" ref="O38:O40" si="19">N38*(12/(12+(16*2)))</f>
        <v>3.7571636461107736</v>
      </c>
      <c r="P38" s="55">
        <v>26.611591631551708</v>
      </c>
      <c r="Q38" s="55"/>
      <c r="R38" s="58"/>
      <c r="S38" s="58"/>
      <c r="T38" s="71">
        <f t="shared" ref="T38:T40" si="20">F38*1000000</f>
        <v>7476.2558968085687</v>
      </c>
      <c r="U38" s="72">
        <f t="shared" ref="U38:U40" si="21">M38/L38*100</f>
        <v>0.74762558968085691</v>
      </c>
    </row>
    <row r="39" spans="1:22">
      <c r="A39" s="1" t="s">
        <v>14</v>
      </c>
      <c r="B39" s="50">
        <v>43339.675694444442</v>
      </c>
      <c r="C39" s="21">
        <v>2</v>
      </c>
      <c r="D39" s="59">
        <v>1589.1</v>
      </c>
      <c r="E39" s="60">
        <v>364.58</v>
      </c>
      <c r="F39" s="53">
        <f t="shared" si="13"/>
        <v>7.3418664697272179E-3</v>
      </c>
      <c r="G39" s="53">
        <f t="shared" si="14"/>
        <v>7.290373232174659E-3</v>
      </c>
      <c r="H39" s="53"/>
      <c r="I39" s="54" t="str">
        <f>Jar_Information!M7</f>
        <v>27/07/2018 16:50</v>
      </c>
      <c r="J39" s="55">
        <f t="shared" si="15"/>
        <v>30.974305555551837</v>
      </c>
      <c r="K39" s="55">
        <f t="shared" si="16"/>
        <v>743.38333333324408</v>
      </c>
      <c r="L39" s="56">
        <f>Jar_Information!H7</f>
        <v>1026.0859728506789</v>
      </c>
      <c r="M39" s="55">
        <f t="shared" si="17"/>
        <v>7.5333861991298319</v>
      </c>
      <c r="N39" s="55">
        <f t="shared" si="18"/>
        <v>13.786096744407592</v>
      </c>
      <c r="O39" s="57">
        <f t="shared" si="19"/>
        <v>3.7598445666566156</v>
      </c>
      <c r="P39" s="55">
        <v>27.118040607238672</v>
      </c>
      <c r="Q39" s="55"/>
      <c r="R39" s="58"/>
      <c r="S39" s="58"/>
      <c r="T39" s="71">
        <f t="shared" si="20"/>
        <v>7341.8664697272179</v>
      </c>
      <c r="U39" s="72">
        <f t="shared" si="21"/>
        <v>0.73418664697272185</v>
      </c>
    </row>
    <row r="40" spans="1:22">
      <c r="A40" s="1" t="s">
        <v>15</v>
      </c>
      <c r="B40" s="50">
        <v>43339.677083333336</v>
      </c>
      <c r="C40" s="21">
        <v>2</v>
      </c>
      <c r="D40" s="59">
        <v>1352.9</v>
      </c>
      <c r="E40" s="60">
        <v>311.18</v>
      </c>
      <c r="F40" s="53">
        <f t="shared" si="13"/>
        <v>6.2435002871453794E-3</v>
      </c>
      <c r="G40" s="53">
        <f t="shared" si="14"/>
        <v>6.1912591735678608E-3</v>
      </c>
      <c r="H40" s="53"/>
      <c r="I40" s="54" t="str">
        <f>Jar_Information!M8</f>
        <v>27/07/2018 16:50</v>
      </c>
      <c r="J40" s="55">
        <f t="shared" si="15"/>
        <v>30.975694444445253</v>
      </c>
      <c r="K40" s="55">
        <f t="shared" si="16"/>
        <v>743.41666666668607</v>
      </c>
      <c r="L40" s="56">
        <f>Jar_Information!H8</f>
        <v>1002.1673217293657</v>
      </c>
      <c r="M40" s="55">
        <f t="shared" si="17"/>
        <v>6.2570319609850102</v>
      </c>
      <c r="N40" s="55">
        <f t="shared" si="18"/>
        <v>11.450368488602569</v>
      </c>
      <c r="O40" s="57">
        <f t="shared" si="19"/>
        <v>3.1228277696188824</v>
      </c>
      <c r="P40" s="55">
        <v>26.485903564592896</v>
      </c>
      <c r="Q40" s="55"/>
      <c r="R40" s="58"/>
      <c r="S40" s="58"/>
      <c r="T40" s="71">
        <f t="shared" si="20"/>
        <v>6243.5002871453798</v>
      </c>
      <c r="U40" s="72">
        <f t="shared" si="21"/>
        <v>0.62435002871453793</v>
      </c>
    </row>
  </sheetData>
  <conditionalFormatting sqref="N17:N36">
    <cfRule type="cellIs" dxfId="10" priority="2" operator="greaterThan">
      <formula>26</formula>
    </cfRule>
  </conditionalFormatting>
  <conditionalFormatting sqref="N38:N40">
    <cfRule type="cellIs" dxfId="9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7" workbookViewId="0">
      <selection activeCell="P20" sqref="P20:P21"/>
    </sheetView>
  </sheetViews>
  <sheetFormatPr baseColWidth="10" defaultRowHeight="14" x14ac:dyDescent="0"/>
  <cols>
    <col min="2" max="2" width="19.83203125" bestFit="1" customWidth="1"/>
    <col min="8" max="8" width="4.6640625" customWidth="1"/>
    <col min="9" max="9" width="15.6640625" bestFit="1" customWidth="1"/>
  </cols>
  <sheetData>
    <row r="1" spans="1:22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2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2">
      <c r="A3" s="21">
        <v>5</v>
      </c>
      <c r="B3" s="31">
        <v>43346</v>
      </c>
      <c r="C3" s="32">
        <v>3015</v>
      </c>
      <c r="D3" s="22">
        <v>1593.5</v>
      </c>
      <c r="E3" s="33">
        <v>368.54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</row>
    <row r="4" spans="1:22">
      <c r="A4" s="21">
        <v>4.4000000000000004</v>
      </c>
      <c r="B4" s="31">
        <v>43346</v>
      </c>
      <c r="C4" s="32">
        <v>3015</v>
      </c>
      <c r="D4" s="33">
        <v>1444.6</v>
      </c>
      <c r="E4" s="33">
        <v>321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</row>
    <row r="5" spans="1:22">
      <c r="A5" s="21">
        <v>4</v>
      </c>
      <c r="B5" s="31">
        <v>43346</v>
      </c>
      <c r="C5" s="32">
        <v>3015</v>
      </c>
      <c r="D5" s="22">
        <v>1312.3</v>
      </c>
      <c r="E5" s="33" t="s">
        <v>158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8"/>
      <c r="S5" s="28"/>
      <c r="T5" s="29"/>
    </row>
    <row r="6" spans="1:22">
      <c r="A6" s="21">
        <v>3.4</v>
      </c>
      <c r="B6" s="31">
        <v>43346</v>
      </c>
      <c r="C6" s="32">
        <v>3015</v>
      </c>
      <c r="D6" s="33">
        <v>1139.3</v>
      </c>
      <c r="E6" s="33">
        <v>258.79000000000002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8"/>
      <c r="S6" s="28"/>
      <c r="T6" s="29"/>
    </row>
    <row r="7" spans="1:22">
      <c r="A7" s="21">
        <v>3</v>
      </c>
      <c r="B7" s="31">
        <v>43346</v>
      </c>
      <c r="C7" s="32">
        <v>3015</v>
      </c>
      <c r="D7" s="22">
        <v>975.64</v>
      </c>
      <c r="E7" s="33">
        <v>212.71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8"/>
      <c r="S7" s="28"/>
      <c r="T7" s="29"/>
    </row>
    <row r="8" spans="1:22">
      <c r="A8" s="21">
        <v>2.4</v>
      </c>
      <c r="B8" s="31">
        <v>43346</v>
      </c>
      <c r="C8" s="32">
        <v>3015</v>
      </c>
      <c r="D8" s="33">
        <v>817.39</v>
      </c>
      <c r="E8" s="33">
        <v>192.77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1:22">
      <c r="A9" s="21">
        <v>2</v>
      </c>
      <c r="B9" s="31">
        <v>43346</v>
      </c>
      <c r="C9" s="32">
        <v>3015</v>
      </c>
      <c r="D9" s="22">
        <v>701.66</v>
      </c>
      <c r="E9" s="33">
        <v>178.32</v>
      </c>
      <c r="F9" s="34">
        <f t="shared" si="0"/>
        <v>6.03</v>
      </c>
      <c r="G9" s="37" t="s">
        <v>112</v>
      </c>
      <c r="H9" s="37"/>
      <c r="I9" s="38">
        <f>SLOPE(F3:F13,D3:D13)</f>
        <v>9.342793460099667E-3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1:22">
      <c r="A10" s="21">
        <v>1.4</v>
      </c>
      <c r="B10" s="31">
        <v>43346</v>
      </c>
      <c r="C10" s="32">
        <v>3015</v>
      </c>
      <c r="D10" s="22">
        <v>481.87</v>
      </c>
      <c r="E10" s="33">
        <v>116.94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-0.18889556301817834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1:22">
      <c r="A11" s="21">
        <v>1</v>
      </c>
      <c r="B11" s="31">
        <v>43346</v>
      </c>
      <c r="C11" s="32">
        <v>3015</v>
      </c>
      <c r="D11" s="22">
        <v>337.99</v>
      </c>
      <c r="E11" s="33">
        <v>83.620999999999995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1:22">
      <c r="A12" s="39">
        <v>0.4</v>
      </c>
      <c r="B12" s="31">
        <v>43346</v>
      </c>
      <c r="C12" s="32">
        <v>3015</v>
      </c>
      <c r="D12" s="39">
        <v>135.51</v>
      </c>
      <c r="E12" s="39">
        <v>35.329000000000001</v>
      </c>
      <c r="F12" s="34">
        <f t="shared" si="0"/>
        <v>1.206</v>
      </c>
      <c r="G12" s="40" t="s">
        <v>114</v>
      </c>
      <c r="H12" s="40"/>
      <c r="I12" s="41">
        <f>SLOPE(F3:F13,E3:E13)</f>
        <v>4.1993676581640806E-2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2">
      <c r="A13" s="39">
        <v>0.2</v>
      </c>
      <c r="B13" s="31">
        <v>43346</v>
      </c>
      <c r="C13" s="32">
        <v>3015</v>
      </c>
      <c r="D13" s="39">
        <v>60.316000000000003</v>
      </c>
      <c r="E13" s="39">
        <v>19.425999999999998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-0.51134292311475349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2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2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157</v>
      </c>
      <c r="R15" s="43" t="s">
        <v>148</v>
      </c>
      <c r="S15" s="43" t="s">
        <v>148</v>
      </c>
      <c r="T15" s="43" t="s">
        <v>150</v>
      </c>
      <c r="U15" s="43" t="s">
        <v>122</v>
      </c>
      <c r="V15" s="43" t="s">
        <v>122</v>
      </c>
    </row>
    <row r="16" spans="1:22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 t="s">
        <v>132</v>
      </c>
      <c r="R16" s="47" t="s">
        <v>156</v>
      </c>
      <c r="S16" s="47" t="s">
        <v>132</v>
      </c>
      <c r="T16" s="47" t="s">
        <v>153</v>
      </c>
      <c r="U16" s="92" t="s">
        <v>155</v>
      </c>
      <c r="V16" s="92" t="s">
        <v>156</v>
      </c>
    </row>
    <row r="17" spans="1:22">
      <c r="A17" s="1" t="s">
        <v>30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 t="str">
        <f>Jar_Information!M23</f>
        <v>21/08/2018 14:29</v>
      </c>
      <c r="J17" s="55">
        <f t="shared" ref="J17:J36" si="1">B17-I17</f>
        <v>-43333.603472222225</v>
      </c>
      <c r="K17" s="55">
        <f>J17*24</f>
        <v>-1040006.4833333334</v>
      </c>
      <c r="L17" s="56">
        <f>Jar_Information!H23</f>
        <v>1021.6154823015972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93" t="e">
        <f>O17*(400/(400+L17))</f>
        <v>#DIV/0!</v>
      </c>
      <c r="R17" s="93"/>
      <c r="S17" s="93"/>
      <c r="T17" s="56"/>
      <c r="U17" s="71" t="e">
        <f>F17*1000000</f>
        <v>#DIV/0!</v>
      </c>
      <c r="V17" s="72" t="e">
        <f>M17/L17*100</f>
        <v>#DIV/0!</v>
      </c>
    </row>
    <row r="18" spans="1:22">
      <c r="A18" s="1" t="s">
        <v>31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 t="str">
        <f>Jar_Information!M24</f>
        <v>21/08/2018 14:29</v>
      </c>
      <c r="J18" s="55">
        <f t="shared" si="1"/>
        <v>-43333.603472222225</v>
      </c>
      <c r="K18" s="55">
        <f t="shared" ref="K18:K36" si="4">J18*24</f>
        <v>-1040006.4833333334</v>
      </c>
      <c r="L18" s="56">
        <f>Jar_Information!H24</f>
        <v>1040.8668117949733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93" t="e">
        <f t="shared" ref="Q18:Q40" si="8">O18*(400/(400+L18))</f>
        <v>#DIV/0!</v>
      </c>
      <c r="R18" s="93"/>
      <c r="S18" s="58"/>
      <c r="T18" s="56"/>
      <c r="U18" s="71" t="e">
        <f t="shared" ref="U18:U36" si="9">F18*1000000</f>
        <v>#DIV/0!</v>
      </c>
      <c r="V18" s="72" t="e">
        <f t="shared" ref="V18:V36" si="10">M18/L18*100</f>
        <v>#DIV/0!</v>
      </c>
    </row>
    <row r="19" spans="1:22">
      <c r="A19" s="1" t="s">
        <v>32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 t="str">
        <f>Jar_Information!M25</f>
        <v>21/08/2018 14:29</v>
      </c>
      <c r="J19" s="55">
        <f t="shared" si="1"/>
        <v>-43333.603472222225</v>
      </c>
      <c r="K19" s="55">
        <f t="shared" si="4"/>
        <v>-1040006.4833333334</v>
      </c>
      <c r="L19" s="56">
        <f>Jar_Information!H25</f>
        <v>1031.2130018297275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93" t="e">
        <f t="shared" si="8"/>
        <v>#DIV/0!</v>
      </c>
      <c r="R19" s="93"/>
      <c r="S19" s="58"/>
      <c r="T19" s="56"/>
      <c r="U19" s="71" t="e">
        <f t="shared" si="9"/>
        <v>#DIV/0!</v>
      </c>
      <c r="V19" s="72" t="e">
        <f t="shared" si="10"/>
        <v>#DIV/0!</v>
      </c>
    </row>
    <row r="20" spans="1:22">
      <c r="A20" s="1" t="s">
        <v>33</v>
      </c>
      <c r="B20" s="50"/>
      <c r="C20" s="21"/>
      <c r="D20" s="59"/>
      <c r="E20" s="60"/>
      <c r="F20" s="53" t="e">
        <f t="shared" si="2"/>
        <v>#DIV/0!</v>
      </c>
      <c r="G20" s="53" t="e">
        <f t="shared" si="3"/>
        <v>#DIV/0!</v>
      </c>
      <c r="H20" s="53"/>
      <c r="I20" s="54" t="str">
        <f>Jar_Information!M26</f>
        <v>21/08/2018 15:49</v>
      </c>
      <c r="J20" s="55">
        <f t="shared" si="1"/>
        <v>-43333.65902777778</v>
      </c>
      <c r="K20" s="55">
        <f t="shared" si="4"/>
        <v>-1040007.8166666667</v>
      </c>
      <c r="L20" s="56">
        <f>Jar_Information!H26</f>
        <v>1016.8376778203445</v>
      </c>
      <c r="M20" s="55" t="e">
        <f t="shared" si="5"/>
        <v>#DIV/0!</v>
      </c>
      <c r="N20" s="55" t="e">
        <f t="shared" si="6"/>
        <v>#DIV/0!</v>
      </c>
      <c r="O20" s="57" t="e">
        <f t="shared" si="7"/>
        <v>#DIV/0!</v>
      </c>
      <c r="P20" s="55">
        <v>26.611591631551708</v>
      </c>
      <c r="Q20" s="93" t="e">
        <f t="shared" si="8"/>
        <v>#DIV/0!</v>
      </c>
      <c r="R20" s="93"/>
      <c r="S20" s="58"/>
      <c r="T20" s="56"/>
      <c r="U20" s="71" t="e">
        <f t="shared" si="9"/>
        <v>#DIV/0!</v>
      </c>
      <c r="V20" s="72" t="e">
        <f t="shared" si="10"/>
        <v>#DIV/0!</v>
      </c>
    </row>
    <row r="21" spans="1:22">
      <c r="A21" s="1" t="s">
        <v>34</v>
      </c>
      <c r="B21" s="50"/>
      <c r="C21" s="21"/>
      <c r="D21" s="59"/>
      <c r="E21" s="60"/>
      <c r="F21" s="53" t="e">
        <f t="shared" si="2"/>
        <v>#DIV/0!</v>
      </c>
      <c r="G21" s="53" t="e">
        <f t="shared" si="3"/>
        <v>#DIV/0!</v>
      </c>
      <c r="H21" s="53"/>
      <c r="I21" s="54" t="str">
        <f>Jar_Information!M27</f>
        <v>21/08/2018 14:29</v>
      </c>
      <c r="J21" s="55">
        <f t="shared" si="1"/>
        <v>-43333.603472222225</v>
      </c>
      <c r="K21" s="55">
        <f t="shared" si="4"/>
        <v>-1040006.4833333334</v>
      </c>
      <c r="L21" s="56">
        <f>Jar_Information!H27</f>
        <v>1026.4072365769557</v>
      </c>
      <c r="M21" s="55" t="e">
        <f t="shared" si="5"/>
        <v>#DIV/0!</v>
      </c>
      <c r="N21" s="55" t="e">
        <f t="shared" si="6"/>
        <v>#DIV/0!</v>
      </c>
      <c r="O21" s="57" t="e">
        <f t="shared" si="7"/>
        <v>#DIV/0!</v>
      </c>
      <c r="P21" s="55">
        <v>27.118040607238672</v>
      </c>
      <c r="Q21" s="93" t="e">
        <f t="shared" si="8"/>
        <v>#DIV/0!</v>
      </c>
      <c r="R21" s="93"/>
      <c r="S21" s="58"/>
      <c r="T21" s="91"/>
      <c r="U21" s="71" t="e">
        <f t="shared" si="9"/>
        <v>#DIV/0!</v>
      </c>
      <c r="V21" s="72" t="e">
        <f t="shared" si="10"/>
        <v>#DIV/0!</v>
      </c>
    </row>
    <row r="22" spans="1:22">
      <c r="A22" s="1" t="s">
        <v>35</v>
      </c>
      <c r="B22" s="50"/>
      <c r="C22" s="21"/>
      <c r="D22" s="59"/>
      <c r="E22" s="60"/>
      <c r="F22" s="53" t="e">
        <f t="shared" si="2"/>
        <v>#DIV/0!</v>
      </c>
      <c r="G22" s="53" t="e">
        <f t="shared" si="3"/>
        <v>#DIV/0!</v>
      </c>
      <c r="H22" s="53"/>
      <c r="I22" s="54" t="str">
        <f>Jar_Information!M28</f>
        <v>21/08/2018 15:49</v>
      </c>
      <c r="J22" s="55">
        <f t="shared" si="1"/>
        <v>-43333.65902777778</v>
      </c>
      <c r="K22" s="55">
        <f t="shared" si="4"/>
        <v>-1040007.8166666667</v>
      </c>
      <c r="L22" s="56">
        <f>Jar_Information!H28</f>
        <v>1007.3236752829298</v>
      </c>
      <c r="M22" s="55" t="e">
        <f t="shared" si="5"/>
        <v>#DIV/0!</v>
      </c>
      <c r="N22" s="55" t="e">
        <f t="shared" si="6"/>
        <v>#DIV/0!</v>
      </c>
      <c r="O22" s="57" t="e">
        <f t="shared" si="7"/>
        <v>#DIV/0!</v>
      </c>
      <c r="P22" s="55">
        <v>26.485903564592896</v>
      </c>
      <c r="Q22" s="93" t="e">
        <f t="shared" si="8"/>
        <v>#DIV/0!</v>
      </c>
      <c r="R22" s="93"/>
      <c r="S22" s="58"/>
      <c r="T22" s="56"/>
      <c r="U22" s="71" t="e">
        <f t="shared" si="9"/>
        <v>#DIV/0!</v>
      </c>
      <c r="V22" s="72" t="e">
        <f t="shared" si="10"/>
        <v>#DIV/0!</v>
      </c>
    </row>
    <row r="23" spans="1:22">
      <c r="A23" s="1" t="s">
        <v>36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 t="str">
        <f>Jar_Information!M29</f>
        <v>21/08/2018 15:49</v>
      </c>
      <c r="J23" s="55">
        <f t="shared" si="1"/>
        <v>-43333.65902777778</v>
      </c>
      <c r="K23" s="55">
        <f t="shared" si="4"/>
        <v>-1040007.8166666667</v>
      </c>
      <c r="L23" s="56">
        <f>Jar_Information!H29</f>
        <v>1036.0328396015414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93" t="e">
        <f t="shared" si="8"/>
        <v>#DIV/0!</v>
      </c>
      <c r="R23" s="93"/>
      <c r="S23" s="58"/>
      <c r="T23" s="56"/>
      <c r="U23" s="71" t="e">
        <f t="shared" si="9"/>
        <v>#DIV/0!</v>
      </c>
      <c r="V23" s="72" t="e">
        <f t="shared" si="10"/>
        <v>#DIV/0!</v>
      </c>
    </row>
    <row r="24" spans="1:22">
      <c r="A24" s="1" t="s">
        <v>37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 t="str">
        <f>Jar_Information!M30</f>
        <v>21/08/2018 15:49</v>
      </c>
      <c r="J24" s="55">
        <f t="shared" si="1"/>
        <v>-43333.65902777778</v>
      </c>
      <c r="K24" s="55">
        <f t="shared" si="4"/>
        <v>-1040007.8166666667</v>
      </c>
      <c r="L24" s="56">
        <f>Jar_Information!H30</f>
        <v>1036.0328396015414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93" t="e">
        <f t="shared" si="8"/>
        <v>#DIV/0!</v>
      </c>
      <c r="R24" s="93"/>
      <c r="S24" s="58"/>
      <c r="T24" s="56"/>
      <c r="U24" s="71" t="e">
        <f t="shared" si="9"/>
        <v>#DIV/0!</v>
      </c>
      <c r="V24" s="72" t="e">
        <f t="shared" si="10"/>
        <v>#DIV/0!</v>
      </c>
    </row>
    <row r="25" spans="1:22">
      <c r="A25" s="1" t="s">
        <v>38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 t="str">
        <f>Jar_Information!M31</f>
        <v>21/08/2018 15:49</v>
      </c>
      <c r="J25" s="55">
        <f t="shared" si="1"/>
        <v>-43333.65902777778</v>
      </c>
      <c r="K25" s="55">
        <f t="shared" si="4"/>
        <v>-1040007.8166666667</v>
      </c>
      <c r="L25" s="56">
        <f>Jar_Information!H31</f>
        <v>1036.0328396015414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93" t="e">
        <f t="shared" si="8"/>
        <v>#DIV/0!</v>
      </c>
      <c r="R25" s="93"/>
      <c r="U25" s="71" t="e">
        <f t="shared" si="9"/>
        <v>#DIV/0!</v>
      </c>
      <c r="V25" s="72" t="e">
        <f t="shared" si="10"/>
        <v>#DIV/0!</v>
      </c>
    </row>
    <row r="26" spans="1:22">
      <c r="A26" s="1" t="s">
        <v>39</v>
      </c>
      <c r="B26" s="50"/>
      <c r="C26" s="21"/>
      <c r="D26" s="59"/>
      <c r="E26" s="60"/>
      <c r="F26" s="53" t="e">
        <f t="shared" si="2"/>
        <v>#DIV/0!</v>
      </c>
      <c r="G26" s="53" t="e">
        <f t="shared" si="3"/>
        <v>#DIV/0!</v>
      </c>
      <c r="H26" s="53"/>
      <c r="I26" s="54" t="str">
        <f>Jar_Information!M32</f>
        <v>21/08/2018 15:55</v>
      </c>
      <c r="J26" s="55">
        <f t="shared" si="1"/>
        <v>-43333.663194444445</v>
      </c>
      <c r="K26" s="55">
        <f t="shared" si="4"/>
        <v>-1040007.9166666667</v>
      </c>
      <c r="L26" s="56">
        <f>Jar_Information!H32</f>
        <v>1036.0328396015414</v>
      </c>
      <c r="M26" s="55" t="e">
        <f t="shared" si="5"/>
        <v>#DIV/0!</v>
      </c>
      <c r="N26" s="55" t="e">
        <f t="shared" si="6"/>
        <v>#DIV/0!</v>
      </c>
      <c r="O26" s="57" t="e">
        <f t="shared" si="7"/>
        <v>#DIV/0!</v>
      </c>
      <c r="P26" s="73">
        <v>26.485903564592896</v>
      </c>
      <c r="Q26" s="93" t="e">
        <f t="shared" si="8"/>
        <v>#DIV/0!</v>
      </c>
      <c r="R26" s="93"/>
      <c r="U26" s="71" t="e">
        <f t="shared" si="9"/>
        <v>#DIV/0!</v>
      </c>
      <c r="V26" s="72" t="e">
        <f t="shared" si="10"/>
        <v>#DIV/0!</v>
      </c>
    </row>
    <row r="27" spans="1:22">
      <c r="A27" s="1" t="s">
        <v>40</v>
      </c>
      <c r="B27" s="50"/>
      <c r="C27" s="21"/>
      <c r="D27" s="59"/>
      <c r="E27" s="60"/>
      <c r="F27" s="53" t="e">
        <f t="shared" si="2"/>
        <v>#DIV/0!</v>
      </c>
      <c r="G27" s="53" t="e">
        <f t="shared" si="3"/>
        <v>#DIV/0!</v>
      </c>
      <c r="H27" s="53"/>
      <c r="I27" s="54" t="str">
        <f>Jar_Information!M33</f>
        <v>21/08/2018 15:55</v>
      </c>
      <c r="J27" s="55">
        <f t="shared" si="1"/>
        <v>-43333.663194444445</v>
      </c>
      <c r="K27" s="55">
        <f t="shared" si="4"/>
        <v>-1040007.9166666667</v>
      </c>
      <c r="L27" s="56">
        <f>Jar_Information!H33</f>
        <v>1012.0737623056069</v>
      </c>
      <c r="M27" s="55" t="e">
        <f t="shared" si="5"/>
        <v>#DIV/0!</v>
      </c>
      <c r="N27" s="55" t="e">
        <f t="shared" si="6"/>
        <v>#DIV/0!</v>
      </c>
      <c r="O27" s="57" t="e">
        <f t="shared" si="7"/>
        <v>#DIV/0!</v>
      </c>
      <c r="P27" s="73">
        <v>26.485903564592896</v>
      </c>
      <c r="Q27" s="93" t="e">
        <f t="shared" si="8"/>
        <v>#DIV/0!</v>
      </c>
      <c r="R27" s="93"/>
      <c r="S27" s="89"/>
      <c r="T27" s="61"/>
      <c r="U27" s="71" t="e">
        <f t="shared" si="9"/>
        <v>#DIV/0!</v>
      </c>
      <c r="V27" s="72" t="e">
        <f t="shared" si="10"/>
        <v>#DIV/0!</v>
      </c>
    </row>
    <row r="28" spans="1:22">
      <c r="A28" s="1" t="s">
        <v>41</v>
      </c>
      <c r="B28" s="50"/>
      <c r="C28" s="21"/>
      <c r="D28" s="59"/>
      <c r="E28" s="60"/>
      <c r="F28" s="53" t="e">
        <f t="shared" si="2"/>
        <v>#DIV/0!</v>
      </c>
      <c r="G28" s="53" t="e">
        <f t="shared" si="3"/>
        <v>#DIV/0!</v>
      </c>
      <c r="H28" s="53"/>
      <c r="I28" s="54" t="str">
        <f>Jar_Information!M34</f>
        <v>21/08/2018 15:55</v>
      </c>
      <c r="J28" s="55">
        <f t="shared" si="1"/>
        <v>-43333.663194444445</v>
      </c>
      <c r="K28" s="55">
        <f t="shared" si="4"/>
        <v>-1040007.9166666667</v>
      </c>
      <c r="L28" s="56">
        <f>Jar_Information!H34</f>
        <v>1026.4072365769557</v>
      </c>
      <c r="M28" s="55" t="e">
        <f t="shared" si="5"/>
        <v>#DIV/0!</v>
      </c>
      <c r="N28" s="55" t="e">
        <f t="shared" si="6"/>
        <v>#DIV/0!</v>
      </c>
      <c r="O28" s="57" t="e">
        <f t="shared" si="7"/>
        <v>#DIV/0!</v>
      </c>
      <c r="P28" s="73">
        <v>26.611591631551708</v>
      </c>
      <c r="Q28" s="93" t="e">
        <f t="shared" si="8"/>
        <v>#DIV/0!</v>
      </c>
      <c r="R28" s="93"/>
      <c r="S28" s="89"/>
      <c r="T28" s="61"/>
      <c r="U28" s="71" t="e">
        <f t="shared" si="9"/>
        <v>#DIV/0!</v>
      </c>
      <c r="V28" s="72" t="e">
        <f t="shared" si="10"/>
        <v>#DIV/0!</v>
      </c>
    </row>
    <row r="29" spans="1:22">
      <c r="A29" s="1" t="s">
        <v>42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 t="str">
        <f>Jar_Information!M35</f>
        <v>21/08/2018 15:55</v>
      </c>
      <c r="J29" s="55">
        <f t="shared" si="1"/>
        <v>-43333.663194444445</v>
      </c>
      <c r="K29" s="55">
        <f t="shared" si="4"/>
        <v>-1040007.9166666667</v>
      </c>
      <c r="L29" s="56">
        <f>Jar_Information!H35</f>
        <v>1021.6154823015972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93" t="e">
        <f t="shared" si="8"/>
        <v>#DIV/0!</v>
      </c>
      <c r="R29" s="93"/>
      <c r="S29" s="89"/>
      <c r="T29" s="61"/>
      <c r="U29" s="71" t="e">
        <f t="shared" si="9"/>
        <v>#DIV/0!</v>
      </c>
      <c r="V29" s="72" t="e">
        <f t="shared" si="10"/>
        <v>#DIV/0!</v>
      </c>
    </row>
    <row r="30" spans="1:22">
      <c r="A30" s="1" t="s">
        <v>43</v>
      </c>
      <c r="B30" s="50"/>
      <c r="C30" s="21"/>
      <c r="D30" s="59"/>
      <c r="E30" s="60"/>
      <c r="F30" s="53" t="e">
        <f t="shared" si="2"/>
        <v>#DIV/0!</v>
      </c>
      <c r="G30" s="53" t="e">
        <f t="shared" si="3"/>
        <v>#DIV/0!</v>
      </c>
      <c r="H30" s="53"/>
      <c r="I30" s="54" t="str">
        <f>Jar_Information!M36</f>
        <v>21/08/2018 15:55</v>
      </c>
      <c r="J30" s="55">
        <f t="shared" si="1"/>
        <v>-43333.663194444445</v>
      </c>
      <c r="K30" s="55">
        <f t="shared" si="4"/>
        <v>-1040007.9166666667</v>
      </c>
      <c r="L30" s="56">
        <f>Jar_Information!H36</f>
        <v>1016.8376778203445</v>
      </c>
      <c r="M30" s="55" t="e">
        <f t="shared" si="5"/>
        <v>#DIV/0!</v>
      </c>
      <c r="N30" s="55" t="e">
        <f t="shared" si="6"/>
        <v>#DIV/0!</v>
      </c>
      <c r="O30" s="57" t="e">
        <f t="shared" si="7"/>
        <v>#DIV/0!</v>
      </c>
      <c r="P30" s="73">
        <v>26.855607956200881</v>
      </c>
      <c r="Q30" s="93" t="e">
        <f t="shared" si="8"/>
        <v>#DIV/0!</v>
      </c>
      <c r="R30" s="93"/>
      <c r="S30" s="89"/>
      <c r="T30" s="61"/>
      <c r="U30" s="71" t="e">
        <f t="shared" si="9"/>
        <v>#DIV/0!</v>
      </c>
      <c r="V30" s="72" t="e">
        <f t="shared" si="10"/>
        <v>#DIV/0!</v>
      </c>
    </row>
    <row r="31" spans="1:22">
      <c r="A31" s="1" t="s">
        <v>44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 t="str">
        <f>Jar_Information!M37</f>
        <v>21/08/2018 15:55</v>
      </c>
      <c r="J31" s="55">
        <f t="shared" si="1"/>
        <v>-43333.663194444445</v>
      </c>
      <c r="K31" s="55">
        <f t="shared" si="4"/>
        <v>-1040007.9166666667</v>
      </c>
      <c r="L31" s="56">
        <f>Jar_Information!H37</f>
        <v>997.86474656628161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93" t="e">
        <f t="shared" si="8"/>
        <v>#DIV/0!</v>
      </c>
      <c r="R31" s="93"/>
      <c r="S31" s="61"/>
      <c r="T31" s="61"/>
      <c r="U31" s="71" t="e">
        <f t="shared" si="9"/>
        <v>#DIV/0!</v>
      </c>
      <c r="V31" s="72" t="e">
        <f t="shared" si="10"/>
        <v>#DIV/0!</v>
      </c>
    </row>
    <row r="32" spans="1:22">
      <c r="A32" s="1" t="s">
        <v>45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 t="str">
        <f>Jar_Information!M38</f>
        <v>21/08/2018 16:01</v>
      </c>
      <c r="J32" s="55">
        <f t="shared" si="1"/>
        <v>-43333.667361111111</v>
      </c>
      <c r="K32" s="55">
        <f t="shared" si="4"/>
        <v>-1040008.0166666666</v>
      </c>
      <c r="L32" s="56">
        <f>Jar_Information!H38</f>
        <v>1026.4072365769557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93" t="e">
        <f t="shared" si="8"/>
        <v>#DIV/0!</v>
      </c>
      <c r="R32" s="93"/>
      <c r="S32" s="61"/>
      <c r="T32" s="61"/>
      <c r="U32" s="71" t="e">
        <f t="shared" si="9"/>
        <v>#DIV/0!</v>
      </c>
      <c r="V32" s="72" t="e">
        <f t="shared" si="10"/>
        <v>#DIV/0!</v>
      </c>
    </row>
    <row r="33" spans="1:23">
      <c r="A33" s="1" t="s">
        <v>46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 t="str">
        <f>Jar_Information!M39</f>
        <v>21/08/2018 16:01</v>
      </c>
      <c r="J33" s="55">
        <f t="shared" si="1"/>
        <v>-43333.667361111111</v>
      </c>
      <c r="K33" s="55">
        <f t="shared" si="4"/>
        <v>-1040008.0166666666</v>
      </c>
      <c r="L33" s="56">
        <f>Jar_Information!H39</f>
        <v>1021.6154823015972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93" t="e">
        <f t="shared" si="8"/>
        <v>#DIV/0!</v>
      </c>
      <c r="R33" s="93"/>
      <c r="S33" s="61"/>
      <c r="T33" s="61"/>
      <c r="U33" s="71" t="e">
        <f t="shared" si="9"/>
        <v>#DIV/0!</v>
      </c>
      <c r="V33" s="72" t="e">
        <f t="shared" si="10"/>
        <v>#DIV/0!</v>
      </c>
    </row>
    <row r="34" spans="1:23">
      <c r="A34" s="1" t="s">
        <v>47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 t="str">
        <f>Jar_Information!M40</f>
        <v>21/08/2018 16:01</v>
      </c>
      <c r="J34" s="55">
        <f t="shared" si="1"/>
        <v>-43333.667361111111</v>
      </c>
      <c r="K34" s="55">
        <f t="shared" si="4"/>
        <v>-1040008.0166666666</v>
      </c>
      <c r="L34" s="56">
        <f>Jar_Information!H40</f>
        <v>1002.5873566284342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93" t="e">
        <f t="shared" si="8"/>
        <v>#DIV/0!</v>
      </c>
      <c r="R34" s="93"/>
      <c r="S34" s="61"/>
      <c r="T34" s="61"/>
      <c r="U34" s="71" t="e">
        <f t="shared" si="9"/>
        <v>#DIV/0!</v>
      </c>
      <c r="V34" s="72" t="e">
        <f t="shared" si="10"/>
        <v>#DIV/0!</v>
      </c>
    </row>
    <row r="35" spans="1:23">
      <c r="A35" s="1" t="s">
        <v>48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 t="str">
        <f>Jar_Information!M41</f>
        <v>21/08/2018 16:01</v>
      </c>
      <c r="J35" s="55">
        <f t="shared" si="1"/>
        <v>-43333.667361111111</v>
      </c>
      <c r="K35" s="55">
        <f t="shared" si="4"/>
        <v>-1040008.0166666666</v>
      </c>
      <c r="L35" s="56">
        <f>Jar_Information!H41</f>
        <v>993.15578566615829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93" t="e">
        <f t="shared" si="8"/>
        <v>#DIV/0!</v>
      </c>
      <c r="R35" s="93"/>
      <c r="S35" s="61"/>
      <c r="T35" s="61"/>
      <c r="U35" s="71" t="e">
        <f t="shared" si="9"/>
        <v>#DIV/0!</v>
      </c>
      <c r="V35" s="72" t="e">
        <f t="shared" si="10"/>
        <v>#DIV/0!</v>
      </c>
    </row>
    <row r="36" spans="1:23">
      <c r="A36" s="1" t="s">
        <v>49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 t="str">
        <f>Jar_Information!M42</f>
        <v>21/08/2018 16:01</v>
      </c>
      <c r="J36" s="55" t="e">
        <f>B36-I36</f>
        <v>#VALUE!</v>
      </c>
      <c r="K36" s="55" t="e">
        <f t="shared" si="4"/>
        <v>#VALUE!</v>
      </c>
      <c r="L36" s="56">
        <f>Jar_Information!H42</f>
        <v>1026.4072365769557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93" t="e">
        <f t="shared" si="8"/>
        <v>#DIV/0!</v>
      </c>
      <c r="R36" s="93"/>
      <c r="S36" s="58"/>
      <c r="T36" s="61"/>
      <c r="U36" s="71" t="e">
        <f t="shared" si="9"/>
        <v>#DIV/0!</v>
      </c>
      <c r="V36" s="72" t="e">
        <f t="shared" si="10"/>
        <v>#DIV/0!</v>
      </c>
    </row>
    <row r="37" spans="1:23">
      <c r="A37" s="62"/>
      <c r="B37" s="50"/>
      <c r="Q37" s="93"/>
      <c r="R37" s="93"/>
      <c r="S37" s="61"/>
      <c r="T37" s="61"/>
    </row>
    <row r="38" spans="1:23">
      <c r="A38" s="1" t="s">
        <v>13</v>
      </c>
      <c r="B38" s="50">
        <v>43346.670138888891</v>
      </c>
      <c r="C38" s="21">
        <v>1</v>
      </c>
      <c r="D38" s="59">
        <v>853.27</v>
      </c>
      <c r="E38" s="60">
        <v>203.24</v>
      </c>
      <c r="F38" s="53">
        <f t="shared" ref="F38:F40" si="11">((I$9*D38)+I$10)/C38/1000</f>
        <v>7.7830298126810643E-3</v>
      </c>
      <c r="G38" s="53">
        <f t="shared" ref="G38:G40" si="12">((I$12*E38)+I$13)/C38/1000</f>
        <v>8.0234519053379236E-3</v>
      </c>
      <c r="H38" s="53"/>
      <c r="I38" s="54" t="str">
        <f>Jar_Information!M6</f>
        <v>27/07/2018 16:50</v>
      </c>
      <c r="J38" s="55">
        <f t="shared" ref="J38:J40" si="13">B38-I38</f>
        <v>37.96875</v>
      </c>
      <c r="K38" s="55">
        <f t="shared" ref="K38:K40" si="14">J38*24</f>
        <v>911.25</v>
      </c>
      <c r="L38" s="56">
        <f>Jar_Information!H6</f>
        <v>1006.9230769230769</v>
      </c>
      <c r="M38" s="55">
        <f t="shared" ref="M38:M40" si="15">F38*L38</f>
        <v>7.8369123267688563</v>
      </c>
      <c r="N38" s="55">
        <f t="shared" ref="N38:N40" si="16">M38*1.83</f>
        <v>14.341549557987008</v>
      </c>
      <c r="O38" s="57">
        <f t="shared" ref="O38:O40" si="17">N38*(12/(12+(16*2)))</f>
        <v>3.9113316976328201</v>
      </c>
      <c r="P38" s="55">
        <v>26.611591631551708</v>
      </c>
      <c r="Q38" s="93">
        <f t="shared" si="8"/>
        <v>1.1120243208141425</v>
      </c>
      <c r="R38" s="94">
        <f>S38/Q38*100</f>
        <v>80.181954455160508</v>
      </c>
      <c r="S38" s="55">
        <f>T38/314.7</f>
        <v>0.89164283444550374</v>
      </c>
      <c r="T38" s="55">
        <v>280.60000000000002</v>
      </c>
      <c r="U38" s="71">
        <f t="shared" ref="U38:U40" si="18">F38*1000000</f>
        <v>7783.029812681064</v>
      </c>
      <c r="V38" s="72">
        <f t="shared" ref="V38:V40" si="19">M38/L38*100</f>
        <v>0.77830298126810638</v>
      </c>
      <c r="W38" s="80" t="s">
        <v>159</v>
      </c>
    </row>
    <row r="39" spans="1:23">
      <c r="A39" s="1" t="s">
        <v>14</v>
      </c>
      <c r="B39" s="50">
        <v>43346.671527777777</v>
      </c>
      <c r="C39" s="21">
        <v>1</v>
      </c>
      <c r="D39" s="59">
        <v>866.91</v>
      </c>
      <c r="E39" s="60">
        <v>199.33</v>
      </c>
      <c r="F39" s="53">
        <f t="shared" si="11"/>
        <v>7.9104655154768246E-3</v>
      </c>
      <c r="G39" s="53">
        <f t="shared" si="12"/>
        <v>7.8592566299037075E-3</v>
      </c>
      <c r="H39" s="53"/>
      <c r="I39" s="54" t="str">
        <f>Jar_Information!M7</f>
        <v>27/07/2018 16:50</v>
      </c>
      <c r="J39" s="55">
        <f t="shared" si="13"/>
        <v>37.97013888888614</v>
      </c>
      <c r="K39" s="55">
        <f t="shared" si="14"/>
        <v>911.28333333326736</v>
      </c>
      <c r="L39" s="56">
        <f>Jar_Information!H7</f>
        <v>1026.0859728506789</v>
      </c>
      <c r="M39" s="55">
        <f t="shared" si="15"/>
        <v>8.1168177041497849</v>
      </c>
      <c r="N39" s="55">
        <f t="shared" si="16"/>
        <v>14.853776398594107</v>
      </c>
      <c r="O39" s="57">
        <f t="shared" si="17"/>
        <v>4.051029926889302</v>
      </c>
      <c r="P39" s="55">
        <v>27.118040607238672</v>
      </c>
      <c r="Q39" s="93">
        <f t="shared" si="8"/>
        <v>1.1362652754494129</v>
      </c>
      <c r="R39" s="94">
        <f t="shared" ref="R39:R40" si="20">S39/Q39*100</f>
        <v>91.922796146745782</v>
      </c>
      <c r="S39" s="55">
        <f t="shared" ref="S39:S40" si="21">T39/314.7</f>
        <v>1.0444868128376232</v>
      </c>
      <c r="T39" s="55">
        <v>328.7</v>
      </c>
      <c r="U39" s="71">
        <f t="shared" si="18"/>
        <v>7910.4655154768243</v>
      </c>
      <c r="V39" s="72">
        <f t="shared" si="19"/>
        <v>0.79104655154768244</v>
      </c>
      <c r="W39" s="80" t="s">
        <v>159</v>
      </c>
    </row>
    <row r="40" spans="1:23">
      <c r="A40" s="1" t="s">
        <v>15</v>
      </c>
      <c r="B40" s="50">
        <v>43346.673611111109</v>
      </c>
      <c r="C40" s="21">
        <v>1</v>
      </c>
      <c r="D40" s="59">
        <v>765.46</v>
      </c>
      <c r="E40" s="60">
        <v>176.01</v>
      </c>
      <c r="F40" s="53">
        <f t="shared" si="11"/>
        <v>6.9626391189497134E-3</v>
      </c>
      <c r="G40" s="53">
        <f t="shared" si="12"/>
        <v>6.8799640920198446E-3</v>
      </c>
      <c r="H40" s="53"/>
      <c r="I40" s="54" t="str">
        <f>Jar_Information!M8</f>
        <v>27/07/2018 16:50</v>
      </c>
      <c r="J40" s="55">
        <f t="shared" si="13"/>
        <v>37.972222222218988</v>
      </c>
      <c r="K40" s="55">
        <f t="shared" si="14"/>
        <v>911.33333333325572</v>
      </c>
      <c r="L40" s="56">
        <f>Jar_Information!H8</f>
        <v>1002.1673217293657</v>
      </c>
      <c r="M40" s="55">
        <f t="shared" si="15"/>
        <v>6.9777293980059447</v>
      </c>
      <c r="N40" s="55">
        <f t="shared" si="16"/>
        <v>12.769244798350879</v>
      </c>
      <c r="O40" s="57">
        <f t="shared" si="17"/>
        <v>3.4825213086411488</v>
      </c>
      <c r="P40" s="55">
        <v>26.485903564592896</v>
      </c>
      <c r="Q40" s="93">
        <f t="shared" si="8"/>
        <v>0.9934681131624078</v>
      </c>
      <c r="R40" s="94">
        <f t="shared" si="20"/>
        <v>88.023321898523591</v>
      </c>
      <c r="S40" s="55">
        <f t="shared" si="21"/>
        <v>0.87448363520813477</v>
      </c>
      <c r="T40" s="55">
        <v>275.2</v>
      </c>
      <c r="U40" s="71">
        <f t="shared" si="18"/>
        <v>6962.6391189497135</v>
      </c>
      <c r="V40" s="72">
        <f t="shared" si="19"/>
        <v>0.69626391189497139</v>
      </c>
      <c r="W40" s="80" t="s">
        <v>159</v>
      </c>
    </row>
  </sheetData>
  <conditionalFormatting sqref="N17:N36">
    <cfRule type="cellIs" dxfId="8" priority="2" operator="greaterThan">
      <formula>26</formula>
    </cfRule>
  </conditionalFormatting>
  <conditionalFormatting sqref="N38:N40">
    <cfRule type="cellIs" dxfId="7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2" workbookViewId="0">
      <selection activeCell="S51" activeCellId="1" sqref="E40 S51"/>
    </sheetView>
  </sheetViews>
  <sheetFormatPr baseColWidth="10" defaultRowHeight="14" x14ac:dyDescent="0"/>
  <sheetData>
    <row r="1" spans="1:8" ht="16">
      <c r="B1" s="43" t="s">
        <v>123</v>
      </c>
      <c r="C1" s="43" t="s">
        <v>123</v>
      </c>
      <c r="D1" s="43" t="s">
        <v>123</v>
      </c>
      <c r="E1" s="43" t="s">
        <v>123</v>
      </c>
      <c r="F1" s="43" t="s">
        <v>123</v>
      </c>
      <c r="G1" s="43" t="s">
        <v>123</v>
      </c>
      <c r="H1" s="43" t="s">
        <v>123</v>
      </c>
    </row>
    <row r="2" spans="1:8">
      <c r="B2" s="31">
        <v>43311</v>
      </c>
      <c r="C2" s="31">
        <v>43314</v>
      </c>
      <c r="D2" s="31">
        <v>43318</v>
      </c>
      <c r="E2" s="81">
        <v>43325</v>
      </c>
      <c r="F2" s="81">
        <v>43332</v>
      </c>
      <c r="G2" s="81">
        <v>43336</v>
      </c>
      <c r="H2" s="31">
        <v>43339</v>
      </c>
    </row>
    <row r="3" spans="1:8">
      <c r="A3" s="1" t="s">
        <v>9</v>
      </c>
      <c r="B3" s="55">
        <v>14.759120820543343</v>
      </c>
      <c r="C3" s="55">
        <v>24.748291454872628</v>
      </c>
      <c r="D3" s="55"/>
    </row>
    <row r="4" spans="1:8">
      <c r="A4" s="1" t="s">
        <v>11</v>
      </c>
      <c r="B4" s="55">
        <v>14.559442434284724</v>
      </c>
      <c r="C4" s="55">
        <v>24.634642784209703</v>
      </c>
      <c r="D4" s="55"/>
    </row>
    <row r="5" spans="1:8">
      <c r="A5" s="1" t="s">
        <v>12</v>
      </c>
      <c r="B5" s="55">
        <v>15.302487274382152</v>
      </c>
      <c r="C5" s="55">
        <v>26.463259137447459</v>
      </c>
      <c r="D5" s="55"/>
    </row>
    <row r="6" spans="1:8">
      <c r="A6" s="1" t="s">
        <v>13</v>
      </c>
      <c r="B6" s="55">
        <v>1.4916468316009188</v>
      </c>
      <c r="C6" s="55">
        <v>3.3230501624423185</v>
      </c>
      <c r="D6" s="55">
        <v>7.2352113764503629</v>
      </c>
      <c r="E6" s="71">
        <v>10.241857053586374</v>
      </c>
      <c r="F6" s="71">
        <v>10.059994880994989</v>
      </c>
      <c r="G6" s="55">
        <v>12.637809376414555</v>
      </c>
      <c r="H6" s="74">
        <v>13.77626670240617</v>
      </c>
    </row>
    <row r="7" spans="1:8">
      <c r="A7" s="1" t="s">
        <v>14</v>
      </c>
      <c r="B7" s="55">
        <v>1.4523582016071004</v>
      </c>
      <c r="C7" s="55">
        <v>3.1079675466061385</v>
      </c>
      <c r="D7" s="55">
        <v>7.301531778700447</v>
      </c>
      <c r="E7" s="71">
        <v>9.9457037814806171</v>
      </c>
      <c r="F7" s="71">
        <v>11.287763052498207</v>
      </c>
      <c r="G7" s="55">
        <v>13.065046387925831</v>
      </c>
      <c r="H7" s="74">
        <v>13.786096744407592</v>
      </c>
    </row>
    <row r="8" spans="1:8">
      <c r="A8" s="1" t="s">
        <v>15</v>
      </c>
      <c r="B8" s="55">
        <v>1.398047774342037</v>
      </c>
      <c r="C8" s="55">
        <v>3.2695218256554339</v>
      </c>
      <c r="D8" s="55">
        <v>7.2076258471620127</v>
      </c>
      <c r="E8" s="71">
        <v>10.153657038662336</v>
      </c>
      <c r="F8" s="71">
        <v>10.146992499185853</v>
      </c>
      <c r="G8" s="55">
        <v>11.755723985883938</v>
      </c>
      <c r="H8" s="74">
        <v>11.450368488602569</v>
      </c>
    </row>
    <row r="9" spans="1:8">
      <c r="A9" s="1" t="s">
        <v>16</v>
      </c>
      <c r="B9" s="55">
        <v>26.609489256456349</v>
      </c>
      <c r="C9" s="55">
        <v>39.847360414977665</v>
      </c>
      <c r="D9" s="55"/>
      <c r="E9" s="71"/>
      <c r="F9" s="71"/>
    </row>
    <row r="10" spans="1:8">
      <c r="A10" s="1" t="s">
        <v>17</v>
      </c>
      <c r="B10" s="55">
        <v>25.429868020895245</v>
      </c>
      <c r="C10" s="55">
        <v>42.621716069375481</v>
      </c>
      <c r="D10" s="55"/>
      <c r="E10" s="71"/>
      <c r="F10" s="71"/>
    </row>
    <row r="11" spans="1:8">
      <c r="A11" s="1" t="s">
        <v>18</v>
      </c>
      <c r="B11" s="55">
        <v>26.56852324261309</v>
      </c>
      <c r="C11" s="55">
        <v>44.456587112211558</v>
      </c>
      <c r="D11" s="55"/>
      <c r="E11" s="71"/>
      <c r="F11" s="71"/>
    </row>
    <row r="12" spans="1:8">
      <c r="A12" s="1" t="s">
        <v>19</v>
      </c>
      <c r="B12" s="55">
        <v>3.3502782942436071</v>
      </c>
      <c r="C12" s="55">
        <v>7.9497081554538278</v>
      </c>
      <c r="D12" s="55">
        <v>12.902300605543143</v>
      </c>
      <c r="E12" s="71">
        <v>18.036319757673677</v>
      </c>
      <c r="F12" s="71">
        <v>20.641058006230793</v>
      </c>
    </row>
    <row r="13" spans="1:8">
      <c r="A13" s="1" t="s">
        <v>20</v>
      </c>
      <c r="B13" s="55">
        <v>3.0507543827109354</v>
      </c>
      <c r="C13" s="55">
        <v>8.0194841938484522</v>
      </c>
      <c r="D13" s="55">
        <v>13.435830370119884</v>
      </c>
      <c r="E13" s="71">
        <v>17.785493519383866</v>
      </c>
      <c r="F13" s="71">
        <v>20.853619465589464</v>
      </c>
    </row>
    <row r="14" spans="1:8">
      <c r="A14" s="1" t="s">
        <v>21</v>
      </c>
      <c r="B14" s="55">
        <v>3.063838853388714</v>
      </c>
      <c r="C14" s="55">
        <v>8.2459377755519636</v>
      </c>
      <c r="D14" s="55">
        <v>13.093738116895368</v>
      </c>
      <c r="E14" s="71">
        <v>18.91371925817441</v>
      </c>
      <c r="F14" s="71">
        <v>15.211546740129107</v>
      </c>
    </row>
    <row r="15" spans="1:8">
      <c r="A15" s="1" t="s">
        <v>22</v>
      </c>
      <c r="B15" s="55">
        <v>26.857196289546032</v>
      </c>
      <c r="C15" s="55">
        <v>68.28138864779163</v>
      </c>
      <c r="D15" s="55"/>
      <c r="E15" s="71"/>
      <c r="F15" s="71"/>
    </row>
    <row r="16" spans="1:8">
      <c r="A16" s="1" t="s">
        <v>23</v>
      </c>
      <c r="B16" s="55">
        <v>1.7642111214281857</v>
      </c>
      <c r="C16" s="55">
        <v>5.7391918757945399</v>
      </c>
      <c r="D16" s="55">
        <v>12.794018919774029</v>
      </c>
      <c r="E16" s="71">
        <v>21.72127094613278</v>
      </c>
      <c r="F16" s="71">
        <v>26.323798526224827</v>
      </c>
    </row>
    <row r="17" spans="1:6">
      <c r="A17" s="1" t="s">
        <v>24</v>
      </c>
      <c r="B17" s="55">
        <v>3.978315469861359</v>
      </c>
      <c r="C17" s="55">
        <v>43.666392177512961</v>
      </c>
      <c r="D17" s="55"/>
    </row>
    <row r="18" spans="1:6">
      <c r="A18" s="1" t="s">
        <v>25</v>
      </c>
      <c r="B18" s="55">
        <v>10.536608600376836</v>
      </c>
      <c r="C18" s="55">
        <v>61.663546833923448</v>
      </c>
      <c r="D18" s="55"/>
    </row>
    <row r="19" spans="1:6">
      <c r="A19" s="1" t="s">
        <v>26</v>
      </c>
      <c r="B19" s="55">
        <v>2.6997161794201214</v>
      </c>
      <c r="C19" s="55">
        <v>13.402909302459006</v>
      </c>
      <c r="D19" s="55">
        <v>70.776319489710019</v>
      </c>
    </row>
    <row r="20" spans="1:6">
      <c r="A20" s="1" t="s">
        <v>27</v>
      </c>
      <c r="B20" s="55">
        <v>3.2400419652653505</v>
      </c>
      <c r="C20" s="55">
        <v>49.735744488892315</v>
      </c>
      <c r="D20" s="55"/>
    </row>
    <row r="21" spans="1:6">
      <c r="A21" s="1" t="s">
        <v>28</v>
      </c>
      <c r="B21" s="55">
        <v>2.5938204227771351</v>
      </c>
      <c r="C21" s="55">
        <v>21.39410856524993</v>
      </c>
      <c r="D21" s="55"/>
    </row>
    <row r="22" spans="1:6">
      <c r="A22" s="1" t="s">
        <v>29</v>
      </c>
      <c r="B22" s="55">
        <v>7.9186601072365264</v>
      </c>
      <c r="C22" s="55">
        <v>61.831281846342151</v>
      </c>
      <c r="D22" s="55"/>
    </row>
    <row r="24" spans="1:6" ht="16">
      <c r="B24" s="43" t="s">
        <v>123</v>
      </c>
      <c r="C24" s="43" t="s">
        <v>123</v>
      </c>
      <c r="D24" s="43" t="s">
        <v>123</v>
      </c>
      <c r="E24" s="43" t="s">
        <v>123</v>
      </c>
      <c r="F24" s="43" t="s">
        <v>123</v>
      </c>
    </row>
    <row r="25" spans="1:6">
      <c r="B25" s="31">
        <v>43336</v>
      </c>
      <c r="C25" s="31">
        <v>43339</v>
      </c>
      <c r="D25" s="31">
        <v>43346</v>
      </c>
      <c r="E25" s="81"/>
      <c r="F25" s="81"/>
    </row>
    <row r="26" spans="1:6">
      <c r="A26" s="1" t="s">
        <v>30</v>
      </c>
      <c r="B26" s="55">
        <v>9.3960032327917329</v>
      </c>
      <c r="C26" s="55">
        <v>83.496605656721314</v>
      </c>
      <c r="D26" s="55"/>
    </row>
    <row r="27" spans="1:6">
      <c r="A27" s="1" t="s">
        <v>31</v>
      </c>
      <c r="B27" s="55">
        <v>5.8221113606087318</v>
      </c>
      <c r="C27" s="55">
        <v>64.227320278872227</v>
      </c>
      <c r="D27" s="55"/>
    </row>
    <row r="28" spans="1:6">
      <c r="A28" s="1" t="s">
        <v>32</v>
      </c>
      <c r="B28" s="55">
        <v>2.8889774015655663</v>
      </c>
      <c r="C28" s="55">
        <v>46.740743606562972</v>
      </c>
      <c r="D28" s="55"/>
    </row>
    <row r="29" spans="1:6">
      <c r="A29" s="1" t="s">
        <v>33</v>
      </c>
      <c r="B29" s="55">
        <v>2.9173914592308225</v>
      </c>
      <c r="C29" s="55">
        <v>24.213768755975266</v>
      </c>
      <c r="D29" s="55">
        <v>26.611591631551708</v>
      </c>
      <c r="E29" s="71"/>
      <c r="F29" s="71"/>
    </row>
    <row r="30" spans="1:6">
      <c r="A30" s="1" t="s">
        <v>34</v>
      </c>
      <c r="B30" s="55">
        <v>2.2748935550108889</v>
      </c>
      <c r="C30" s="55">
        <v>14.866363805969918</v>
      </c>
      <c r="D30" s="55">
        <v>27.118040607238672</v>
      </c>
      <c r="E30" s="71"/>
      <c r="F30" s="71"/>
    </row>
    <row r="31" spans="1:6">
      <c r="A31" s="1" t="s">
        <v>35</v>
      </c>
      <c r="B31" s="55">
        <v>2.4475551951972796</v>
      </c>
      <c r="C31" s="55">
        <v>35.847849924589411</v>
      </c>
      <c r="D31" s="55"/>
      <c r="E31" s="71"/>
      <c r="F31" s="71"/>
    </row>
    <row r="32" spans="1:6">
      <c r="A32" s="1" t="s">
        <v>36</v>
      </c>
      <c r="B32" s="55">
        <v>15.680646797900495</v>
      </c>
      <c r="C32" s="55">
        <v>32.247966182886486</v>
      </c>
      <c r="D32" s="55"/>
      <c r="E32" s="71"/>
      <c r="F32" s="71"/>
    </row>
    <row r="33" spans="1:6">
      <c r="A33" s="1" t="s">
        <v>37</v>
      </c>
      <c r="B33" s="55">
        <v>14.545522728219423</v>
      </c>
      <c r="C33" s="55">
        <v>29.250386143530307</v>
      </c>
      <c r="D33" s="55"/>
      <c r="E33" s="71"/>
      <c r="F33" s="71"/>
    </row>
    <row r="34" spans="1:6">
      <c r="A34" s="1" t="s">
        <v>38</v>
      </c>
      <c r="B34" s="100">
        <v>27.425677010579872</v>
      </c>
      <c r="C34" s="55"/>
      <c r="D34" s="55"/>
      <c r="E34" s="71"/>
      <c r="F34" s="71"/>
    </row>
    <row r="35" spans="1:6">
      <c r="A35" s="1" t="s">
        <v>39</v>
      </c>
      <c r="B35" s="100">
        <v>26.054350376728244</v>
      </c>
      <c r="C35" s="55"/>
      <c r="D35" s="55"/>
      <c r="E35" s="71"/>
      <c r="F35" s="71"/>
    </row>
    <row r="36" spans="1:6">
      <c r="A36" s="1" t="s">
        <v>40</v>
      </c>
      <c r="B36" s="100">
        <v>94.133649514368315</v>
      </c>
      <c r="C36" s="55"/>
      <c r="D36" s="55"/>
      <c r="E36" s="71"/>
      <c r="F36" s="71"/>
    </row>
    <row r="37" spans="1:6">
      <c r="A37" s="1" t="s">
        <v>41</v>
      </c>
      <c r="B37" s="100">
        <v>90.427184302109794</v>
      </c>
      <c r="C37" s="55"/>
      <c r="D37" s="55"/>
      <c r="E37" s="71"/>
      <c r="F37" s="71"/>
    </row>
    <row r="38" spans="1:6">
      <c r="A38" s="1" t="s">
        <v>42</v>
      </c>
      <c r="B38" s="100">
        <v>95.89807241174671</v>
      </c>
      <c r="C38" s="55"/>
      <c r="D38" s="55"/>
      <c r="E38" s="71"/>
      <c r="F38" s="71"/>
    </row>
    <row r="39" spans="1:6">
      <c r="A39" s="1" t="s">
        <v>43</v>
      </c>
      <c r="B39" s="100">
        <v>88.527963173885453</v>
      </c>
      <c r="C39" s="55"/>
      <c r="D39" s="55"/>
      <c r="E39" s="71"/>
      <c r="F39" s="71"/>
    </row>
    <row r="40" spans="1:6">
      <c r="A40" s="1" t="s">
        <v>44</v>
      </c>
      <c r="B40" s="100">
        <v>93.171812206441814</v>
      </c>
      <c r="C40" s="55"/>
      <c r="D40" s="55"/>
    </row>
    <row r="41" spans="1:6">
      <c r="A41" s="1" t="s">
        <v>45</v>
      </c>
      <c r="B41" s="100">
        <v>98.189273503375702</v>
      </c>
      <c r="C41" s="55"/>
      <c r="D41" s="55"/>
    </row>
    <row r="42" spans="1:6">
      <c r="A42" s="1" t="s">
        <v>46</v>
      </c>
      <c r="B42" s="100">
        <v>88.365147380029796</v>
      </c>
      <c r="C42" s="55"/>
      <c r="D42" s="55"/>
    </row>
    <row r="43" spans="1:6">
      <c r="A43" s="1" t="s">
        <v>47</v>
      </c>
      <c r="B43" s="100">
        <v>68.453761720496487</v>
      </c>
      <c r="C43" s="55"/>
      <c r="D43" s="55"/>
    </row>
    <row r="44" spans="1:6">
      <c r="A44" s="1" t="s">
        <v>48</v>
      </c>
      <c r="B44" s="100">
        <v>63.254830884628866</v>
      </c>
      <c r="C44" s="55"/>
      <c r="D44" s="55"/>
    </row>
    <row r="45" spans="1:6">
      <c r="A45" s="1" t="s">
        <v>49</v>
      </c>
      <c r="B45" s="55">
        <v>9.1590176100710341</v>
      </c>
      <c r="C45" s="55">
        <v>24.646313777713921</v>
      </c>
      <c r="D45" s="55">
        <v>27.110299231101873</v>
      </c>
    </row>
    <row r="46" spans="1:6">
      <c r="A46" s="97" t="s">
        <v>163</v>
      </c>
      <c r="B46" s="98">
        <v>3</v>
      </c>
      <c r="C46" s="99">
        <v>6</v>
      </c>
      <c r="D46" s="99">
        <v>13</v>
      </c>
    </row>
  </sheetData>
  <conditionalFormatting sqref="B3:B22">
    <cfRule type="cellIs" dxfId="6" priority="8" operator="greaterThan">
      <formula>25.1</formula>
    </cfRule>
    <cfRule type="cellIs" dxfId="5" priority="9" operator="lessThan">
      <formula>25</formula>
    </cfRule>
  </conditionalFormatting>
  <conditionalFormatting sqref="C3:C22">
    <cfRule type="cellIs" dxfId="4" priority="7" operator="greaterThan">
      <formula>26</formula>
    </cfRule>
  </conditionalFormatting>
  <conditionalFormatting sqref="D3:D22">
    <cfRule type="cellIs" dxfId="3" priority="6" operator="greaterThan">
      <formula>26</formula>
    </cfRule>
  </conditionalFormatting>
  <conditionalFormatting sqref="C26:C45">
    <cfRule type="cellIs" dxfId="2" priority="3" operator="greaterThan">
      <formula>26</formula>
    </cfRule>
  </conditionalFormatting>
  <conditionalFormatting sqref="D26:D45">
    <cfRule type="cellIs" dxfId="1" priority="2" operator="greaterThan">
      <formula>26</formula>
    </cfRule>
  </conditionalFormatting>
  <conditionalFormatting sqref="G6:G8">
    <cfRule type="cellIs" dxfId="0" priority="1" operator="greaterThan">
      <formula>26</formula>
    </cfRule>
  </conditionalFormatting>
  <pageMargins left="0.7" right="0.7" top="0.78740157499999996" bottom="0.78740157499999996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5" sqref="E35"/>
    </sheetView>
  </sheetViews>
  <sheetFormatPr baseColWidth="10" defaultColWidth="10.83203125" defaultRowHeight="14" x14ac:dyDescent="0"/>
  <cols>
    <col min="1" max="1" width="6.33203125" style="1" customWidth="1"/>
    <col min="2" max="2" width="10.83203125" style="1"/>
    <col min="3" max="4" width="15.5" style="1" customWidth="1"/>
    <col min="5" max="5" width="16.6640625" style="1" customWidth="1"/>
    <col min="6" max="6" width="6.33203125" style="1" customWidth="1"/>
    <col min="7" max="7" width="10.83203125" style="1"/>
    <col min="8" max="8" width="14.6640625" style="1" customWidth="1"/>
    <col min="9" max="9" width="14.83203125" style="1" customWidth="1"/>
    <col min="10" max="10" width="15.6640625" style="1" customWidth="1"/>
    <col min="11" max="16384" width="10.83203125" style="1"/>
  </cols>
  <sheetData>
    <row r="1" spans="1:10">
      <c r="A1" s="1" t="s">
        <v>73</v>
      </c>
      <c r="B1" s="1" t="s">
        <v>74</v>
      </c>
      <c r="C1" s="1" t="s">
        <v>70</v>
      </c>
      <c r="D1" s="1" t="s">
        <v>71</v>
      </c>
      <c r="E1" s="1" t="s">
        <v>72</v>
      </c>
      <c r="H1" s="1" t="s">
        <v>70</v>
      </c>
      <c r="I1" s="1" t="s">
        <v>71</v>
      </c>
      <c r="J1" s="1" t="s">
        <v>72</v>
      </c>
    </row>
    <row r="2" spans="1:10">
      <c r="A2" s="2">
        <v>1</v>
      </c>
      <c r="B2" s="2" t="s">
        <v>9</v>
      </c>
      <c r="C2" s="2"/>
      <c r="D2" s="2"/>
      <c r="E2" s="2"/>
      <c r="F2" s="2">
        <v>31</v>
      </c>
      <c r="G2" s="2" t="s">
        <v>40</v>
      </c>
      <c r="H2" s="2"/>
      <c r="I2" s="2"/>
      <c r="J2" s="2"/>
    </row>
    <row r="3" spans="1:10">
      <c r="A3" s="2">
        <v>2</v>
      </c>
      <c r="B3" s="2" t="s">
        <v>11</v>
      </c>
      <c r="C3" s="2"/>
      <c r="D3" s="2"/>
      <c r="E3" s="2"/>
      <c r="F3" s="2">
        <v>32</v>
      </c>
      <c r="G3" s="2" t="s">
        <v>41</v>
      </c>
      <c r="H3" s="2"/>
      <c r="I3" s="2"/>
      <c r="J3" s="2"/>
    </row>
    <row r="4" spans="1:10">
      <c r="A4" s="2">
        <v>3</v>
      </c>
      <c r="B4" s="2" t="s">
        <v>12</v>
      </c>
      <c r="C4" s="2"/>
      <c r="D4" s="2"/>
      <c r="E4" s="2"/>
      <c r="F4" s="2">
        <v>33</v>
      </c>
      <c r="G4" s="2" t="s">
        <v>42</v>
      </c>
      <c r="H4" s="2"/>
      <c r="I4" s="2"/>
      <c r="J4" s="2"/>
    </row>
    <row r="5" spans="1:10">
      <c r="A5" s="2">
        <v>4</v>
      </c>
      <c r="B5" s="2" t="s">
        <v>13</v>
      </c>
      <c r="C5" s="2"/>
      <c r="D5" s="2"/>
      <c r="E5" s="2"/>
      <c r="F5" s="2">
        <v>34</v>
      </c>
      <c r="G5" s="2" t="s">
        <v>43</v>
      </c>
      <c r="H5" s="2"/>
      <c r="I5" s="2"/>
      <c r="J5" s="2"/>
    </row>
    <row r="6" spans="1:10">
      <c r="A6" s="2">
        <v>5</v>
      </c>
      <c r="B6" s="2" t="s">
        <v>14</v>
      </c>
      <c r="C6" s="2"/>
      <c r="D6" s="2"/>
      <c r="E6" s="2"/>
      <c r="F6" s="2">
        <v>35</v>
      </c>
      <c r="G6" s="2" t="s">
        <v>44</v>
      </c>
      <c r="H6" s="2"/>
      <c r="I6" s="2"/>
      <c r="J6" s="2"/>
    </row>
    <row r="7" spans="1:10">
      <c r="A7" s="2">
        <v>6</v>
      </c>
      <c r="B7" s="2" t="s">
        <v>15</v>
      </c>
      <c r="C7" s="2"/>
      <c r="D7" s="2"/>
      <c r="E7" s="2"/>
      <c r="F7" s="2">
        <v>36</v>
      </c>
      <c r="G7" s="2" t="s">
        <v>45</v>
      </c>
      <c r="H7" s="2"/>
      <c r="I7" s="2"/>
      <c r="J7" s="2"/>
    </row>
    <row r="8" spans="1:10">
      <c r="A8" s="2">
        <v>7</v>
      </c>
      <c r="B8" s="2" t="s">
        <v>16</v>
      </c>
      <c r="C8" s="2"/>
      <c r="D8" s="2"/>
      <c r="E8" s="2"/>
      <c r="F8" s="2">
        <v>37</v>
      </c>
      <c r="G8" s="2" t="s">
        <v>46</v>
      </c>
      <c r="H8" s="2"/>
      <c r="I8" s="2"/>
      <c r="J8" s="2"/>
    </row>
    <row r="9" spans="1:10">
      <c r="A9" s="2">
        <v>8</v>
      </c>
      <c r="B9" s="2" t="s">
        <v>17</v>
      </c>
      <c r="C9" s="2"/>
      <c r="D9" s="2"/>
      <c r="E9" s="2"/>
      <c r="F9" s="2">
        <v>38</v>
      </c>
      <c r="G9" s="2" t="s">
        <v>47</v>
      </c>
      <c r="H9" s="2"/>
      <c r="I9" s="2"/>
      <c r="J9" s="2"/>
    </row>
    <row r="10" spans="1:10">
      <c r="A10" s="2">
        <v>9</v>
      </c>
      <c r="B10" s="2" t="s">
        <v>18</v>
      </c>
      <c r="C10" s="2"/>
      <c r="D10" s="2"/>
      <c r="E10" s="2"/>
      <c r="F10" s="2">
        <v>39</v>
      </c>
      <c r="G10" s="2" t="s">
        <v>48</v>
      </c>
      <c r="H10" s="2"/>
      <c r="I10" s="2"/>
      <c r="J10" s="2"/>
    </row>
    <row r="11" spans="1:10">
      <c r="A11" s="2">
        <v>10</v>
      </c>
      <c r="B11" s="2" t="s">
        <v>19</v>
      </c>
      <c r="C11" s="2"/>
      <c r="D11" s="2"/>
      <c r="E11" s="2"/>
      <c r="F11" s="2">
        <v>40</v>
      </c>
      <c r="G11" s="2" t="s">
        <v>49</v>
      </c>
      <c r="H11" s="2"/>
      <c r="I11" s="2"/>
      <c r="J11" s="2"/>
    </row>
    <row r="12" spans="1:10">
      <c r="A12" s="2">
        <v>11</v>
      </c>
      <c r="B12" s="2" t="s">
        <v>20</v>
      </c>
      <c r="C12" s="2"/>
      <c r="D12" s="2"/>
      <c r="E12" s="2"/>
      <c r="F12" s="2">
        <v>41</v>
      </c>
      <c r="G12" s="2" t="s">
        <v>50</v>
      </c>
      <c r="H12" s="2"/>
      <c r="I12" s="2"/>
      <c r="J12" s="2"/>
    </row>
    <row r="13" spans="1:10">
      <c r="A13" s="2">
        <v>12</v>
      </c>
      <c r="B13" s="2" t="s">
        <v>21</v>
      </c>
      <c r="C13" s="2"/>
      <c r="D13" s="2"/>
      <c r="E13" s="2"/>
      <c r="F13" s="2">
        <v>42</v>
      </c>
      <c r="G13" s="2" t="s">
        <v>51</v>
      </c>
      <c r="H13" s="2"/>
      <c r="I13" s="2"/>
      <c r="J13" s="2"/>
    </row>
    <row r="14" spans="1:10">
      <c r="A14" s="2">
        <v>13</v>
      </c>
      <c r="B14" s="2" t="s">
        <v>22</v>
      </c>
      <c r="C14" s="2"/>
      <c r="D14" s="2"/>
      <c r="E14" s="2"/>
      <c r="F14" s="2">
        <v>43</v>
      </c>
      <c r="G14" s="2" t="s">
        <v>52</v>
      </c>
      <c r="H14" s="2"/>
      <c r="I14" s="2"/>
      <c r="J14" s="2"/>
    </row>
    <row r="15" spans="1:10">
      <c r="A15" s="2">
        <v>14</v>
      </c>
      <c r="B15" s="2" t="s">
        <v>23</v>
      </c>
      <c r="C15" s="2"/>
      <c r="D15" s="2"/>
      <c r="E15" s="2"/>
      <c r="F15" s="2">
        <v>44</v>
      </c>
      <c r="G15" s="2" t="s">
        <v>53</v>
      </c>
      <c r="H15" s="2"/>
      <c r="I15" s="2"/>
      <c r="J15" s="2"/>
    </row>
    <row r="16" spans="1:10">
      <c r="A16" s="2">
        <v>15</v>
      </c>
      <c r="B16" s="2" t="s">
        <v>24</v>
      </c>
      <c r="C16" s="2"/>
      <c r="D16" s="2"/>
      <c r="E16" s="2"/>
      <c r="F16" s="2">
        <v>45</v>
      </c>
      <c r="G16" s="2" t="s">
        <v>54</v>
      </c>
      <c r="H16" s="2"/>
      <c r="I16" s="2"/>
      <c r="J16" s="2"/>
    </row>
    <row r="17" spans="1:10">
      <c r="A17" s="2">
        <v>16</v>
      </c>
      <c r="B17" s="2" t="s">
        <v>25</v>
      </c>
      <c r="C17" s="2"/>
      <c r="D17" s="2"/>
      <c r="E17" s="2"/>
      <c r="F17" s="2">
        <v>46</v>
      </c>
      <c r="G17" s="2" t="s">
        <v>55</v>
      </c>
      <c r="H17" s="2"/>
      <c r="I17" s="2"/>
      <c r="J17" s="2"/>
    </row>
    <row r="18" spans="1:10">
      <c r="A18" s="2">
        <v>17</v>
      </c>
      <c r="B18" s="2" t="s">
        <v>26</v>
      </c>
      <c r="C18" s="2"/>
      <c r="D18" s="2"/>
      <c r="E18" s="2"/>
      <c r="F18" s="2">
        <v>47</v>
      </c>
      <c r="G18" s="2" t="s">
        <v>56</v>
      </c>
      <c r="H18" s="2"/>
      <c r="I18" s="2"/>
      <c r="J18" s="2"/>
    </row>
    <row r="19" spans="1:10">
      <c r="A19" s="2">
        <v>18</v>
      </c>
      <c r="B19" s="2" t="s">
        <v>27</v>
      </c>
      <c r="C19" s="2"/>
      <c r="D19" s="2"/>
      <c r="E19" s="2"/>
      <c r="F19" s="2">
        <v>48</v>
      </c>
      <c r="G19" s="2" t="s">
        <v>57</v>
      </c>
      <c r="H19" s="2"/>
      <c r="I19" s="2"/>
      <c r="J19" s="2"/>
    </row>
    <row r="20" spans="1:10">
      <c r="A20" s="2">
        <v>19</v>
      </c>
      <c r="B20" s="2" t="s">
        <v>28</v>
      </c>
      <c r="C20" s="2"/>
      <c r="D20" s="2"/>
      <c r="E20" s="2"/>
      <c r="F20" s="2">
        <v>49</v>
      </c>
      <c r="G20" s="2" t="s">
        <v>58</v>
      </c>
      <c r="H20" s="2"/>
      <c r="I20" s="2"/>
      <c r="J20" s="2"/>
    </row>
    <row r="21" spans="1:10">
      <c r="A21" s="2">
        <v>20</v>
      </c>
      <c r="B21" s="2" t="s">
        <v>29</v>
      </c>
      <c r="C21" s="2"/>
      <c r="D21" s="2"/>
      <c r="E21" s="2"/>
      <c r="F21" s="2">
        <v>50</v>
      </c>
      <c r="G21" s="2" t="s">
        <v>59</v>
      </c>
      <c r="H21" s="2"/>
      <c r="I21" s="2"/>
      <c r="J21" s="2"/>
    </row>
    <row r="22" spans="1:10">
      <c r="A22" s="2">
        <v>21</v>
      </c>
      <c r="B22" s="2" t="s">
        <v>30</v>
      </c>
      <c r="C22" s="2"/>
      <c r="D22" s="2"/>
      <c r="E22" s="2"/>
      <c r="F22" s="2">
        <v>51</v>
      </c>
      <c r="G22" s="2" t="s">
        <v>60</v>
      </c>
      <c r="H22" s="2"/>
      <c r="I22" s="2"/>
      <c r="J22" s="2"/>
    </row>
    <row r="23" spans="1:10">
      <c r="A23" s="2">
        <v>22</v>
      </c>
      <c r="B23" s="2" t="s">
        <v>31</v>
      </c>
      <c r="C23" s="2"/>
      <c r="D23" s="2"/>
      <c r="E23" s="2"/>
      <c r="F23" s="2">
        <v>52</v>
      </c>
      <c r="G23" s="2" t="s">
        <v>61</v>
      </c>
      <c r="H23" s="2"/>
      <c r="I23" s="2"/>
      <c r="J23" s="2"/>
    </row>
    <row r="24" spans="1:10">
      <c r="A24" s="2">
        <v>23</v>
      </c>
      <c r="B24" s="2" t="s">
        <v>32</v>
      </c>
      <c r="C24" s="2"/>
      <c r="D24" s="2"/>
      <c r="E24" s="2"/>
      <c r="F24" s="2">
        <v>53</v>
      </c>
      <c r="G24" s="2" t="s">
        <v>62</v>
      </c>
      <c r="H24" s="2"/>
      <c r="I24" s="2"/>
      <c r="J24" s="2"/>
    </row>
    <row r="25" spans="1:10">
      <c r="A25" s="2">
        <v>24</v>
      </c>
      <c r="B25" s="2" t="s">
        <v>33</v>
      </c>
      <c r="C25" s="2"/>
      <c r="D25" s="2"/>
      <c r="E25" s="2"/>
      <c r="F25" s="2">
        <v>54</v>
      </c>
      <c r="G25" s="2" t="s">
        <v>63</v>
      </c>
      <c r="H25" s="2"/>
      <c r="I25" s="2"/>
      <c r="J25" s="2"/>
    </row>
    <row r="26" spans="1:10">
      <c r="A26" s="2">
        <v>25</v>
      </c>
      <c r="B26" s="2" t="s">
        <v>34</v>
      </c>
      <c r="C26" s="2"/>
      <c r="D26" s="2"/>
      <c r="E26" s="2"/>
      <c r="F26" s="2">
        <v>55</v>
      </c>
      <c r="G26" s="2" t="s">
        <v>64</v>
      </c>
      <c r="H26" s="2"/>
      <c r="I26" s="2"/>
      <c r="J26" s="2"/>
    </row>
    <row r="27" spans="1:10">
      <c r="A27" s="2">
        <v>26</v>
      </c>
      <c r="B27" s="2" t="s">
        <v>35</v>
      </c>
      <c r="C27" s="2"/>
      <c r="D27" s="2"/>
      <c r="E27" s="2"/>
      <c r="F27" s="2">
        <v>56</v>
      </c>
      <c r="G27" s="2" t="s">
        <v>65</v>
      </c>
      <c r="H27" s="2"/>
      <c r="I27" s="2"/>
      <c r="J27" s="2"/>
    </row>
    <row r="28" spans="1:10">
      <c r="A28" s="2">
        <v>27</v>
      </c>
      <c r="B28" s="2" t="s">
        <v>36</v>
      </c>
      <c r="C28" s="2"/>
      <c r="D28" s="2"/>
      <c r="E28" s="2"/>
      <c r="F28" s="2">
        <v>57</v>
      </c>
      <c r="G28" s="2" t="s">
        <v>66</v>
      </c>
      <c r="H28" s="2"/>
      <c r="I28" s="2"/>
      <c r="J28" s="2"/>
    </row>
    <row r="29" spans="1:10">
      <c r="A29" s="2">
        <v>28</v>
      </c>
      <c r="B29" s="2" t="s">
        <v>37</v>
      </c>
      <c r="C29" s="2"/>
      <c r="D29" s="2"/>
      <c r="E29" s="2"/>
      <c r="F29" s="2">
        <v>58</v>
      </c>
      <c r="G29" s="2" t="s">
        <v>67</v>
      </c>
      <c r="H29" s="2"/>
      <c r="I29" s="2"/>
      <c r="J29" s="2"/>
    </row>
    <row r="30" spans="1:10">
      <c r="A30" s="2">
        <v>29</v>
      </c>
      <c r="B30" s="2" t="s">
        <v>38</v>
      </c>
      <c r="C30" s="2"/>
      <c r="D30" s="2"/>
      <c r="E30" s="2"/>
      <c r="F30" s="2">
        <v>59</v>
      </c>
      <c r="G30" s="2" t="s">
        <v>68</v>
      </c>
      <c r="H30" s="2"/>
      <c r="I30" s="2"/>
      <c r="J30" s="2"/>
    </row>
    <row r="31" spans="1:10">
      <c r="A31" s="2">
        <v>30</v>
      </c>
      <c r="B31" s="2" t="s">
        <v>39</v>
      </c>
      <c r="C31" s="2"/>
      <c r="D31" s="2"/>
      <c r="E31" s="2"/>
      <c r="F31" s="2">
        <v>60</v>
      </c>
      <c r="G31" s="2" t="s">
        <v>69</v>
      </c>
      <c r="H31" s="2"/>
      <c r="I31" s="2"/>
      <c r="J31" s="2"/>
    </row>
  </sheetData>
  <pageMargins left="0.7" right="0.7" top="0.78740157499999996" bottom="0.78740157499999996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H1" sqref="H1:N46"/>
    </sheetView>
  </sheetViews>
  <sheetFormatPr baseColWidth="10" defaultRowHeight="14" x14ac:dyDescent="0"/>
  <sheetData>
    <row r="1" spans="1:21" ht="15">
      <c r="A1" s="3" t="s">
        <v>75</v>
      </c>
      <c r="H1" s="3" t="s">
        <v>75</v>
      </c>
      <c r="O1" s="3" t="s">
        <v>75</v>
      </c>
    </row>
    <row r="2" spans="1:21" s="1" customFormat="1" ht="30">
      <c r="A2" s="6" t="s">
        <v>72</v>
      </c>
      <c r="B2" s="6" t="s">
        <v>73</v>
      </c>
      <c r="C2" s="6" t="s">
        <v>74</v>
      </c>
      <c r="D2" s="6" t="s">
        <v>76</v>
      </c>
      <c r="E2" s="6" t="s">
        <v>77</v>
      </c>
      <c r="F2" s="6" t="s">
        <v>78</v>
      </c>
      <c r="G2" s="2"/>
      <c r="H2" s="6" t="s">
        <v>72</v>
      </c>
      <c r="I2" s="6" t="s">
        <v>73</v>
      </c>
      <c r="J2" s="6" t="s">
        <v>74</v>
      </c>
      <c r="K2" s="6" t="s">
        <v>76</v>
      </c>
      <c r="L2" s="6" t="s">
        <v>77</v>
      </c>
      <c r="M2" s="6" t="s">
        <v>78</v>
      </c>
      <c r="N2" s="2"/>
      <c r="O2" s="6" t="s">
        <v>72</v>
      </c>
      <c r="P2" s="6" t="s">
        <v>73</v>
      </c>
      <c r="Q2" s="6" t="s">
        <v>74</v>
      </c>
      <c r="R2" s="6" t="s">
        <v>76</v>
      </c>
      <c r="S2" s="6" t="s">
        <v>77</v>
      </c>
      <c r="T2" s="6" t="s">
        <v>78</v>
      </c>
      <c r="U2" s="2"/>
    </row>
    <row r="3" spans="1:21" ht="15">
      <c r="A3" s="4"/>
      <c r="B3" s="7"/>
      <c r="C3" s="7"/>
      <c r="D3" s="8" t="s">
        <v>79</v>
      </c>
      <c r="E3" s="4"/>
      <c r="F3" s="4"/>
      <c r="G3" s="7"/>
      <c r="H3" s="4"/>
      <c r="I3" s="7"/>
      <c r="J3" s="7"/>
      <c r="K3" s="8" t="s">
        <v>79</v>
      </c>
      <c r="L3" s="4"/>
      <c r="M3" s="4"/>
      <c r="N3" s="7"/>
      <c r="O3" s="4"/>
      <c r="P3" s="7"/>
      <c r="Q3" s="7"/>
      <c r="R3" s="8" t="s">
        <v>79</v>
      </c>
      <c r="S3" s="4"/>
      <c r="T3" s="4"/>
      <c r="U3" s="7"/>
    </row>
    <row r="4" spans="1:21" ht="15">
      <c r="A4" s="4"/>
      <c r="B4" s="7"/>
      <c r="C4" s="7"/>
      <c r="D4" s="8" t="s">
        <v>80</v>
      </c>
      <c r="E4" s="4"/>
      <c r="F4" s="4"/>
      <c r="G4" s="7"/>
      <c r="H4" s="4"/>
      <c r="I4" s="7"/>
      <c r="J4" s="7"/>
      <c r="K4" s="8" t="s">
        <v>80</v>
      </c>
      <c r="L4" s="4"/>
      <c r="M4" s="4"/>
      <c r="N4" s="7"/>
      <c r="O4" s="4"/>
      <c r="P4" s="7"/>
      <c r="Q4" s="7"/>
      <c r="R4" s="8" t="s">
        <v>80</v>
      </c>
      <c r="S4" s="4"/>
      <c r="T4" s="4"/>
      <c r="U4" s="7"/>
    </row>
    <row r="5" spans="1:21" ht="15">
      <c r="A5" s="4"/>
      <c r="B5" s="7"/>
      <c r="C5" s="7"/>
      <c r="D5" s="8" t="s">
        <v>81</v>
      </c>
      <c r="E5" s="4"/>
      <c r="F5" s="4"/>
      <c r="G5" s="7"/>
      <c r="H5" s="4"/>
      <c r="I5" s="7"/>
      <c r="J5" s="7"/>
      <c r="K5" s="8" t="s">
        <v>81</v>
      </c>
      <c r="L5" s="4"/>
      <c r="M5" s="4"/>
      <c r="N5" s="7"/>
      <c r="O5" s="4"/>
      <c r="P5" s="7"/>
      <c r="Q5" s="7"/>
      <c r="R5" s="8" t="s">
        <v>81</v>
      </c>
      <c r="S5" s="4"/>
      <c r="T5" s="4"/>
      <c r="U5" s="7"/>
    </row>
    <row r="6" spans="1:21" ht="15">
      <c r="A6" s="4"/>
      <c r="B6" s="7"/>
      <c r="C6" s="7"/>
      <c r="D6" s="8" t="s">
        <v>82</v>
      </c>
      <c r="E6" s="4"/>
      <c r="F6" s="4"/>
      <c r="G6" s="7"/>
      <c r="H6" s="4"/>
      <c r="I6" s="7"/>
      <c r="J6" s="7"/>
      <c r="K6" s="8" t="s">
        <v>82</v>
      </c>
      <c r="L6" s="4"/>
      <c r="M6" s="4"/>
      <c r="N6" s="7"/>
      <c r="O6" s="4"/>
      <c r="P6" s="7"/>
      <c r="Q6" s="7"/>
      <c r="R6" s="8" t="s">
        <v>82</v>
      </c>
      <c r="S6" s="4"/>
      <c r="T6" s="4"/>
      <c r="U6" s="7"/>
    </row>
    <row r="7" spans="1:21" ht="15">
      <c r="A7" s="4"/>
      <c r="B7" s="7"/>
      <c r="C7" s="7"/>
      <c r="D7" s="8" t="s">
        <v>83</v>
      </c>
      <c r="E7" s="4"/>
      <c r="F7" s="4"/>
      <c r="G7" s="7"/>
      <c r="H7" s="4"/>
      <c r="I7" s="7"/>
      <c r="J7" s="7"/>
      <c r="K7" s="8" t="s">
        <v>83</v>
      </c>
      <c r="L7" s="4"/>
      <c r="M7" s="4"/>
      <c r="N7" s="7"/>
      <c r="O7" s="4"/>
      <c r="P7" s="7"/>
      <c r="Q7" s="7"/>
      <c r="R7" s="8" t="s">
        <v>83</v>
      </c>
      <c r="S7" s="4"/>
      <c r="T7" s="4"/>
      <c r="U7" s="7"/>
    </row>
    <row r="8" spans="1:21" ht="15">
      <c r="A8" s="4"/>
      <c r="B8" s="7"/>
      <c r="C8" s="7"/>
      <c r="D8" s="8" t="s">
        <v>84</v>
      </c>
      <c r="E8" s="4"/>
      <c r="F8" s="4"/>
      <c r="G8" s="7"/>
      <c r="H8" s="4"/>
      <c r="I8" s="7"/>
      <c r="J8" s="7"/>
      <c r="K8" s="8" t="s">
        <v>84</v>
      </c>
      <c r="L8" s="4"/>
      <c r="M8" s="4"/>
      <c r="N8" s="7"/>
      <c r="O8" s="4"/>
      <c r="P8" s="7"/>
      <c r="Q8" s="7"/>
      <c r="R8" s="8" t="s">
        <v>84</v>
      </c>
      <c r="S8" s="4"/>
      <c r="T8" s="4"/>
      <c r="U8" s="7"/>
    </row>
    <row r="9" spans="1:21" ht="15">
      <c r="A9" s="4"/>
      <c r="B9" s="7"/>
      <c r="C9" s="7"/>
      <c r="D9" s="8" t="s">
        <v>85</v>
      </c>
      <c r="E9" s="4"/>
      <c r="F9" s="4"/>
      <c r="G9" s="7"/>
      <c r="H9" s="4"/>
      <c r="I9" s="7"/>
      <c r="J9" s="7"/>
      <c r="K9" s="8" t="s">
        <v>85</v>
      </c>
      <c r="L9" s="4"/>
      <c r="M9" s="4"/>
      <c r="N9" s="7"/>
      <c r="O9" s="4"/>
      <c r="P9" s="7"/>
      <c r="Q9" s="7"/>
      <c r="R9" s="8" t="s">
        <v>85</v>
      </c>
      <c r="S9" s="4"/>
      <c r="T9" s="4"/>
      <c r="U9" s="7"/>
    </row>
    <row r="10" spans="1:21" ht="15">
      <c r="A10" s="4"/>
      <c r="B10" s="7"/>
      <c r="C10" s="7"/>
      <c r="D10" s="8" t="s">
        <v>86</v>
      </c>
      <c r="E10" s="4"/>
      <c r="F10" s="4"/>
      <c r="G10" s="7"/>
      <c r="H10" s="4"/>
      <c r="I10" s="7"/>
      <c r="J10" s="7"/>
      <c r="K10" s="8" t="s">
        <v>86</v>
      </c>
      <c r="L10" s="4"/>
      <c r="M10" s="4"/>
      <c r="N10" s="7"/>
      <c r="O10" s="4"/>
      <c r="P10" s="7"/>
      <c r="Q10" s="7"/>
      <c r="R10" s="8" t="s">
        <v>86</v>
      </c>
      <c r="S10" s="4"/>
      <c r="T10" s="4"/>
      <c r="U10" s="7"/>
    </row>
    <row r="11" spans="1:21" ht="15">
      <c r="A11" s="4"/>
      <c r="B11" s="7"/>
      <c r="C11" s="7"/>
      <c r="D11" s="8" t="s">
        <v>87</v>
      </c>
      <c r="E11" s="4"/>
      <c r="F11" s="4"/>
      <c r="G11" s="7"/>
      <c r="H11" s="4"/>
      <c r="I11" s="7"/>
      <c r="J11" s="7"/>
      <c r="K11" s="8" t="s">
        <v>87</v>
      </c>
      <c r="L11" s="4"/>
      <c r="M11" s="4"/>
      <c r="N11" s="7"/>
      <c r="O11" s="4"/>
      <c r="P11" s="7"/>
      <c r="Q11" s="7"/>
      <c r="R11" s="8" t="s">
        <v>87</v>
      </c>
      <c r="S11" s="4"/>
      <c r="T11" s="4"/>
      <c r="U11" s="7"/>
    </row>
    <row r="12" spans="1:21" ht="15">
      <c r="A12" s="4"/>
      <c r="B12" s="7"/>
      <c r="C12" s="7"/>
      <c r="D12" s="8" t="s">
        <v>88</v>
      </c>
      <c r="E12" s="4"/>
      <c r="F12" s="4"/>
      <c r="G12" s="7"/>
      <c r="H12" s="4"/>
      <c r="I12" s="7"/>
      <c r="J12" s="7"/>
      <c r="K12" s="8" t="s">
        <v>88</v>
      </c>
      <c r="L12" s="4"/>
      <c r="M12" s="4"/>
      <c r="N12" s="7"/>
      <c r="O12" s="4"/>
      <c r="P12" s="7"/>
      <c r="Q12" s="7"/>
      <c r="R12" s="8" t="s">
        <v>88</v>
      </c>
      <c r="S12" s="4"/>
      <c r="T12" s="4"/>
      <c r="U12" s="7"/>
    </row>
    <row r="13" spans="1:21" ht="15">
      <c r="A13" s="4"/>
      <c r="B13" s="7"/>
      <c r="C13" s="7"/>
      <c r="D13" s="8">
        <v>0.2</v>
      </c>
      <c r="E13" s="4"/>
      <c r="F13" s="4"/>
      <c r="G13" s="7"/>
      <c r="H13" s="4"/>
      <c r="I13" s="7"/>
      <c r="J13" s="7"/>
      <c r="K13" s="8">
        <v>0.2</v>
      </c>
      <c r="L13" s="4"/>
      <c r="M13" s="4"/>
      <c r="N13" s="7"/>
      <c r="O13" s="4"/>
      <c r="P13" s="7"/>
      <c r="Q13" s="7"/>
      <c r="R13" s="8">
        <v>0.2</v>
      </c>
      <c r="S13" s="4"/>
      <c r="T13" s="4"/>
      <c r="U13" s="7"/>
    </row>
    <row r="14" spans="1:21" ht="15">
      <c r="A14" s="9"/>
      <c r="B14" s="5"/>
      <c r="C14" s="5"/>
      <c r="D14" s="9"/>
      <c r="E14" s="9"/>
      <c r="F14" s="9"/>
      <c r="G14" s="7"/>
      <c r="H14" s="9"/>
      <c r="I14" s="5"/>
      <c r="J14" s="5"/>
      <c r="K14" s="9"/>
      <c r="L14" s="9"/>
      <c r="M14" s="9"/>
      <c r="N14" s="7"/>
      <c r="O14" s="9"/>
      <c r="P14" s="5"/>
      <c r="Q14" s="5"/>
      <c r="R14" s="9"/>
      <c r="S14" s="9"/>
      <c r="T14" s="9"/>
      <c r="U14" s="7"/>
    </row>
    <row r="15" spans="1:21" s="1" customFormat="1">
      <c r="A15" s="8"/>
      <c r="B15" s="2">
        <v>1</v>
      </c>
      <c r="C15" s="2" t="s">
        <v>9</v>
      </c>
      <c r="D15" s="11"/>
      <c r="E15" s="11"/>
      <c r="F15" s="11"/>
      <c r="G15" s="2"/>
      <c r="H15" s="8"/>
      <c r="I15" s="2">
        <v>21</v>
      </c>
      <c r="J15" s="2" t="s">
        <v>30</v>
      </c>
      <c r="K15" s="11"/>
      <c r="L15" s="11"/>
      <c r="M15" s="11"/>
      <c r="N15" s="2"/>
      <c r="O15" s="8"/>
      <c r="P15" s="2">
        <v>41</v>
      </c>
      <c r="Q15" s="2" t="s">
        <v>50</v>
      </c>
      <c r="R15" s="11"/>
      <c r="S15" s="11"/>
      <c r="T15" s="11"/>
      <c r="U15" s="2"/>
    </row>
    <row r="16" spans="1:21" s="1" customFormat="1">
      <c r="A16" s="8"/>
      <c r="B16" s="2">
        <v>2</v>
      </c>
      <c r="C16" s="2" t="s">
        <v>11</v>
      </c>
      <c r="D16" s="11"/>
      <c r="E16" s="11"/>
      <c r="F16" s="11"/>
      <c r="G16" s="2"/>
      <c r="H16" s="8"/>
      <c r="I16" s="2">
        <v>22</v>
      </c>
      <c r="J16" s="2" t="s">
        <v>31</v>
      </c>
      <c r="K16" s="11"/>
      <c r="L16" s="11"/>
      <c r="M16" s="11"/>
      <c r="N16" s="2"/>
      <c r="O16" s="8"/>
      <c r="P16" s="2">
        <v>42</v>
      </c>
      <c r="Q16" s="2" t="s">
        <v>51</v>
      </c>
      <c r="R16" s="11"/>
      <c r="S16" s="11"/>
      <c r="T16" s="11"/>
      <c r="U16" s="2"/>
    </row>
    <row r="17" spans="1:21" s="1" customFormat="1">
      <c r="A17" s="8"/>
      <c r="B17" s="2">
        <v>3</v>
      </c>
      <c r="C17" s="2" t="s">
        <v>12</v>
      </c>
      <c r="D17" s="11"/>
      <c r="E17" s="11"/>
      <c r="F17" s="11"/>
      <c r="G17" s="2"/>
      <c r="H17" s="8"/>
      <c r="I17" s="2">
        <v>23</v>
      </c>
      <c r="J17" s="2" t="s">
        <v>32</v>
      </c>
      <c r="K17" s="11"/>
      <c r="L17" s="11"/>
      <c r="M17" s="11"/>
      <c r="N17" s="2"/>
      <c r="O17" s="8"/>
      <c r="P17" s="2">
        <v>43</v>
      </c>
      <c r="Q17" s="2" t="s">
        <v>52</v>
      </c>
      <c r="R17" s="11"/>
      <c r="S17" s="11"/>
      <c r="T17" s="11"/>
      <c r="U17" s="2"/>
    </row>
    <row r="18" spans="1:21" s="1" customFormat="1">
      <c r="A18" s="8"/>
      <c r="B18" s="2">
        <v>4</v>
      </c>
      <c r="C18" s="2" t="s">
        <v>13</v>
      </c>
      <c r="D18" s="11"/>
      <c r="E18" s="11"/>
      <c r="F18" s="11"/>
      <c r="G18" s="2"/>
      <c r="H18" s="8"/>
      <c r="I18" s="2">
        <v>24</v>
      </c>
      <c r="J18" s="2" t="s">
        <v>33</v>
      </c>
      <c r="K18" s="11"/>
      <c r="L18" s="11"/>
      <c r="M18" s="11"/>
      <c r="N18" s="2"/>
      <c r="O18" s="8"/>
      <c r="P18" s="2">
        <v>44</v>
      </c>
      <c r="Q18" s="2" t="s">
        <v>53</v>
      </c>
      <c r="R18" s="11"/>
      <c r="S18" s="11"/>
      <c r="T18" s="11"/>
      <c r="U18" s="2"/>
    </row>
    <row r="19" spans="1:21" s="1" customFormat="1">
      <c r="A19" s="8"/>
      <c r="B19" s="2">
        <v>5</v>
      </c>
      <c r="C19" s="2" t="s">
        <v>14</v>
      </c>
      <c r="D19" s="11"/>
      <c r="E19" s="11"/>
      <c r="F19" s="11"/>
      <c r="G19" s="2"/>
      <c r="H19" s="8"/>
      <c r="I19" s="2">
        <v>25</v>
      </c>
      <c r="J19" s="2" t="s">
        <v>34</v>
      </c>
      <c r="K19" s="11"/>
      <c r="L19" s="11"/>
      <c r="M19" s="11"/>
      <c r="N19" s="2"/>
      <c r="O19" s="8"/>
      <c r="P19" s="2">
        <v>45</v>
      </c>
      <c r="Q19" s="2" t="s">
        <v>54</v>
      </c>
      <c r="R19" s="11"/>
      <c r="S19" s="11"/>
      <c r="T19" s="11"/>
      <c r="U19" s="2"/>
    </row>
    <row r="20" spans="1:21" s="1" customFormat="1">
      <c r="A20" s="8"/>
      <c r="B20" s="2">
        <v>6</v>
      </c>
      <c r="C20" s="2" t="s">
        <v>15</v>
      </c>
      <c r="D20" s="11"/>
      <c r="E20" s="11"/>
      <c r="F20" s="11"/>
      <c r="G20" s="2"/>
      <c r="H20" s="8"/>
      <c r="I20" s="2">
        <v>26</v>
      </c>
      <c r="J20" s="2" t="s">
        <v>35</v>
      </c>
      <c r="K20" s="11"/>
      <c r="L20" s="11"/>
      <c r="M20" s="11"/>
      <c r="N20" s="2"/>
      <c r="O20" s="8"/>
      <c r="P20" s="2">
        <v>46</v>
      </c>
      <c r="Q20" s="2" t="s">
        <v>55</v>
      </c>
      <c r="R20" s="11"/>
      <c r="S20" s="11"/>
      <c r="T20" s="11"/>
      <c r="U20" s="2"/>
    </row>
    <row r="21" spans="1:21" s="1" customFormat="1">
      <c r="A21" s="11"/>
      <c r="B21" s="2">
        <v>7</v>
      </c>
      <c r="C21" s="2" t="s">
        <v>16</v>
      </c>
      <c r="D21" s="11"/>
      <c r="E21" s="11"/>
      <c r="F21" s="11"/>
      <c r="G21" s="2"/>
      <c r="H21" s="11"/>
      <c r="I21" s="2">
        <v>27</v>
      </c>
      <c r="J21" s="2" t="s">
        <v>36</v>
      </c>
      <c r="K21" s="11"/>
      <c r="L21" s="11"/>
      <c r="M21" s="11"/>
      <c r="N21" s="2"/>
      <c r="O21" s="11"/>
      <c r="P21" s="2">
        <v>47</v>
      </c>
      <c r="Q21" s="2" t="s">
        <v>56</v>
      </c>
      <c r="R21" s="11"/>
      <c r="S21" s="11"/>
      <c r="T21" s="11"/>
      <c r="U21" s="2"/>
    </row>
    <row r="22" spans="1:21" s="1" customFormat="1">
      <c r="A22" s="8"/>
      <c r="B22" s="2">
        <v>8</v>
      </c>
      <c r="C22" s="2" t="s">
        <v>17</v>
      </c>
      <c r="D22" s="11"/>
      <c r="E22" s="11"/>
      <c r="F22" s="11"/>
      <c r="G22" s="2"/>
      <c r="H22" s="8"/>
      <c r="I22" s="2">
        <v>28</v>
      </c>
      <c r="J22" s="2" t="s">
        <v>37</v>
      </c>
      <c r="K22" s="11"/>
      <c r="L22" s="11"/>
      <c r="M22" s="11"/>
      <c r="N22" s="2"/>
      <c r="O22" s="8"/>
      <c r="P22" s="2">
        <v>48</v>
      </c>
      <c r="Q22" s="2" t="s">
        <v>57</v>
      </c>
      <c r="R22" s="11"/>
      <c r="S22" s="11"/>
      <c r="T22" s="11"/>
      <c r="U22" s="2"/>
    </row>
    <row r="23" spans="1:21" s="1" customFormat="1">
      <c r="A23" s="8"/>
      <c r="B23" s="2">
        <v>9</v>
      </c>
      <c r="C23" s="2" t="s">
        <v>18</v>
      </c>
      <c r="D23" s="11"/>
      <c r="E23" s="11"/>
      <c r="F23" s="11"/>
      <c r="G23" s="2"/>
      <c r="H23" s="8"/>
      <c r="I23" s="2">
        <v>29</v>
      </c>
      <c r="J23" s="2" t="s">
        <v>38</v>
      </c>
      <c r="K23" s="11"/>
      <c r="L23" s="11"/>
      <c r="M23" s="11"/>
      <c r="N23" s="2"/>
      <c r="O23" s="8"/>
      <c r="P23" s="2">
        <v>49</v>
      </c>
      <c r="Q23" s="2" t="s">
        <v>58</v>
      </c>
      <c r="R23" s="11"/>
      <c r="S23" s="11"/>
      <c r="T23" s="11"/>
      <c r="U23" s="2"/>
    </row>
    <row r="24" spans="1:21" s="1" customFormat="1">
      <c r="A24" s="8"/>
      <c r="B24" s="2">
        <v>10</v>
      </c>
      <c r="C24" s="2" t="s">
        <v>19</v>
      </c>
      <c r="D24" s="11"/>
      <c r="E24" s="11"/>
      <c r="F24" s="11"/>
      <c r="G24" s="2"/>
      <c r="H24" s="8"/>
      <c r="I24" s="2">
        <v>30</v>
      </c>
      <c r="J24" s="2" t="s">
        <v>39</v>
      </c>
      <c r="K24" s="11"/>
      <c r="L24" s="11"/>
      <c r="M24" s="11"/>
      <c r="N24" s="2"/>
      <c r="O24" s="8"/>
      <c r="P24" s="2">
        <v>50</v>
      </c>
      <c r="Q24" s="2" t="s">
        <v>59</v>
      </c>
      <c r="R24" s="11"/>
      <c r="S24" s="11"/>
      <c r="T24" s="11"/>
      <c r="U24" s="2"/>
    </row>
    <row r="25" spans="1:21" s="1" customFormat="1">
      <c r="A25" s="8"/>
      <c r="B25" s="2">
        <v>11</v>
      </c>
      <c r="C25" s="2" t="s">
        <v>20</v>
      </c>
      <c r="D25" s="11"/>
      <c r="E25" s="11"/>
      <c r="F25" s="11"/>
      <c r="G25" s="2"/>
      <c r="H25" s="8"/>
      <c r="I25" s="2">
        <v>31</v>
      </c>
      <c r="J25" s="2" t="s">
        <v>40</v>
      </c>
      <c r="K25" s="11"/>
      <c r="L25" s="11"/>
      <c r="M25" s="11"/>
      <c r="N25" s="2"/>
      <c r="O25" s="8"/>
      <c r="P25" s="2">
        <v>51</v>
      </c>
      <c r="Q25" s="2" t="s">
        <v>60</v>
      </c>
      <c r="R25" s="11"/>
      <c r="S25" s="11"/>
      <c r="T25" s="11"/>
      <c r="U25" s="2"/>
    </row>
    <row r="26" spans="1:21" s="1" customFormat="1" ht="15">
      <c r="A26" s="6"/>
      <c r="B26" s="2">
        <v>12</v>
      </c>
      <c r="C26" s="2" t="s">
        <v>21</v>
      </c>
      <c r="D26" s="11"/>
      <c r="E26" s="11"/>
      <c r="F26" s="11"/>
      <c r="G26" s="2"/>
      <c r="H26" s="6"/>
      <c r="I26" s="2">
        <v>32</v>
      </c>
      <c r="J26" s="2" t="s">
        <v>41</v>
      </c>
      <c r="K26" s="11"/>
      <c r="L26" s="11"/>
      <c r="M26" s="11"/>
      <c r="N26" s="2"/>
      <c r="O26" s="6"/>
      <c r="P26" s="2">
        <v>52</v>
      </c>
      <c r="Q26" s="2" t="s">
        <v>61</v>
      </c>
      <c r="R26" s="11"/>
      <c r="S26" s="11"/>
      <c r="T26" s="11"/>
      <c r="U26" s="2"/>
    </row>
    <row r="27" spans="1:21" s="1" customFormat="1">
      <c r="A27" s="8"/>
      <c r="B27" s="2">
        <v>13</v>
      </c>
      <c r="C27" s="2" t="s">
        <v>22</v>
      </c>
      <c r="D27" s="11"/>
      <c r="E27" s="11"/>
      <c r="F27" s="11"/>
      <c r="G27" s="2"/>
      <c r="H27" s="8"/>
      <c r="I27" s="2">
        <v>33</v>
      </c>
      <c r="J27" s="2" t="s">
        <v>42</v>
      </c>
      <c r="K27" s="11"/>
      <c r="L27" s="11"/>
      <c r="M27" s="11"/>
      <c r="N27" s="2"/>
      <c r="O27" s="8"/>
      <c r="P27" s="2">
        <v>53</v>
      </c>
      <c r="Q27" s="2" t="s">
        <v>62</v>
      </c>
      <c r="R27" s="11"/>
      <c r="S27" s="11"/>
      <c r="T27" s="11"/>
      <c r="U27" s="2"/>
    </row>
    <row r="28" spans="1:21" s="1" customFormat="1">
      <c r="A28" s="8"/>
      <c r="B28" s="2">
        <v>14</v>
      </c>
      <c r="C28" s="2" t="s">
        <v>23</v>
      </c>
      <c r="D28" s="11"/>
      <c r="E28" s="11"/>
      <c r="F28" s="11"/>
      <c r="G28" s="2"/>
      <c r="H28" s="8"/>
      <c r="I28" s="2">
        <v>34</v>
      </c>
      <c r="J28" s="2" t="s">
        <v>43</v>
      </c>
      <c r="K28" s="11"/>
      <c r="L28" s="11"/>
      <c r="M28" s="11"/>
      <c r="N28" s="2"/>
      <c r="O28" s="8"/>
      <c r="P28" s="2">
        <v>54</v>
      </c>
      <c r="Q28" s="2" t="s">
        <v>63</v>
      </c>
      <c r="R28" s="11"/>
      <c r="S28" s="11"/>
      <c r="T28" s="11"/>
      <c r="U28" s="2"/>
    </row>
    <row r="29" spans="1:21" s="1" customFormat="1">
      <c r="A29" s="8"/>
      <c r="B29" s="2">
        <v>15</v>
      </c>
      <c r="C29" s="2" t="s">
        <v>24</v>
      </c>
      <c r="D29" s="11"/>
      <c r="E29" s="11"/>
      <c r="F29" s="11"/>
      <c r="G29" s="2"/>
      <c r="H29" s="8"/>
      <c r="I29" s="2">
        <v>35</v>
      </c>
      <c r="J29" s="2" t="s">
        <v>44</v>
      </c>
      <c r="K29" s="11"/>
      <c r="L29" s="11"/>
      <c r="M29" s="11"/>
      <c r="N29" s="2"/>
      <c r="O29" s="8"/>
      <c r="P29" s="2">
        <v>55</v>
      </c>
      <c r="Q29" s="2" t="s">
        <v>64</v>
      </c>
      <c r="R29" s="11"/>
      <c r="S29" s="11"/>
      <c r="T29" s="11"/>
      <c r="U29" s="2"/>
    </row>
    <row r="30" spans="1:21" s="1" customFormat="1">
      <c r="A30" s="8"/>
      <c r="B30" s="2">
        <v>16</v>
      </c>
      <c r="C30" s="2" t="s">
        <v>25</v>
      </c>
      <c r="D30" s="11"/>
      <c r="E30" s="11"/>
      <c r="F30" s="11"/>
      <c r="G30" s="2"/>
      <c r="H30" s="8"/>
      <c r="I30" s="2">
        <v>36</v>
      </c>
      <c r="J30" s="2" t="s">
        <v>45</v>
      </c>
      <c r="K30" s="11"/>
      <c r="L30" s="11"/>
      <c r="M30" s="11"/>
      <c r="N30" s="2"/>
      <c r="O30" s="8"/>
      <c r="P30" s="2">
        <v>56</v>
      </c>
      <c r="Q30" s="2" t="s">
        <v>65</v>
      </c>
      <c r="R30" s="11"/>
      <c r="S30" s="11"/>
      <c r="T30" s="11"/>
      <c r="U30" s="2"/>
    </row>
    <row r="31" spans="1:21" s="1" customFormat="1">
      <c r="A31" s="8"/>
      <c r="B31" s="2">
        <v>17</v>
      </c>
      <c r="C31" s="2" t="s">
        <v>26</v>
      </c>
      <c r="D31" s="11"/>
      <c r="E31" s="11"/>
      <c r="F31" s="11"/>
      <c r="G31" s="2"/>
      <c r="H31" s="8"/>
      <c r="I31" s="2">
        <v>37</v>
      </c>
      <c r="J31" s="2" t="s">
        <v>46</v>
      </c>
      <c r="K31" s="11"/>
      <c r="L31" s="11"/>
      <c r="M31" s="11"/>
      <c r="N31" s="2"/>
      <c r="O31" s="8"/>
      <c r="P31" s="2">
        <v>57</v>
      </c>
      <c r="Q31" s="2" t="s">
        <v>66</v>
      </c>
      <c r="R31" s="11"/>
      <c r="S31" s="11"/>
      <c r="T31" s="11"/>
      <c r="U31" s="2"/>
    </row>
    <row r="32" spans="1:21" s="1" customFormat="1">
      <c r="A32" s="8"/>
      <c r="B32" s="2">
        <v>18</v>
      </c>
      <c r="C32" s="2" t="s">
        <v>27</v>
      </c>
      <c r="D32" s="11"/>
      <c r="E32" s="11"/>
      <c r="F32" s="11"/>
      <c r="G32" s="2"/>
      <c r="H32" s="8"/>
      <c r="I32" s="2">
        <v>38</v>
      </c>
      <c r="J32" s="2" t="s">
        <v>47</v>
      </c>
      <c r="K32" s="11"/>
      <c r="L32" s="11"/>
      <c r="M32" s="11"/>
      <c r="N32" s="2"/>
      <c r="O32" s="8"/>
      <c r="P32" s="2">
        <v>58</v>
      </c>
      <c r="Q32" s="2" t="s">
        <v>67</v>
      </c>
      <c r="R32" s="11"/>
      <c r="S32" s="11"/>
      <c r="T32" s="11"/>
      <c r="U32" s="2"/>
    </row>
    <row r="33" spans="1:21" s="1" customFormat="1">
      <c r="A33" s="8"/>
      <c r="B33" s="2">
        <v>19</v>
      </c>
      <c r="C33" s="2" t="s">
        <v>28</v>
      </c>
      <c r="D33" s="11"/>
      <c r="E33" s="11"/>
      <c r="F33" s="11"/>
      <c r="G33" s="2"/>
      <c r="H33" s="8"/>
      <c r="I33" s="2">
        <v>39</v>
      </c>
      <c r="J33" s="2" t="s">
        <v>48</v>
      </c>
      <c r="K33" s="11"/>
      <c r="L33" s="11"/>
      <c r="M33" s="11"/>
      <c r="N33" s="2"/>
      <c r="O33" s="8"/>
      <c r="P33" s="2">
        <v>59</v>
      </c>
      <c r="Q33" s="2" t="s">
        <v>68</v>
      </c>
      <c r="R33" s="11"/>
      <c r="S33" s="11"/>
      <c r="T33" s="11"/>
      <c r="U33" s="2"/>
    </row>
    <row r="34" spans="1:21" s="1" customFormat="1">
      <c r="A34" s="8"/>
      <c r="B34" s="2">
        <v>20</v>
      </c>
      <c r="C34" s="2" t="s">
        <v>29</v>
      </c>
      <c r="D34" s="8"/>
      <c r="E34" s="8"/>
      <c r="F34" s="8"/>
      <c r="G34" s="2"/>
      <c r="H34" s="8"/>
      <c r="I34" s="2">
        <v>40</v>
      </c>
      <c r="J34" s="2" t="s">
        <v>49</v>
      </c>
      <c r="K34" s="8"/>
      <c r="L34" s="8"/>
      <c r="M34" s="8"/>
      <c r="N34" s="2"/>
      <c r="O34" s="8"/>
      <c r="P34" s="2">
        <v>60</v>
      </c>
      <c r="Q34" s="2" t="s">
        <v>69</v>
      </c>
      <c r="R34" s="8"/>
      <c r="S34" s="8"/>
      <c r="T34" s="8"/>
      <c r="U34" s="2"/>
    </row>
    <row r="35" spans="1:21">
      <c r="A35" s="9"/>
      <c r="B35" s="2"/>
      <c r="C35" s="2"/>
      <c r="D35" s="9"/>
      <c r="E35" s="9"/>
      <c r="F35" s="9"/>
      <c r="G35" s="2"/>
      <c r="H35" s="9"/>
      <c r="I35" s="2"/>
      <c r="J35" s="2"/>
      <c r="K35" s="9"/>
      <c r="L35" s="9"/>
      <c r="M35" s="9"/>
      <c r="N35" s="2"/>
      <c r="O35" s="9"/>
      <c r="P35" s="2"/>
      <c r="Q35" s="2"/>
      <c r="R35" s="9"/>
      <c r="S35" s="9"/>
      <c r="T35" s="9"/>
      <c r="U35" s="7"/>
    </row>
    <row r="36" spans="1:21">
      <c r="A36" s="9"/>
      <c r="B36" s="2"/>
      <c r="C36" s="2"/>
      <c r="D36" s="9"/>
      <c r="E36" s="9"/>
      <c r="F36" s="9"/>
      <c r="G36" s="2"/>
      <c r="H36" s="9"/>
      <c r="I36" s="2"/>
      <c r="J36" s="2"/>
      <c r="K36" s="9"/>
      <c r="L36" s="9"/>
      <c r="M36" s="9"/>
      <c r="N36" s="2"/>
      <c r="O36" s="9"/>
      <c r="P36" s="2"/>
      <c r="Q36" s="2"/>
      <c r="R36" s="9"/>
      <c r="S36" s="9"/>
      <c r="T36" s="9"/>
      <c r="U36" s="7"/>
    </row>
    <row r="37" spans="1:21">
      <c r="A37" s="9"/>
      <c r="B37" s="2"/>
      <c r="C37" s="2"/>
      <c r="D37" s="9"/>
      <c r="E37" s="9"/>
      <c r="F37" s="9"/>
      <c r="G37" s="2"/>
      <c r="H37" s="9"/>
      <c r="I37" s="2"/>
      <c r="J37" s="2"/>
      <c r="K37" s="9"/>
      <c r="L37" s="9"/>
      <c r="M37" s="9"/>
      <c r="N37" s="2"/>
      <c r="O37" s="9"/>
      <c r="P37" s="2"/>
      <c r="Q37" s="2"/>
      <c r="R37" s="9"/>
      <c r="S37" s="9"/>
      <c r="T37" s="9"/>
      <c r="U37" s="7"/>
    </row>
    <row r="38" spans="1:21">
      <c r="A38" s="9"/>
      <c r="B38" s="2"/>
      <c r="C38" s="2"/>
      <c r="D38" s="9"/>
      <c r="E38" s="9"/>
      <c r="F38" s="9"/>
      <c r="G38" s="2"/>
      <c r="H38" s="9"/>
      <c r="I38" s="2"/>
      <c r="J38" s="2"/>
      <c r="K38" s="9"/>
      <c r="L38" s="9"/>
      <c r="M38" s="9"/>
      <c r="N38" s="2"/>
      <c r="O38" s="9"/>
      <c r="P38" s="2"/>
      <c r="Q38" s="2"/>
      <c r="R38" s="9"/>
      <c r="S38" s="9"/>
      <c r="T38" s="9"/>
      <c r="U38" s="7"/>
    </row>
    <row r="39" spans="1:21">
      <c r="A39" s="9"/>
      <c r="B39" s="2"/>
      <c r="C39" s="2"/>
      <c r="D39" s="9"/>
      <c r="E39" s="9"/>
      <c r="F39" s="9"/>
      <c r="G39" s="2"/>
      <c r="H39" s="9"/>
      <c r="I39" s="2"/>
      <c r="J39" s="2"/>
      <c r="K39" s="9"/>
      <c r="L39" s="9"/>
      <c r="M39" s="9"/>
      <c r="N39" s="2"/>
      <c r="O39" s="9"/>
      <c r="P39" s="2"/>
      <c r="Q39" s="2"/>
      <c r="R39" s="9"/>
      <c r="S39" s="9"/>
      <c r="T39" s="9"/>
      <c r="U39" s="7"/>
    </row>
    <row r="40" spans="1:21">
      <c r="A40" s="9"/>
      <c r="B40" s="2"/>
      <c r="C40" s="2"/>
      <c r="D40" s="9"/>
      <c r="E40" s="9"/>
      <c r="F40" s="9"/>
      <c r="G40" s="2"/>
      <c r="H40" s="9"/>
      <c r="I40" s="2"/>
      <c r="J40" s="2"/>
      <c r="K40" s="9"/>
      <c r="L40" s="9"/>
      <c r="M40" s="9"/>
      <c r="N40" s="2"/>
      <c r="O40" s="9"/>
      <c r="P40" s="2"/>
      <c r="Q40" s="2"/>
      <c r="R40" s="9"/>
      <c r="S40" s="9"/>
      <c r="T40" s="9"/>
      <c r="U40" s="7"/>
    </row>
    <row r="41" spans="1:21">
      <c r="A41" s="9"/>
      <c r="B41" s="2"/>
      <c r="C41" s="2"/>
      <c r="D41" s="9"/>
      <c r="E41" s="9"/>
      <c r="F41" s="9"/>
      <c r="G41" s="2"/>
      <c r="H41" s="9"/>
      <c r="I41" s="2"/>
      <c r="J41" s="2"/>
      <c r="K41" s="9"/>
      <c r="L41" s="9"/>
      <c r="M41" s="9"/>
      <c r="N41" s="2"/>
      <c r="O41" s="9"/>
      <c r="P41" s="2"/>
      <c r="Q41" s="2"/>
      <c r="R41" s="9"/>
      <c r="S41" s="9"/>
      <c r="T41" s="9"/>
      <c r="U41" s="7"/>
    </row>
    <row r="42" spans="1:21" ht="15">
      <c r="A42" s="9"/>
      <c r="B42" s="5"/>
      <c r="C42" s="5"/>
      <c r="D42" s="9"/>
      <c r="E42" s="9"/>
      <c r="F42" s="9"/>
      <c r="G42" s="10"/>
      <c r="H42" s="9"/>
      <c r="I42" s="5"/>
      <c r="J42" s="5"/>
      <c r="K42" s="9"/>
      <c r="L42" s="9"/>
      <c r="M42" s="9"/>
      <c r="N42" s="10"/>
      <c r="O42" s="9"/>
      <c r="P42" s="5"/>
      <c r="Q42" s="5"/>
      <c r="R42" s="9"/>
      <c r="S42" s="9"/>
      <c r="T42" s="9"/>
      <c r="U42" s="7"/>
    </row>
    <row r="43" spans="1:21" ht="15">
      <c r="A43" s="9"/>
      <c r="B43" s="5"/>
      <c r="C43" s="5"/>
      <c r="D43" s="9"/>
      <c r="E43" s="9"/>
      <c r="F43" s="9"/>
      <c r="G43" s="7"/>
      <c r="H43" s="9"/>
      <c r="I43" s="5"/>
      <c r="J43" s="5"/>
      <c r="K43" s="9"/>
      <c r="L43" s="9"/>
      <c r="M43" s="9"/>
      <c r="N43" s="7"/>
      <c r="O43" s="9"/>
      <c r="P43" s="5"/>
      <c r="Q43" s="5"/>
      <c r="R43" s="9"/>
      <c r="S43" s="9"/>
      <c r="T43" s="9"/>
      <c r="U43" s="7"/>
    </row>
    <row r="44" spans="1:21" ht="15">
      <c r="A44" s="9"/>
      <c r="B44" s="5"/>
      <c r="C44" s="5"/>
      <c r="D44" s="9"/>
      <c r="E44" s="9"/>
      <c r="F44" s="9"/>
      <c r="G44" s="7"/>
      <c r="H44" s="9"/>
      <c r="I44" s="5"/>
      <c r="J44" s="5"/>
      <c r="K44" s="9"/>
      <c r="L44" s="9"/>
      <c r="M44" s="9"/>
      <c r="N44" s="7"/>
      <c r="O44" s="9"/>
      <c r="P44" s="5"/>
      <c r="Q44" s="5"/>
      <c r="R44" s="9"/>
      <c r="S44" s="9"/>
      <c r="T44" s="9"/>
      <c r="U44" s="7"/>
    </row>
    <row r="45" spans="1:21" ht="15">
      <c r="A45" s="9"/>
      <c r="B45" s="5"/>
      <c r="C45" s="5"/>
      <c r="D45" s="9"/>
      <c r="E45" s="9"/>
      <c r="F45" s="9"/>
      <c r="G45" s="7"/>
      <c r="H45" s="9"/>
      <c r="I45" s="5"/>
      <c r="J45" s="5"/>
      <c r="K45" s="9"/>
      <c r="L45" s="9"/>
      <c r="M45" s="9"/>
      <c r="N45" s="7"/>
      <c r="O45" s="9"/>
      <c r="P45" s="5"/>
      <c r="Q45" s="5"/>
      <c r="R45" s="9"/>
      <c r="S45" s="9"/>
      <c r="T45" s="9"/>
      <c r="U45" s="7"/>
    </row>
    <row r="46" spans="1:21" ht="15">
      <c r="A46" s="9"/>
      <c r="B46" s="5"/>
      <c r="C46" s="5"/>
      <c r="D46" s="9"/>
      <c r="E46" s="9"/>
      <c r="F46" s="9"/>
      <c r="G46" s="7"/>
      <c r="H46" s="9"/>
      <c r="I46" s="5"/>
      <c r="J46" s="5"/>
      <c r="K46" s="9"/>
      <c r="L46" s="9"/>
      <c r="M46" s="9"/>
      <c r="N46" s="7"/>
      <c r="O46" s="9"/>
      <c r="P46" s="5"/>
      <c r="Q46" s="5"/>
      <c r="R46" s="9"/>
      <c r="S46" s="9"/>
      <c r="T46" s="9"/>
      <c r="U46" s="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B6" sqref="B6"/>
    </sheetView>
  </sheetViews>
  <sheetFormatPr baseColWidth="10" defaultRowHeight="14" x14ac:dyDescent="0"/>
  <cols>
    <col min="3" max="3" width="10.83203125" style="85"/>
    <col min="13" max="13" width="17.1640625" customWidth="1"/>
  </cols>
  <sheetData>
    <row r="1" spans="1:13">
      <c r="A1" s="1" t="s">
        <v>73</v>
      </c>
      <c r="B1" s="1" t="s">
        <v>74</v>
      </c>
      <c r="C1" s="82" t="s">
        <v>89</v>
      </c>
      <c r="D1" s="12" t="s">
        <v>90</v>
      </c>
      <c r="E1" s="12" t="s">
        <v>91</v>
      </c>
      <c r="F1" s="12" t="s">
        <v>92</v>
      </c>
      <c r="G1" s="12" t="s">
        <v>93</v>
      </c>
      <c r="H1" s="13" t="s">
        <v>94</v>
      </c>
      <c r="I1" s="14" t="s">
        <v>95</v>
      </c>
      <c r="J1" s="14" t="s">
        <v>96</v>
      </c>
      <c r="K1" s="14" t="s">
        <v>97</v>
      </c>
      <c r="L1" s="15" t="s">
        <v>98</v>
      </c>
      <c r="M1" s="95" t="s">
        <v>101</v>
      </c>
    </row>
    <row r="2" spans="1:13" ht="15" thickBot="1">
      <c r="A2" s="1"/>
      <c r="B2" s="1"/>
      <c r="C2" s="83"/>
      <c r="D2" s="16" t="s">
        <v>99</v>
      </c>
      <c r="E2" s="16" t="s">
        <v>99</v>
      </c>
      <c r="F2" s="16" t="s">
        <v>99</v>
      </c>
      <c r="G2" s="16" t="s">
        <v>100</v>
      </c>
      <c r="H2" s="17" t="s">
        <v>100</v>
      </c>
      <c r="I2" s="18" t="s">
        <v>99</v>
      </c>
      <c r="J2" s="18" t="s">
        <v>99</v>
      </c>
      <c r="K2" s="18" t="s">
        <v>100</v>
      </c>
      <c r="L2" s="19" t="s">
        <v>100</v>
      </c>
      <c r="M2" s="96"/>
    </row>
    <row r="3" spans="1:13">
      <c r="A3" s="1">
        <v>1</v>
      </c>
      <c r="B3" s="1" t="s">
        <v>9</v>
      </c>
      <c r="C3" s="84" t="s">
        <v>142</v>
      </c>
      <c r="D3" s="21">
        <v>312</v>
      </c>
      <c r="E3" s="21">
        <v>315</v>
      </c>
      <c r="F3" s="21">
        <v>990</v>
      </c>
      <c r="G3" s="22">
        <f>L3</f>
        <v>2250.7692307692309</v>
      </c>
      <c r="H3" s="23">
        <f>(((D3+J3)*G3)/(F3-(D3+J3)))</f>
        <v>1035.7522123893805</v>
      </c>
      <c r="I3" s="21">
        <v>325</v>
      </c>
      <c r="J3" s="21"/>
      <c r="K3" s="21">
        <v>1100</v>
      </c>
      <c r="L3" s="24">
        <f>((K3*F3)/(I3+J3))-K3</f>
        <v>2250.7692307692309</v>
      </c>
      <c r="M3" s="70" t="s">
        <v>136</v>
      </c>
    </row>
    <row r="4" spans="1:13">
      <c r="A4" s="1">
        <v>2</v>
      </c>
      <c r="B4" s="1" t="s">
        <v>11</v>
      </c>
      <c r="C4" s="84" t="s">
        <v>142</v>
      </c>
      <c r="D4" s="21">
        <v>306</v>
      </c>
      <c r="E4" s="21">
        <v>308</v>
      </c>
      <c r="F4" s="21">
        <v>990</v>
      </c>
      <c r="G4" s="22">
        <f t="shared" ref="G4:G16" si="0">L4</f>
        <v>2250.7692307692309</v>
      </c>
      <c r="H4" s="23">
        <f t="shared" ref="H4:H16" si="1">(((D4+J4)*G4)/(F4-(D4+J4)))</f>
        <v>1006.9230769230769</v>
      </c>
      <c r="I4" s="21">
        <v>325</v>
      </c>
      <c r="J4" s="21"/>
      <c r="K4" s="21">
        <v>1100</v>
      </c>
      <c r="L4" s="24">
        <f t="shared" ref="L4:L16" si="2">((K4*F4)/(I4+J4))-K4</f>
        <v>2250.7692307692309</v>
      </c>
      <c r="M4" s="70" t="s">
        <v>136</v>
      </c>
    </row>
    <row r="5" spans="1:13">
      <c r="A5" s="1">
        <v>3</v>
      </c>
      <c r="B5" s="1" t="s">
        <v>12</v>
      </c>
      <c r="C5" s="84" t="s">
        <v>142</v>
      </c>
      <c r="D5" s="21">
        <v>312</v>
      </c>
      <c r="E5" s="21">
        <v>315</v>
      </c>
      <c r="F5" s="21">
        <v>990</v>
      </c>
      <c r="G5" s="22">
        <f t="shared" si="0"/>
        <v>2250.7692307692309</v>
      </c>
      <c r="H5" s="23">
        <f t="shared" si="1"/>
        <v>1035.7522123893805</v>
      </c>
      <c r="I5" s="21">
        <v>325</v>
      </c>
      <c r="J5" s="21"/>
      <c r="K5" s="21">
        <v>1100</v>
      </c>
      <c r="L5" s="24">
        <f t="shared" si="2"/>
        <v>2250.7692307692309</v>
      </c>
      <c r="M5" s="70" t="s">
        <v>136</v>
      </c>
    </row>
    <row r="6" spans="1:13">
      <c r="A6" s="1">
        <v>4</v>
      </c>
      <c r="B6" s="1" t="s">
        <v>13</v>
      </c>
      <c r="C6" s="84" t="s">
        <v>142</v>
      </c>
      <c r="D6" s="21">
        <v>306</v>
      </c>
      <c r="E6" s="21">
        <v>308</v>
      </c>
      <c r="F6" s="21">
        <v>990</v>
      </c>
      <c r="G6" s="22">
        <f t="shared" si="0"/>
        <v>2250.7692307692309</v>
      </c>
      <c r="H6" s="23">
        <f t="shared" si="1"/>
        <v>1006.9230769230769</v>
      </c>
      <c r="I6" s="21">
        <v>325</v>
      </c>
      <c r="J6" s="21"/>
      <c r="K6" s="21">
        <v>1100</v>
      </c>
      <c r="L6" s="24">
        <f t="shared" si="2"/>
        <v>2250.7692307692309</v>
      </c>
      <c r="M6" s="70" t="s">
        <v>136</v>
      </c>
    </row>
    <row r="7" spans="1:13">
      <c r="A7" s="1">
        <v>5</v>
      </c>
      <c r="B7" s="1" t="s">
        <v>14</v>
      </c>
      <c r="C7" s="84" t="s">
        <v>142</v>
      </c>
      <c r="D7" s="21">
        <v>310</v>
      </c>
      <c r="E7" s="21">
        <v>313</v>
      </c>
      <c r="F7" s="21">
        <v>990</v>
      </c>
      <c r="G7" s="22">
        <f t="shared" si="0"/>
        <v>2250.7692307692309</v>
      </c>
      <c r="H7" s="23">
        <f t="shared" si="1"/>
        <v>1026.0859728506789</v>
      </c>
      <c r="I7" s="21">
        <v>325</v>
      </c>
      <c r="J7" s="21"/>
      <c r="K7" s="21">
        <v>1100</v>
      </c>
      <c r="L7" s="24">
        <f t="shared" si="2"/>
        <v>2250.7692307692309</v>
      </c>
      <c r="M7" s="70" t="s">
        <v>136</v>
      </c>
    </row>
    <row r="8" spans="1:13">
      <c r="A8" s="1">
        <v>6</v>
      </c>
      <c r="B8" s="1" t="s">
        <v>15</v>
      </c>
      <c r="C8" s="84" t="s">
        <v>142</v>
      </c>
      <c r="D8" s="21">
        <v>305</v>
      </c>
      <c r="E8" s="21">
        <v>308</v>
      </c>
      <c r="F8" s="21">
        <v>990</v>
      </c>
      <c r="G8" s="22">
        <f t="shared" si="0"/>
        <v>2250.7692307692309</v>
      </c>
      <c r="H8" s="23">
        <f t="shared" si="1"/>
        <v>1002.1673217293657</v>
      </c>
      <c r="I8" s="21">
        <v>325</v>
      </c>
      <c r="J8" s="21"/>
      <c r="K8" s="21">
        <v>1100</v>
      </c>
      <c r="L8" s="24">
        <f t="shared" si="2"/>
        <v>2250.7692307692309</v>
      </c>
      <c r="M8" s="70" t="s">
        <v>136</v>
      </c>
    </row>
    <row r="9" spans="1:13">
      <c r="A9" s="1">
        <v>7</v>
      </c>
      <c r="B9" s="1" t="s">
        <v>16</v>
      </c>
      <c r="C9" s="84" t="s">
        <v>142</v>
      </c>
      <c r="D9" s="21">
        <v>313</v>
      </c>
      <c r="E9" s="21">
        <v>316</v>
      </c>
      <c r="F9" s="21">
        <v>990</v>
      </c>
      <c r="G9" s="22">
        <f t="shared" si="0"/>
        <v>2250.7692307692309</v>
      </c>
      <c r="H9" s="23">
        <f t="shared" si="1"/>
        <v>1040.6067492330417</v>
      </c>
      <c r="I9" s="21">
        <v>325</v>
      </c>
      <c r="J9" s="21"/>
      <c r="K9" s="21">
        <v>1100</v>
      </c>
      <c r="L9" s="24">
        <f t="shared" si="2"/>
        <v>2250.7692307692309</v>
      </c>
      <c r="M9" s="70" t="s">
        <v>137</v>
      </c>
    </row>
    <row r="10" spans="1:13">
      <c r="A10" s="1">
        <v>8</v>
      </c>
      <c r="B10" s="1" t="s">
        <v>17</v>
      </c>
      <c r="C10" s="84" t="s">
        <v>142</v>
      </c>
      <c r="D10" s="21">
        <v>310</v>
      </c>
      <c r="E10" s="21">
        <v>312</v>
      </c>
      <c r="F10" s="21">
        <v>990</v>
      </c>
      <c r="G10" s="22">
        <f t="shared" si="0"/>
        <v>2250.7692307692309</v>
      </c>
      <c r="H10" s="23">
        <f t="shared" si="1"/>
        <v>1026.0859728506789</v>
      </c>
      <c r="I10" s="21">
        <v>325</v>
      </c>
      <c r="J10" s="21"/>
      <c r="K10" s="21">
        <v>1100</v>
      </c>
      <c r="L10" s="24">
        <f t="shared" si="2"/>
        <v>2250.7692307692309</v>
      </c>
      <c r="M10" s="70" t="s">
        <v>137</v>
      </c>
    </row>
    <row r="11" spans="1:13">
      <c r="A11" s="1">
        <v>9</v>
      </c>
      <c r="B11" s="1" t="s">
        <v>18</v>
      </c>
      <c r="C11" s="84" t="s">
        <v>142</v>
      </c>
      <c r="D11" s="21">
        <v>311</v>
      </c>
      <c r="E11" s="21">
        <v>314</v>
      </c>
      <c r="F11" s="21">
        <v>990</v>
      </c>
      <c r="G11" s="22">
        <f t="shared" si="0"/>
        <v>2250.7692307692309</v>
      </c>
      <c r="H11" s="23">
        <f t="shared" si="1"/>
        <v>1030.911974623315</v>
      </c>
      <c r="I11" s="21">
        <v>325</v>
      </c>
      <c r="J11" s="21"/>
      <c r="K11" s="21">
        <v>1100</v>
      </c>
      <c r="L11" s="24">
        <f t="shared" si="2"/>
        <v>2250.7692307692309</v>
      </c>
      <c r="M11" s="70" t="s">
        <v>137</v>
      </c>
    </row>
    <row r="12" spans="1:13">
      <c r="A12" s="1">
        <v>10</v>
      </c>
      <c r="B12" s="1" t="s">
        <v>19</v>
      </c>
      <c r="C12" s="84" t="s">
        <v>142</v>
      </c>
      <c r="D12" s="21">
        <v>305</v>
      </c>
      <c r="E12" s="21">
        <v>307</v>
      </c>
      <c r="F12" s="21">
        <v>990</v>
      </c>
      <c r="G12" s="22">
        <f t="shared" si="0"/>
        <v>2250.7692307692309</v>
      </c>
      <c r="H12" s="23">
        <f t="shared" si="1"/>
        <v>1002.1673217293657</v>
      </c>
      <c r="I12" s="21">
        <v>325</v>
      </c>
      <c r="J12" s="21"/>
      <c r="K12" s="21">
        <v>1100</v>
      </c>
      <c r="L12" s="24">
        <f t="shared" si="2"/>
        <v>2250.7692307692309</v>
      </c>
      <c r="M12" s="70" t="s">
        <v>137</v>
      </c>
    </row>
    <row r="13" spans="1:13">
      <c r="A13" s="1">
        <v>11</v>
      </c>
      <c r="B13" s="1" t="s">
        <v>20</v>
      </c>
      <c r="C13" s="84" t="s">
        <v>142</v>
      </c>
      <c r="D13" s="21">
        <v>305</v>
      </c>
      <c r="E13" s="21">
        <v>307</v>
      </c>
      <c r="F13" s="21">
        <v>990</v>
      </c>
      <c r="G13" s="22">
        <f t="shared" si="0"/>
        <v>2250.7692307692309</v>
      </c>
      <c r="H13" s="23">
        <f t="shared" si="1"/>
        <v>1002.1673217293657</v>
      </c>
      <c r="I13" s="21">
        <v>325</v>
      </c>
      <c r="J13" s="21"/>
      <c r="K13" s="21">
        <v>1100</v>
      </c>
      <c r="L13" s="24">
        <f t="shared" si="2"/>
        <v>2250.7692307692309</v>
      </c>
      <c r="M13" s="70" t="s">
        <v>137</v>
      </c>
    </row>
    <row r="14" spans="1:13">
      <c r="A14" s="1">
        <v>12</v>
      </c>
      <c r="B14" s="1" t="s">
        <v>21</v>
      </c>
      <c r="C14" s="84" t="s">
        <v>142</v>
      </c>
      <c r="D14" s="21">
        <v>306</v>
      </c>
      <c r="E14" s="21">
        <v>307</v>
      </c>
      <c r="F14" s="21">
        <v>990</v>
      </c>
      <c r="G14" s="22">
        <f t="shared" si="0"/>
        <v>2250.7692307692309</v>
      </c>
      <c r="H14" s="23">
        <f t="shared" si="1"/>
        <v>1006.9230769230769</v>
      </c>
      <c r="I14" s="21">
        <v>325</v>
      </c>
      <c r="J14" s="21"/>
      <c r="K14" s="21">
        <v>1100</v>
      </c>
      <c r="L14" s="24">
        <f t="shared" si="2"/>
        <v>2250.7692307692309</v>
      </c>
      <c r="M14" s="70" t="s">
        <v>138</v>
      </c>
    </row>
    <row r="15" spans="1:13">
      <c r="A15" s="1">
        <v>13</v>
      </c>
      <c r="B15" s="1" t="s">
        <v>22</v>
      </c>
      <c r="C15" s="84" t="s">
        <v>142</v>
      </c>
      <c r="D15" s="21">
        <v>311</v>
      </c>
      <c r="E15" s="21">
        <v>312</v>
      </c>
      <c r="F15" s="21">
        <v>990</v>
      </c>
      <c r="G15" s="22">
        <f t="shared" si="0"/>
        <v>2250.7692307692309</v>
      </c>
      <c r="H15" s="23">
        <f t="shared" si="1"/>
        <v>1030.911974623315</v>
      </c>
      <c r="I15" s="21">
        <v>325</v>
      </c>
      <c r="J15" s="21"/>
      <c r="K15" s="21">
        <v>1100</v>
      </c>
      <c r="L15" s="24">
        <f t="shared" si="2"/>
        <v>2250.7692307692309</v>
      </c>
      <c r="M15" s="70" t="s">
        <v>138</v>
      </c>
    </row>
    <row r="16" spans="1:13">
      <c r="A16" s="1">
        <v>14</v>
      </c>
      <c r="B16" s="1" t="s">
        <v>23</v>
      </c>
      <c r="C16" s="84" t="s">
        <v>142</v>
      </c>
      <c r="D16" s="21">
        <v>307</v>
      </c>
      <c r="E16" s="21">
        <v>309</v>
      </c>
      <c r="F16" s="21">
        <v>987</v>
      </c>
      <c r="G16" s="22">
        <f t="shared" si="0"/>
        <v>2261.3003095975232</v>
      </c>
      <c r="H16" s="23">
        <f t="shared" si="1"/>
        <v>1020.9105809506466</v>
      </c>
      <c r="I16" s="21">
        <v>323</v>
      </c>
      <c r="J16" s="21"/>
      <c r="K16" s="21">
        <v>1100</v>
      </c>
      <c r="L16" s="24">
        <f t="shared" si="2"/>
        <v>2261.3003095975232</v>
      </c>
      <c r="M16" s="70" t="s">
        <v>138</v>
      </c>
    </row>
    <row r="17" spans="1:13">
      <c r="A17" s="1">
        <v>15</v>
      </c>
      <c r="B17" s="1" t="s">
        <v>24</v>
      </c>
      <c r="C17" s="84" t="s">
        <v>142</v>
      </c>
      <c r="D17" s="21">
        <v>309</v>
      </c>
      <c r="E17" s="21">
        <v>311</v>
      </c>
      <c r="F17" s="21">
        <v>987</v>
      </c>
      <c r="G17" s="22">
        <f t="shared" ref="G17:G22" si="3">L17</f>
        <v>2261.3003095975232</v>
      </c>
      <c r="H17" s="23">
        <f t="shared" ref="H17:H22" si="4">(((D17+J17)*G17)/(F17-(D17+J17)))</f>
        <v>1030.5926189758623</v>
      </c>
      <c r="I17" s="21">
        <v>323</v>
      </c>
      <c r="J17" s="21"/>
      <c r="K17" s="21">
        <v>1100</v>
      </c>
      <c r="L17" s="24">
        <f t="shared" ref="L17:L22" si="5">((K17*F17)/(I17+J17))-K17</f>
        <v>2261.3003095975232</v>
      </c>
      <c r="M17" s="70" t="s">
        <v>138</v>
      </c>
    </row>
    <row r="18" spans="1:13">
      <c r="A18" s="1">
        <v>16</v>
      </c>
      <c r="B18" s="1" t="s">
        <v>25</v>
      </c>
      <c r="C18" s="84" t="s">
        <v>142</v>
      </c>
      <c r="D18" s="21">
        <v>308</v>
      </c>
      <c r="E18" s="21">
        <v>310</v>
      </c>
      <c r="F18" s="21">
        <v>987</v>
      </c>
      <c r="G18" s="22">
        <f t="shared" si="3"/>
        <v>2261.3003095975232</v>
      </c>
      <c r="H18" s="23">
        <f t="shared" si="4"/>
        <v>1025.7444703328972</v>
      </c>
      <c r="I18" s="21">
        <v>323</v>
      </c>
      <c r="J18" s="21"/>
      <c r="K18" s="21">
        <v>1100</v>
      </c>
      <c r="L18" s="24">
        <f t="shared" si="5"/>
        <v>2261.3003095975232</v>
      </c>
      <c r="M18" s="70" t="s">
        <v>139</v>
      </c>
    </row>
    <row r="19" spans="1:13">
      <c r="A19" s="1">
        <v>17</v>
      </c>
      <c r="B19" s="1" t="s">
        <v>26</v>
      </c>
      <c r="C19" s="85" t="s">
        <v>142</v>
      </c>
      <c r="D19" s="1">
        <v>309</v>
      </c>
      <c r="E19" s="1">
        <v>311</v>
      </c>
      <c r="F19" s="21">
        <v>987</v>
      </c>
      <c r="G19" s="22">
        <f t="shared" si="3"/>
        <v>2261.3003095975232</v>
      </c>
      <c r="H19" s="23">
        <f t="shared" si="4"/>
        <v>1030.5926189758623</v>
      </c>
      <c r="I19" s="21">
        <v>323</v>
      </c>
      <c r="J19" s="21"/>
      <c r="K19" s="21">
        <v>1100</v>
      </c>
      <c r="L19" s="24">
        <f t="shared" si="5"/>
        <v>2261.3003095975232</v>
      </c>
      <c r="M19" s="88" t="s">
        <v>139</v>
      </c>
    </row>
    <row r="20" spans="1:13">
      <c r="A20" s="1">
        <v>18</v>
      </c>
      <c r="B20" s="1" t="s">
        <v>27</v>
      </c>
      <c r="C20" s="85" t="s">
        <v>142</v>
      </c>
      <c r="D20" s="1">
        <v>311</v>
      </c>
      <c r="E20" s="1">
        <v>314</v>
      </c>
      <c r="F20" s="21">
        <v>987</v>
      </c>
      <c r="G20" s="22">
        <f t="shared" si="3"/>
        <v>2261.3003095975232</v>
      </c>
      <c r="H20" s="23">
        <f t="shared" si="4"/>
        <v>1040.3319471669079</v>
      </c>
      <c r="I20" s="21">
        <v>323</v>
      </c>
      <c r="J20" s="21"/>
      <c r="K20" s="21">
        <v>1100</v>
      </c>
      <c r="L20" s="24">
        <f t="shared" si="5"/>
        <v>2261.3003095975232</v>
      </c>
      <c r="M20" s="88" t="s">
        <v>139</v>
      </c>
    </row>
    <row r="21" spans="1:13">
      <c r="A21" s="1">
        <v>19</v>
      </c>
      <c r="B21" s="1" t="s">
        <v>28</v>
      </c>
      <c r="C21" s="85" t="s">
        <v>142</v>
      </c>
      <c r="D21" s="1">
        <v>314</v>
      </c>
      <c r="E21" s="1">
        <v>317</v>
      </c>
      <c r="F21" s="21">
        <v>987</v>
      </c>
      <c r="G21" s="22">
        <f t="shared" si="3"/>
        <v>2261.3003095975232</v>
      </c>
      <c r="H21" s="23">
        <f t="shared" si="4"/>
        <v>1055.0494758003301</v>
      </c>
      <c r="I21" s="21">
        <v>323</v>
      </c>
      <c r="J21" s="21"/>
      <c r="K21" s="21">
        <v>1100</v>
      </c>
      <c r="L21" s="24">
        <f t="shared" si="5"/>
        <v>2261.3003095975232</v>
      </c>
      <c r="M21" s="88" t="s">
        <v>139</v>
      </c>
    </row>
    <row r="22" spans="1:13" ht="15" thickBot="1">
      <c r="A22" s="20">
        <v>20</v>
      </c>
      <c r="B22" s="20" t="s">
        <v>29</v>
      </c>
      <c r="C22" s="86" t="s">
        <v>142</v>
      </c>
      <c r="D22" s="20">
        <v>309</v>
      </c>
      <c r="E22" s="20">
        <v>313</v>
      </c>
      <c r="F22" s="64">
        <v>987</v>
      </c>
      <c r="G22" s="65">
        <f t="shared" si="3"/>
        <v>2261.3003095975232</v>
      </c>
      <c r="H22" s="66">
        <f t="shared" si="4"/>
        <v>1030.5926189758623</v>
      </c>
      <c r="I22" s="64">
        <v>323</v>
      </c>
      <c r="J22" s="64"/>
      <c r="K22" s="64">
        <v>1100</v>
      </c>
      <c r="L22" s="67">
        <f t="shared" si="5"/>
        <v>2261.3003095975232</v>
      </c>
      <c r="M22" s="88" t="s">
        <v>139</v>
      </c>
    </row>
    <row r="23" spans="1:13">
      <c r="A23" s="1">
        <v>21</v>
      </c>
      <c r="B23" s="1" t="s">
        <v>30</v>
      </c>
      <c r="C23" s="87" t="s">
        <v>143</v>
      </c>
      <c r="D23" s="69">
        <v>310</v>
      </c>
      <c r="E23" s="69">
        <v>312</v>
      </c>
      <c r="F23" s="21">
        <v>996</v>
      </c>
      <c r="G23" s="22">
        <f>L23</f>
        <v>2260.7361963190183</v>
      </c>
      <c r="H23" s="23">
        <f t="shared" ref="H23:H62" si="6">(((D23+J23)*G23)/(F23-(D23+J23)))</f>
        <v>1021.6154823015972</v>
      </c>
      <c r="I23" s="21">
        <v>326</v>
      </c>
      <c r="J23" s="21"/>
      <c r="K23" s="21">
        <v>1100</v>
      </c>
      <c r="L23" s="24">
        <f>((K23*F23)/(I23+J23))-K23</f>
        <v>2260.7361963190183</v>
      </c>
      <c r="M23" s="88" t="s">
        <v>144</v>
      </c>
    </row>
    <row r="24" spans="1:13">
      <c r="A24" s="1">
        <v>22</v>
      </c>
      <c r="B24" s="1" t="s">
        <v>31</v>
      </c>
      <c r="C24" s="85" t="s">
        <v>143</v>
      </c>
      <c r="D24" s="69">
        <v>314</v>
      </c>
      <c r="E24" s="69">
        <v>317</v>
      </c>
      <c r="F24" s="21">
        <v>996</v>
      </c>
      <c r="G24" s="22">
        <f t="shared" ref="G24:G62" si="7">L24</f>
        <v>2260.7361963190183</v>
      </c>
      <c r="H24" s="23">
        <f t="shared" si="6"/>
        <v>1040.8668117949733</v>
      </c>
      <c r="I24" s="21">
        <v>326</v>
      </c>
      <c r="J24" s="21"/>
      <c r="K24" s="21">
        <v>1100</v>
      </c>
      <c r="L24" s="24">
        <f t="shared" ref="L24:L62" si="8">((K24*F24)/(I24+J24))-K24</f>
        <v>2260.7361963190183</v>
      </c>
      <c r="M24" s="88" t="s">
        <v>144</v>
      </c>
    </row>
    <row r="25" spans="1:13">
      <c r="A25" s="1">
        <v>23</v>
      </c>
      <c r="B25" s="1" t="s">
        <v>32</v>
      </c>
      <c r="C25" s="85" t="s">
        <v>143</v>
      </c>
      <c r="D25" s="69">
        <v>312</v>
      </c>
      <c r="E25" s="69">
        <v>315</v>
      </c>
      <c r="F25" s="21">
        <v>996</v>
      </c>
      <c r="G25" s="22">
        <f t="shared" si="7"/>
        <v>2260.7361963190183</v>
      </c>
      <c r="H25" s="23">
        <f t="shared" si="6"/>
        <v>1031.2130018297275</v>
      </c>
      <c r="I25" s="21">
        <v>326</v>
      </c>
      <c r="J25" s="21"/>
      <c r="K25" s="21">
        <v>1100</v>
      </c>
      <c r="L25" s="24">
        <f t="shared" si="8"/>
        <v>2260.7361963190183</v>
      </c>
      <c r="M25" s="88" t="s">
        <v>144</v>
      </c>
    </row>
    <row r="26" spans="1:13">
      <c r="A26" s="1">
        <v>24</v>
      </c>
      <c r="B26" s="1" t="s">
        <v>33</v>
      </c>
      <c r="C26" s="85" t="s">
        <v>143</v>
      </c>
      <c r="D26" s="1">
        <v>309</v>
      </c>
      <c r="E26" s="69">
        <v>311</v>
      </c>
      <c r="F26" s="21">
        <v>996</v>
      </c>
      <c r="G26" s="22">
        <f t="shared" si="7"/>
        <v>2260.7361963190183</v>
      </c>
      <c r="H26" s="23">
        <f t="shared" si="6"/>
        <v>1016.8376778203445</v>
      </c>
      <c r="I26" s="21">
        <v>326</v>
      </c>
      <c r="J26" s="21"/>
      <c r="K26" s="21">
        <v>1100</v>
      </c>
      <c r="L26" s="24">
        <f t="shared" si="8"/>
        <v>2260.7361963190183</v>
      </c>
      <c r="M26" s="88" t="s">
        <v>145</v>
      </c>
    </row>
    <row r="27" spans="1:13">
      <c r="A27" s="1">
        <v>25</v>
      </c>
      <c r="B27" s="1" t="s">
        <v>34</v>
      </c>
      <c r="C27" s="85" t="s">
        <v>143</v>
      </c>
      <c r="D27" s="69">
        <v>311</v>
      </c>
      <c r="E27" s="69">
        <v>313</v>
      </c>
      <c r="F27" s="21">
        <v>996</v>
      </c>
      <c r="G27" s="22">
        <f t="shared" si="7"/>
        <v>2260.7361963190183</v>
      </c>
      <c r="H27" s="23">
        <f t="shared" si="6"/>
        <v>1026.4072365769557</v>
      </c>
      <c r="I27" s="21">
        <v>326</v>
      </c>
      <c r="J27" s="21"/>
      <c r="K27" s="21">
        <v>1100</v>
      </c>
      <c r="L27" s="24">
        <f t="shared" si="8"/>
        <v>2260.7361963190183</v>
      </c>
      <c r="M27" s="88" t="s">
        <v>144</v>
      </c>
    </row>
    <row r="28" spans="1:13">
      <c r="A28" s="1">
        <v>26</v>
      </c>
      <c r="B28" s="1" t="s">
        <v>35</v>
      </c>
      <c r="C28" s="85" t="s">
        <v>143</v>
      </c>
      <c r="D28" s="69">
        <v>307</v>
      </c>
      <c r="E28" s="69">
        <v>309</v>
      </c>
      <c r="F28" s="21">
        <v>996</v>
      </c>
      <c r="G28" s="22">
        <f t="shared" si="7"/>
        <v>2260.7361963190183</v>
      </c>
      <c r="H28" s="23">
        <f t="shared" si="6"/>
        <v>1007.3236752829298</v>
      </c>
      <c r="I28" s="21">
        <v>326</v>
      </c>
      <c r="J28" s="21"/>
      <c r="K28" s="21">
        <v>1100</v>
      </c>
      <c r="L28" s="24">
        <f t="shared" si="8"/>
        <v>2260.7361963190183</v>
      </c>
      <c r="M28" s="88" t="s">
        <v>145</v>
      </c>
    </row>
    <row r="29" spans="1:13">
      <c r="A29" s="1">
        <v>27</v>
      </c>
      <c r="B29" s="1" t="s">
        <v>36</v>
      </c>
      <c r="C29" s="85" t="s">
        <v>143</v>
      </c>
      <c r="D29" s="69">
        <v>313</v>
      </c>
      <c r="E29" s="69">
        <v>316</v>
      </c>
      <c r="F29" s="21">
        <v>996</v>
      </c>
      <c r="G29" s="22">
        <f t="shared" si="7"/>
        <v>2260.7361963190183</v>
      </c>
      <c r="H29" s="23">
        <f t="shared" si="6"/>
        <v>1036.0328396015414</v>
      </c>
      <c r="I29" s="21">
        <v>326</v>
      </c>
      <c r="J29" s="21"/>
      <c r="K29" s="21">
        <v>1100</v>
      </c>
      <c r="L29" s="24">
        <f t="shared" si="8"/>
        <v>2260.7361963190183</v>
      </c>
      <c r="M29" s="88" t="s">
        <v>145</v>
      </c>
    </row>
    <row r="30" spans="1:13">
      <c r="A30" s="1">
        <v>28</v>
      </c>
      <c r="B30" s="1" t="s">
        <v>37</v>
      </c>
      <c r="C30" s="85" t="s">
        <v>143</v>
      </c>
      <c r="D30" s="69">
        <v>313</v>
      </c>
      <c r="E30" s="69">
        <v>316</v>
      </c>
      <c r="F30" s="21">
        <v>996</v>
      </c>
      <c r="G30" s="22">
        <f t="shared" si="7"/>
        <v>2260.7361963190183</v>
      </c>
      <c r="H30" s="23">
        <f t="shared" si="6"/>
        <v>1036.0328396015414</v>
      </c>
      <c r="I30" s="21">
        <v>326</v>
      </c>
      <c r="J30" s="21"/>
      <c r="K30" s="21">
        <v>1100</v>
      </c>
      <c r="L30" s="24">
        <f t="shared" si="8"/>
        <v>2260.7361963190183</v>
      </c>
      <c r="M30" s="88" t="s">
        <v>145</v>
      </c>
    </row>
    <row r="31" spans="1:13">
      <c r="A31" s="1">
        <v>29</v>
      </c>
      <c r="B31" s="1" t="s">
        <v>38</v>
      </c>
      <c r="C31" s="85" t="s">
        <v>143</v>
      </c>
      <c r="D31" s="69">
        <v>313</v>
      </c>
      <c r="E31" s="69">
        <v>315</v>
      </c>
      <c r="F31" s="21">
        <v>996</v>
      </c>
      <c r="G31" s="22">
        <f t="shared" si="7"/>
        <v>2260.7361963190183</v>
      </c>
      <c r="H31" s="23">
        <f t="shared" si="6"/>
        <v>1036.0328396015414</v>
      </c>
      <c r="I31" s="21">
        <v>326</v>
      </c>
      <c r="J31" s="21"/>
      <c r="K31" s="21">
        <v>1100</v>
      </c>
      <c r="L31" s="24">
        <f t="shared" si="8"/>
        <v>2260.7361963190183</v>
      </c>
      <c r="M31" s="88" t="s">
        <v>145</v>
      </c>
    </row>
    <row r="32" spans="1:13">
      <c r="A32" s="1">
        <v>30</v>
      </c>
      <c r="B32" s="1" t="s">
        <v>39</v>
      </c>
      <c r="C32" s="85" t="s">
        <v>143</v>
      </c>
      <c r="D32" s="69">
        <v>313</v>
      </c>
      <c r="E32" s="69">
        <v>315</v>
      </c>
      <c r="F32" s="21">
        <v>996</v>
      </c>
      <c r="G32" s="22">
        <f t="shared" si="7"/>
        <v>2260.7361963190183</v>
      </c>
      <c r="H32" s="23">
        <f t="shared" si="6"/>
        <v>1036.0328396015414</v>
      </c>
      <c r="I32" s="21">
        <v>326</v>
      </c>
      <c r="J32" s="21"/>
      <c r="K32" s="21">
        <v>1100</v>
      </c>
      <c r="L32" s="24">
        <f t="shared" si="8"/>
        <v>2260.7361963190183</v>
      </c>
      <c r="M32" s="88" t="s">
        <v>146</v>
      </c>
    </row>
    <row r="33" spans="1:13">
      <c r="A33" s="1">
        <v>31</v>
      </c>
      <c r="B33" s="1" t="s">
        <v>40</v>
      </c>
      <c r="C33" s="85" t="s">
        <v>143</v>
      </c>
      <c r="D33" s="69">
        <v>308</v>
      </c>
      <c r="E33" s="69">
        <v>311</v>
      </c>
      <c r="F33" s="21">
        <v>996</v>
      </c>
      <c r="G33" s="22">
        <f t="shared" si="7"/>
        <v>2260.7361963190183</v>
      </c>
      <c r="H33" s="23">
        <f t="shared" si="6"/>
        <v>1012.0737623056069</v>
      </c>
      <c r="I33" s="21">
        <v>326</v>
      </c>
      <c r="J33" s="21"/>
      <c r="K33" s="21">
        <v>1100</v>
      </c>
      <c r="L33" s="24">
        <f t="shared" si="8"/>
        <v>2260.7361963190183</v>
      </c>
      <c r="M33" s="88" t="s">
        <v>146</v>
      </c>
    </row>
    <row r="34" spans="1:13">
      <c r="A34" s="1">
        <v>32</v>
      </c>
      <c r="B34" s="1" t="s">
        <v>41</v>
      </c>
      <c r="C34" s="85" t="s">
        <v>143</v>
      </c>
      <c r="D34" s="69">
        <v>311</v>
      </c>
      <c r="E34" s="69">
        <v>313</v>
      </c>
      <c r="F34" s="21">
        <v>996</v>
      </c>
      <c r="G34" s="22">
        <f t="shared" si="7"/>
        <v>2260.7361963190183</v>
      </c>
      <c r="H34" s="23">
        <f t="shared" si="6"/>
        <v>1026.4072365769557</v>
      </c>
      <c r="I34" s="21">
        <v>326</v>
      </c>
      <c r="J34" s="21"/>
      <c r="K34" s="21">
        <v>1100</v>
      </c>
      <c r="L34" s="24">
        <f t="shared" si="8"/>
        <v>2260.7361963190183</v>
      </c>
      <c r="M34" s="88" t="s">
        <v>146</v>
      </c>
    </row>
    <row r="35" spans="1:13">
      <c r="A35" s="1">
        <v>33</v>
      </c>
      <c r="B35" s="1" t="s">
        <v>42</v>
      </c>
      <c r="C35" s="85" t="s">
        <v>143</v>
      </c>
      <c r="D35" s="69">
        <v>310</v>
      </c>
      <c r="E35" s="69">
        <v>313</v>
      </c>
      <c r="F35" s="21">
        <v>996</v>
      </c>
      <c r="G35" s="22">
        <f t="shared" si="7"/>
        <v>2260.7361963190183</v>
      </c>
      <c r="H35" s="23">
        <f t="shared" si="6"/>
        <v>1021.6154823015972</v>
      </c>
      <c r="I35" s="21">
        <v>326</v>
      </c>
      <c r="J35" s="21"/>
      <c r="K35" s="21">
        <v>1100</v>
      </c>
      <c r="L35" s="24">
        <f t="shared" si="8"/>
        <v>2260.7361963190183</v>
      </c>
      <c r="M35" s="88" t="s">
        <v>146</v>
      </c>
    </row>
    <row r="36" spans="1:13">
      <c r="A36" s="1">
        <v>34</v>
      </c>
      <c r="B36" s="1" t="s">
        <v>43</v>
      </c>
      <c r="C36" s="85" t="s">
        <v>143</v>
      </c>
      <c r="D36" s="69">
        <v>309</v>
      </c>
      <c r="E36" s="69">
        <v>311</v>
      </c>
      <c r="F36" s="21">
        <v>996</v>
      </c>
      <c r="G36" s="22">
        <f t="shared" si="7"/>
        <v>2260.7361963190183</v>
      </c>
      <c r="H36" s="23">
        <f t="shared" si="6"/>
        <v>1016.8376778203445</v>
      </c>
      <c r="I36" s="21">
        <v>326</v>
      </c>
      <c r="J36" s="21"/>
      <c r="K36" s="21">
        <v>1100</v>
      </c>
      <c r="L36" s="24">
        <f t="shared" si="8"/>
        <v>2260.7361963190183</v>
      </c>
      <c r="M36" s="88" t="s">
        <v>146</v>
      </c>
    </row>
    <row r="37" spans="1:13">
      <c r="A37" s="1">
        <v>35</v>
      </c>
      <c r="B37" s="1" t="s">
        <v>44</v>
      </c>
      <c r="C37" s="85" t="s">
        <v>143</v>
      </c>
      <c r="D37" s="69">
        <v>305</v>
      </c>
      <c r="E37" s="69">
        <v>308</v>
      </c>
      <c r="F37" s="21">
        <v>996</v>
      </c>
      <c r="G37" s="22">
        <f t="shared" si="7"/>
        <v>2260.7361963190183</v>
      </c>
      <c r="H37" s="23">
        <f t="shared" si="6"/>
        <v>997.86474656628161</v>
      </c>
      <c r="I37" s="21">
        <v>326</v>
      </c>
      <c r="J37" s="21"/>
      <c r="K37" s="21">
        <v>1100</v>
      </c>
      <c r="L37" s="24">
        <f t="shared" si="8"/>
        <v>2260.7361963190183</v>
      </c>
      <c r="M37" s="88" t="s">
        <v>146</v>
      </c>
    </row>
    <row r="38" spans="1:13">
      <c r="A38" s="1">
        <v>36</v>
      </c>
      <c r="B38" s="1" t="s">
        <v>45</v>
      </c>
      <c r="C38" s="85" t="s">
        <v>143</v>
      </c>
      <c r="D38" s="69">
        <v>311</v>
      </c>
      <c r="E38" s="69">
        <v>313</v>
      </c>
      <c r="F38" s="21">
        <v>996</v>
      </c>
      <c r="G38" s="22">
        <f t="shared" si="7"/>
        <v>2260.7361963190183</v>
      </c>
      <c r="H38" s="23">
        <f t="shared" si="6"/>
        <v>1026.4072365769557</v>
      </c>
      <c r="I38" s="21">
        <v>326</v>
      </c>
      <c r="J38" s="21"/>
      <c r="K38" s="21">
        <v>1100</v>
      </c>
      <c r="L38" s="24">
        <f t="shared" si="8"/>
        <v>2260.7361963190183</v>
      </c>
      <c r="M38" s="88" t="s">
        <v>147</v>
      </c>
    </row>
    <row r="39" spans="1:13">
      <c r="A39" s="1">
        <v>37</v>
      </c>
      <c r="B39" s="1" t="s">
        <v>46</v>
      </c>
      <c r="C39" s="85" t="s">
        <v>143</v>
      </c>
      <c r="D39" s="69">
        <v>310</v>
      </c>
      <c r="E39" s="69">
        <v>313</v>
      </c>
      <c r="F39" s="21">
        <v>996</v>
      </c>
      <c r="G39" s="22">
        <f t="shared" si="7"/>
        <v>2260.7361963190183</v>
      </c>
      <c r="H39" s="23">
        <f t="shared" si="6"/>
        <v>1021.6154823015972</v>
      </c>
      <c r="I39" s="21">
        <v>326</v>
      </c>
      <c r="J39" s="21"/>
      <c r="K39" s="21">
        <v>1100</v>
      </c>
      <c r="L39" s="24">
        <f t="shared" si="8"/>
        <v>2260.7361963190183</v>
      </c>
      <c r="M39" s="88" t="s">
        <v>147</v>
      </c>
    </row>
    <row r="40" spans="1:13">
      <c r="A40" s="1">
        <v>38</v>
      </c>
      <c r="B40" s="1" t="s">
        <v>47</v>
      </c>
      <c r="C40" s="85" t="s">
        <v>143</v>
      </c>
      <c r="D40" s="69">
        <v>306</v>
      </c>
      <c r="E40" s="69">
        <v>308</v>
      </c>
      <c r="F40" s="21">
        <v>996</v>
      </c>
      <c r="G40" s="22">
        <f t="shared" si="7"/>
        <v>2260.7361963190183</v>
      </c>
      <c r="H40" s="23">
        <f t="shared" si="6"/>
        <v>1002.5873566284342</v>
      </c>
      <c r="I40" s="21">
        <v>326</v>
      </c>
      <c r="J40" s="21"/>
      <c r="K40" s="21">
        <v>1100</v>
      </c>
      <c r="L40" s="24">
        <f t="shared" si="8"/>
        <v>2260.7361963190183</v>
      </c>
      <c r="M40" s="88" t="s">
        <v>147</v>
      </c>
    </row>
    <row r="41" spans="1:13">
      <c r="A41" s="1">
        <v>39</v>
      </c>
      <c r="B41" s="1" t="s">
        <v>48</v>
      </c>
      <c r="C41" s="85" t="s">
        <v>143</v>
      </c>
      <c r="D41" s="69">
        <v>304</v>
      </c>
      <c r="E41" s="69">
        <v>307</v>
      </c>
      <c r="F41" s="21">
        <v>996</v>
      </c>
      <c r="G41" s="22">
        <f t="shared" si="7"/>
        <v>2260.7361963190183</v>
      </c>
      <c r="H41" s="23">
        <f t="shared" si="6"/>
        <v>993.15578566615829</v>
      </c>
      <c r="I41" s="21">
        <v>326</v>
      </c>
      <c r="J41" s="21"/>
      <c r="K41" s="21">
        <v>1100</v>
      </c>
      <c r="L41" s="24">
        <f t="shared" si="8"/>
        <v>2260.7361963190183</v>
      </c>
      <c r="M41" s="88" t="s">
        <v>147</v>
      </c>
    </row>
    <row r="42" spans="1:13" ht="15" thickBot="1">
      <c r="A42" s="20">
        <v>40</v>
      </c>
      <c r="B42" s="20" t="s">
        <v>49</v>
      </c>
      <c r="C42" s="86" t="s">
        <v>143</v>
      </c>
      <c r="D42" s="20">
        <v>311</v>
      </c>
      <c r="E42" s="20">
        <v>314</v>
      </c>
      <c r="F42" s="64">
        <v>996</v>
      </c>
      <c r="G42" s="65">
        <f t="shared" si="7"/>
        <v>2260.7361963190183</v>
      </c>
      <c r="H42" s="66">
        <f t="shared" si="6"/>
        <v>1026.4072365769557</v>
      </c>
      <c r="I42" s="64">
        <v>326</v>
      </c>
      <c r="J42" s="64"/>
      <c r="K42" s="64">
        <v>1100</v>
      </c>
      <c r="L42" s="67">
        <f t="shared" si="8"/>
        <v>2260.7361963190183</v>
      </c>
      <c r="M42" s="88" t="s">
        <v>147</v>
      </c>
    </row>
    <row r="43" spans="1:13">
      <c r="A43" s="1">
        <v>41</v>
      </c>
      <c r="B43" s="1" t="s">
        <v>50</v>
      </c>
      <c r="F43" s="21">
        <v>990</v>
      </c>
      <c r="G43" s="22" t="e">
        <f t="shared" si="7"/>
        <v>#DIV/0!</v>
      </c>
      <c r="H43" s="23" t="e">
        <f t="shared" si="6"/>
        <v>#DIV/0!</v>
      </c>
      <c r="I43" s="21"/>
      <c r="J43" s="21"/>
      <c r="K43" s="21">
        <v>1100</v>
      </c>
      <c r="L43" s="24" t="e">
        <f t="shared" si="8"/>
        <v>#DIV/0!</v>
      </c>
    </row>
    <row r="44" spans="1:13">
      <c r="A44" s="1">
        <v>42</v>
      </c>
      <c r="B44" s="1" t="s">
        <v>51</v>
      </c>
      <c r="F44" s="21">
        <v>990</v>
      </c>
      <c r="G44" s="22" t="e">
        <f t="shared" si="7"/>
        <v>#DIV/0!</v>
      </c>
      <c r="H44" s="23" t="e">
        <f t="shared" si="6"/>
        <v>#DIV/0!</v>
      </c>
      <c r="I44" s="21"/>
      <c r="J44" s="21"/>
      <c r="K44" s="21">
        <v>1100</v>
      </c>
      <c r="L44" s="24" t="e">
        <f t="shared" si="8"/>
        <v>#DIV/0!</v>
      </c>
    </row>
    <row r="45" spans="1:13">
      <c r="A45" s="1">
        <v>43</v>
      </c>
      <c r="B45" s="1" t="s">
        <v>52</v>
      </c>
      <c r="F45" s="21">
        <v>990</v>
      </c>
      <c r="G45" s="22" t="e">
        <f t="shared" si="7"/>
        <v>#DIV/0!</v>
      </c>
      <c r="H45" s="23" t="e">
        <f t="shared" si="6"/>
        <v>#DIV/0!</v>
      </c>
      <c r="I45" s="21"/>
      <c r="J45" s="21"/>
      <c r="K45" s="21">
        <v>1100</v>
      </c>
      <c r="L45" s="24" t="e">
        <f t="shared" si="8"/>
        <v>#DIV/0!</v>
      </c>
    </row>
    <row r="46" spans="1:13">
      <c r="A46" s="1">
        <v>44</v>
      </c>
      <c r="B46" s="1" t="s">
        <v>53</v>
      </c>
      <c r="F46" s="21">
        <v>990</v>
      </c>
      <c r="G46" s="22" t="e">
        <f t="shared" si="7"/>
        <v>#DIV/0!</v>
      </c>
      <c r="H46" s="23" t="e">
        <f t="shared" si="6"/>
        <v>#DIV/0!</v>
      </c>
      <c r="I46" s="21"/>
      <c r="J46" s="21"/>
      <c r="K46" s="21">
        <v>1100</v>
      </c>
      <c r="L46" s="24" t="e">
        <f t="shared" si="8"/>
        <v>#DIV/0!</v>
      </c>
    </row>
    <row r="47" spans="1:13">
      <c r="A47" s="1">
        <v>45</v>
      </c>
      <c r="B47" s="1" t="s">
        <v>54</v>
      </c>
      <c r="F47" s="21">
        <v>990</v>
      </c>
      <c r="G47" s="22" t="e">
        <f t="shared" si="7"/>
        <v>#DIV/0!</v>
      </c>
      <c r="H47" s="23" t="e">
        <f t="shared" si="6"/>
        <v>#DIV/0!</v>
      </c>
      <c r="I47" s="21"/>
      <c r="J47" s="21"/>
      <c r="K47" s="21">
        <v>1100</v>
      </c>
      <c r="L47" s="24" t="e">
        <f t="shared" si="8"/>
        <v>#DIV/0!</v>
      </c>
    </row>
    <row r="48" spans="1:13">
      <c r="A48" s="1">
        <v>46</v>
      </c>
      <c r="B48" s="1" t="s">
        <v>55</v>
      </c>
      <c r="F48" s="21">
        <v>990</v>
      </c>
      <c r="G48" s="22" t="e">
        <f t="shared" si="7"/>
        <v>#DIV/0!</v>
      </c>
      <c r="H48" s="23" t="e">
        <f t="shared" si="6"/>
        <v>#DIV/0!</v>
      </c>
      <c r="I48" s="21"/>
      <c r="J48" s="21"/>
      <c r="K48" s="21">
        <v>1100</v>
      </c>
      <c r="L48" s="24" t="e">
        <f t="shared" si="8"/>
        <v>#DIV/0!</v>
      </c>
    </row>
    <row r="49" spans="1:12">
      <c r="A49" s="1">
        <v>47</v>
      </c>
      <c r="B49" s="1" t="s">
        <v>56</v>
      </c>
      <c r="F49" s="21">
        <v>990</v>
      </c>
      <c r="G49" s="22" t="e">
        <f t="shared" si="7"/>
        <v>#DIV/0!</v>
      </c>
      <c r="H49" s="23" t="e">
        <f t="shared" si="6"/>
        <v>#DIV/0!</v>
      </c>
      <c r="I49" s="21"/>
      <c r="J49" s="21"/>
      <c r="K49" s="21">
        <v>1100</v>
      </c>
      <c r="L49" s="24" t="e">
        <f t="shared" si="8"/>
        <v>#DIV/0!</v>
      </c>
    </row>
    <row r="50" spans="1:12">
      <c r="A50" s="1">
        <v>48</v>
      </c>
      <c r="B50" s="1" t="s">
        <v>57</v>
      </c>
      <c r="F50" s="21">
        <v>990</v>
      </c>
      <c r="G50" s="22" t="e">
        <f t="shared" si="7"/>
        <v>#DIV/0!</v>
      </c>
      <c r="H50" s="23" t="e">
        <f t="shared" si="6"/>
        <v>#DIV/0!</v>
      </c>
      <c r="I50" s="21"/>
      <c r="J50" s="21"/>
      <c r="K50" s="21">
        <v>1100</v>
      </c>
      <c r="L50" s="24" t="e">
        <f t="shared" si="8"/>
        <v>#DIV/0!</v>
      </c>
    </row>
    <row r="51" spans="1:12">
      <c r="A51" s="1">
        <v>49</v>
      </c>
      <c r="B51" s="1" t="s">
        <v>58</v>
      </c>
      <c r="F51" s="21">
        <v>990</v>
      </c>
      <c r="G51" s="22" t="e">
        <f t="shared" si="7"/>
        <v>#DIV/0!</v>
      </c>
      <c r="H51" s="23" t="e">
        <f t="shared" si="6"/>
        <v>#DIV/0!</v>
      </c>
      <c r="I51" s="21"/>
      <c r="J51" s="21"/>
      <c r="K51" s="21">
        <v>1100</v>
      </c>
      <c r="L51" s="24" t="e">
        <f t="shared" si="8"/>
        <v>#DIV/0!</v>
      </c>
    </row>
    <row r="52" spans="1:12">
      <c r="A52" s="1">
        <v>50</v>
      </c>
      <c r="B52" s="1" t="s">
        <v>59</v>
      </c>
      <c r="F52" s="21">
        <v>990</v>
      </c>
      <c r="G52" s="22" t="e">
        <f t="shared" si="7"/>
        <v>#DIV/0!</v>
      </c>
      <c r="H52" s="23" t="e">
        <f t="shared" si="6"/>
        <v>#DIV/0!</v>
      </c>
      <c r="I52" s="21"/>
      <c r="J52" s="21"/>
      <c r="K52" s="21">
        <v>1100</v>
      </c>
      <c r="L52" s="24" t="e">
        <f t="shared" si="8"/>
        <v>#DIV/0!</v>
      </c>
    </row>
    <row r="53" spans="1:12">
      <c r="A53" s="1">
        <v>51</v>
      </c>
      <c r="B53" s="1" t="s">
        <v>60</v>
      </c>
      <c r="F53" s="21">
        <v>990</v>
      </c>
      <c r="G53" s="22" t="e">
        <f t="shared" si="7"/>
        <v>#DIV/0!</v>
      </c>
      <c r="H53" s="23" t="e">
        <f t="shared" si="6"/>
        <v>#DIV/0!</v>
      </c>
      <c r="I53" s="21"/>
      <c r="J53" s="21"/>
      <c r="K53" s="21">
        <v>1100</v>
      </c>
      <c r="L53" s="24" t="e">
        <f t="shared" si="8"/>
        <v>#DIV/0!</v>
      </c>
    </row>
    <row r="54" spans="1:12">
      <c r="A54" s="1">
        <v>52</v>
      </c>
      <c r="B54" s="1" t="s">
        <v>61</v>
      </c>
      <c r="F54" s="21">
        <v>990</v>
      </c>
      <c r="G54" s="22" t="e">
        <f t="shared" si="7"/>
        <v>#DIV/0!</v>
      </c>
      <c r="H54" s="23" t="e">
        <f t="shared" si="6"/>
        <v>#DIV/0!</v>
      </c>
      <c r="I54" s="21"/>
      <c r="J54" s="21"/>
      <c r="K54" s="21">
        <v>1100</v>
      </c>
      <c r="L54" s="24" t="e">
        <f t="shared" si="8"/>
        <v>#DIV/0!</v>
      </c>
    </row>
    <row r="55" spans="1:12">
      <c r="A55" s="1">
        <v>53</v>
      </c>
      <c r="B55" s="1" t="s">
        <v>62</v>
      </c>
      <c r="F55" s="21">
        <v>990</v>
      </c>
      <c r="G55" s="22" t="e">
        <f t="shared" si="7"/>
        <v>#DIV/0!</v>
      </c>
      <c r="H55" s="23" t="e">
        <f t="shared" si="6"/>
        <v>#DIV/0!</v>
      </c>
      <c r="I55" s="21"/>
      <c r="J55" s="21"/>
      <c r="K55" s="21">
        <v>1100</v>
      </c>
      <c r="L55" s="24" t="e">
        <f t="shared" si="8"/>
        <v>#DIV/0!</v>
      </c>
    </row>
    <row r="56" spans="1:12">
      <c r="A56" s="1">
        <v>54</v>
      </c>
      <c r="B56" s="1" t="s">
        <v>63</v>
      </c>
      <c r="F56" s="21">
        <v>990</v>
      </c>
      <c r="G56" s="22" t="e">
        <f t="shared" si="7"/>
        <v>#DIV/0!</v>
      </c>
      <c r="H56" s="23" t="e">
        <f t="shared" si="6"/>
        <v>#DIV/0!</v>
      </c>
      <c r="I56" s="21"/>
      <c r="J56" s="21"/>
      <c r="K56" s="21">
        <v>1100</v>
      </c>
      <c r="L56" s="24" t="e">
        <f t="shared" si="8"/>
        <v>#DIV/0!</v>
      </c>
    </row>
    <row r="57" spans="1:12">
      <c r="A57" s="1">
        <v>55</v>
      </c>
      <c r="B57" s="1" t="s">
        <v>64</v>
      </c>
      <c r="F57" s="21">
        <v>990</v>
      </c>
      <c r="G57" s="22" t="e">
        <f t="shared" si="7"/>
        <v>#DIV/0!</v>
      </c>
      <c r="H57" s="23" t="e">
        <f t="shared" si="6"/>
        <v>#DIV/0!</v>
      </c>
      <c r="I57" s="21"/>
      <c r="J57" s="21"/>
      <c r="K57" s="21">
        <v>1100</v>
      </c>
      <c r="L57" s="24" t="e">
        <f t="shared" si="8"/>
        <v>#DIV/0!</v>
      </c>
    </row>
    <row r="58" spans="1:12">
      <c r="A58" s="1">
        <v>56</v>
      </c>
      <c r="B58" s="1" t="s">
        <v>65</v>
      </c>
      <c r="F58" s="21">
        <v>990</v>
      </c>
      <c r="G58" s="22" t="e">
        <f t="shared" si="7"/>
        <v>#DIV/0!</v>
      </c>
      <c r="H58" s="23" t="e">
        <f t="shared" si="6"/>
        <v>#DIV/0!</v>
      </c>
      <c r="I58" s="21"/>
      <c r="J58" s="21"/>
      <c r="K58" s="21">
        <v>1100</v>
      </c>
      <c r="L58" s="24" t="e">
        <f t="shared" si="8"/>
        <v>#DIV/0!</v>
      </c>
    </row>
    <row r="59" spans="1:12">
      <c r="A59" s="1">
        <v>57</v>
      </c>
      <c r="B59" s="1" t="s">
        <v>66</v>
      </c>
      <c r="F59" s="21">
        <v>990</v>
      </c>
      <c r="G59" s="22" t="e">
        <f t="shared" si="7"/>
        <v>#DIV/0!</v>
      </c>
      <c r="H59" s="23" t="e">
        <f t="shared" si="6"/>
        <v>#DIV/0!</v>
      </c>
      <c r="I59" s="21"/>
      <c r="J59" s="21"/>
      <c r="K59" s="21">
        <v>1100</v>
      </c>
      <c r="L59" s="24" t="e">
        <f t="shared" si="8"/>
        <v>#DIV/0!</v>
      </c>
    </row>
    <row r="60" spans="1:12">
      <c r="A60" s="1">
        <v>58</v>
      </c>
      <c r="B60" s="1" t="s">
        <v>67</v>
      </c>
      <c r="F60" s="21">
        <v>990</v>
      </c>
      <c r="G60" s="22" t="e">
        <f t="shared" si="7"/>
        <v>#DIV/0!</v>
      </c>
      <c r="H60" s="23" t="e">
        <f t="shared" si="6"/>
        <v>#DIV/0!</v>
      </c>
      <c r="I60" s="21"/>
      <c r="J60" s="21"/>
      <c r="K60" s="21">
        <v>1100</v>
      </c>
      <c r="L60" s="24" t="e">
        <f t="shared" si="8"/>
        <v>#DIV/0!</v>
      </c>
    </row>
    <row r="61" spans="1:12">
      <c r="A61" s="1">
        <v>59</v>
      </c>
      <c r="B61" s="1" t="s">
        <v>68</v>
      </c>
      <c r="F61" s="21">
        <v>990</v>
      </c>
      <c r="G61" s="22" t="e">
        <f t="shared" si="7"/>
        <v>#DIV/0!</v>
      </c>
      <c r="H61" s="23" t="e">
        <f t="shared" si="6"/>
        <v>#DIV/0!</v>
      </c>
      <c r="I61" s="21"/>
      <c r="J61" s="21"/>
      <c r="K61" s="21">
        <v>1100</v>
      </c>
      <c r="L61" s="24" t="e">
        <f t="shared" si="8"/>
        <v>#DIV/0!</v>
      </c>
    </row>
    <row r="62" spans="1:12" ht="15" thickBot="1">
      <c r="A62" s="20">
        <v>60</v>
      </c>
      <c r="B62" s="20" t="s">
        <v>69</v>
      </c>
      <c r="C62" s="86"/>
      <c r="D62" s="63"/>
      <c r="E62" s="63"/>
      <c r="F62" s="64">
        <v>990</v>
      </c>
      <c r="G62" s="65" t="e">
        <f t="shared" si="7"/>
        <v>#DIV/0!</v>
      </c>
      <c r="H62" s="66" t="e">
        <f t="shared" si="6"/>
        <v>#DIV/0!</v>
      </c>
      <c r="I62" s="64"/>
      <c r="J62" s="64"/>
      <c r="K62" s="64">
        <v>1100</v>
      </c>
      <c r="L62" s="67" t="e">
        <f t="shared" si="8"/>
        <v>#DIV/0!</v>
      </c>
    </row>
    <row r="63" spans="1:12" ht="15" thickBot="1">
      <c r="B63" s="69" t="s">
        <v>135</v>
      </c>
      <c r="D63">
        <v>7</v>
      </c>
      <c r="F63" s="64">
        <v>987</v>
      </c>
      <c r="G63" s="65">
        <f t="shared" ref="G63" si="9">L63</f>
        <v>2261.3003095975232</v>
      </c>
      <c r="H63" s="66">
        <f t="shared" ref="H63" si="10">(((D63+J63)*G63)/(F63-(D63+J63)))</f>
        <v>16.152145068553736</v>
      </c>
      <c r="I63" s="64">
        <v>323</v>
      </c>
      <c r="J63" s="64"/>
      <c r="K63" s="64">
        <v>1100</v>
      </c>
      <c r="L63" s="67">
        <f t="shared" ref="L63" si="11">((K63*F63)/(I63+J63))-K63</f>
        <v>2261.3003095975232</v>
      </c>
    </row>
  </sheetData>
  <mergeCells count="1">
    <mergeCell ref="M1:M2"/>
  </mergeCells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B13" sqref="B13"/>
    </sheetView>
  </sheetViews>
  <sheetFormatPr baseColWidth="10" defaultRowHeight="14" x14ac:dyDescent="0"/>
  <cols>
    <col min="2" max="2" width="20.33203125" customWidth="1"/>
    <col min="9" max="9" width="18" customWidth="1"/>
    <col min="16" max="16" width="21.332031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43311</v>
      </c>
      <c r="C3" s="32">
        <v>3015</v>
      </c>
      <c r="D3" s="22">
        <v>1617.5</v>
      </c>
      <c r="E3" s="33">
        <v>351.74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43311</v>
      </c>
      <c r="C4" s="32">
        <v>3015</v>
      </c>
      <c r="D4" s="33">
        <v>1445.3</v>
      </c>
      <c r="E4" s="33">
        <v>339.64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43311</v>
      </c>
      <c r="C5" s="32">
        <v>3015</v>
      </c>
      <c r="D5" s="22">
        <v>1346.5</v>
      </c>
      <c r="E5" s="33">
        <v>304.23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43311</v>
      </c>
      <c r="C6" s="32">
        <v>3015</v>
      </c>
      <c r="D6" s="33">
        <v>1150.9000000000001</v>
      </c>
      <c r="E6" s="33">
        <v>260.99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43311</v>
      </c>
      <c r="C7" s="32">
        <v>3015</v>
      </c>
      <c r="D7" s="22">
        <v>1046.5</v>
      </c>
      <c r="E7" s="33">
        <v>233.14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43311</v>
      </c>
      <c r="C8" s="32">
        <v>3015</v>
      </c>
      <c r="D8" s="33">
        <v>847.57</v>
      </c>
      <c r="E8" s="33">
        <v>189.03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43311</v>
      </c>
      <c r="C9" s="32">
        <v>3015</v>
      </c>
      <c r="D9" s="22">
        <v>696.96</v>
      </c>
      <c r="E9" s="33">
        <v>169.18</v>
      </c>
      <c r="F9" s="34">
        <f t="shared" si="0"/>
        <v>6.03</v>
      </c>
      <c r="G9" s="37" t="s">
        <v>112</v>
      </c>
      <c r="H9" s="37"/>
      <c r="I9" s="38">
        <f>SLOPE(F3:F13,D3:D13)</f>
        <v>9.2177616525551051E-3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43311</v>
      </c>
      <c r="C10" s="32">
        <v>3015</v>
      </c>
      <c r="D10" s="22">
        <v>472.62</v>
      </c>
      <c r="E10" s="33">
        <v>115.08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-0.25524243877316977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43311</v>
      </c>
      <c r="C11" s="32">
        <v>3015</v>
      </c>
      <c r="D11" s="22">
        <v>381.54</v>
      </c>
      <c r="E11" s="33">
        <v>92.905000000000001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43311</v>
      </c>
      <c r="C12" s="32">
        <v>3015</v>
      </c>
      <c r="D12" s="39">
        <v>131.87</v>
      </c>
      <c r="E12" s="39">
        <v>35.518999999999998</v>
      </c>
      <c r="F12" s="34">
        <f t="shared" si="0"/>
        <v>1.206</v>
      </c>
      <c r="G12" s="40" t="s">
        <v>114</v>
      </c>
      <c r="H12" s="40"/>
      <c r="I12" s="41">
        <f>SLOPE(F3:F13,E3:E13)</f>
        <v>4.1926454898528392E-2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43311</v>
      </c>
      <c r="C13" s="32">
        <v>3015</v>
      </c>
      <c r="D13" s="39">
        <v>64.069999999999993</v>
      </c>
      <c r="E13" s="39">
        <v>20.356999999999999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-0.59388624051964634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>
        <v>43311.69027777778</v>
      </c>
      <c r="C17" s="21">
        <v>1</v>
      </c>
      <c r="D17" s="51">
        <v>872.44</v>
      </c>
      <c r="E17" s="52">
        <v>191.13</v>
      </c>
      <c r="F17" s="53">
        <f>((I$9*D17)+I$10)/C17/1000</f>
        <v>7.7867015373820061E-3</v>
      </c>
      <c r="G17" s="53">
        <f>((I$12*E17)+I$13)/C17/1000</f>
        <v>7.4195170842360856E-3</v>
      </c>
      <c r="H17" s="53"/>
      <c r="I17" s="54" t="str">
        <f>Jar_Information!M3</f>
        <v>27/07/2018 16:50</v>
      </c>
      <c r="J17" s="55">
        <f t="shared" ref="J17" si="1">B17-I17</f>
        <v>2.9888888888890506</v>
      </c>
      <c r="K17" s="55">
        <f>J17*24</f>
        <v>71.733333333337214</v>
      </c>
      <c r="L17" s="56">
        <f>Jar_Information!H3</f>
        <v>1035.7522123893805</v>
      </c>
      <c r="M17" s="55">
        <f>F17*L17</f>
        <v>8.0650933445592035</v>
      </c>
      <c r="N17" s="55">
        <f>M17*1.83</f>
        <v>14.759120820543343</v>
      </c>
      <c r="O17" s="57">
        <f>N17*(12/(12+(16*2)))</f>
        <v>4.0252147692390929</v>
      </c>
      <c r="P17" s="55">
        <v>27.373506019753322</v>
      </c>
      <c r="Q17" s="58"/>
      <c r="R17" s="58"/>
      <c r="S17" s="71">
        <f>F17*1000000</f>
        <v>7786.7015373820059</v>
      </c>
      <c r="T17" s="72">
        <f>M17/L17*100</f>
        <v>0.77867015373820059</v>
      </c>
    </row>
    <row r="18" spans="1:20">
      <c r="A18" s="1" t="s">
        <v>11</v>
      </c>
      <c r="B18" s="50">
        <v>43311.692361111112</v>
      </c>
      <c r="C18" s="21">
        <v>1</v>
      </c>
      <c r="D18" s="59">
        <v>884.87</v>
      </c>
      <c r="E18" s="60">
        <v>192.89</v>
      </c>
      <c r="F18" s="53">
        <f t="shared" ref="F18:F36" si="2">((I$9*D18)+I$10)/C18/1000</f>
        <v>7.901278314723266E-3</v>
      </c>
      <c r="G18" s="53">
        <f t="shared" ref="G18:G36" si="3">((I$12*E18)+I$13)/C18/1000</f>
        <v>7.4933076448574949E-3</v>
      </c>
      <c r="H18" s="53"/>
      <c r="I18" s="54" t="str">
        <f>Jar_Information!M4</f>
        <v>27/07/2018 16:50</v>
      </c>
      <c r="J18" s="55">
        <f t="shared" ref="J18:J36" si="4">B18-I18</f>
        <v>2.9909722222218988</v>
      </c>
      <c r="K18" s="55">
        <f t="shared" ref="K18:K36" si="5">J18*24</f>
        <v>71.783333333325572</v>
      </c>
      <c r="L18" s="56">
        <f>Jar_Information!H4</f>
        <v>1006.9230769230769</v>
      </c>
      <c r="M18" s="55">
        <f t="shared" ref="M18:M36" si="6">F18*L18</f>
        <v>7.9559794722867343</v>
      </c>
      <c r="N18" s="55">
        <f t="shared" ref="N18:N36" si="7">M18*1.83</f>
        <v>14.559442434284724</v>
      </c>
      <c r="O18" s="57">
        <f t="shared" ref="O18:O36" si="8">N18*(12/(12+(16*2)))</f>
        <v>3.9707570275321973</v>
      </c>
      <c r="P18" s="55">
        <v>26.611591631551708</v>
      </c>
      <c r="Q18" s="58"/>
      <c r="R18" s="58"/>
      <c r="S18" s="71">
        <f t="shared" ref="S18:S36" si="9">F18*1000000</f>
        <v>7901.2783147232658</v>
      </c>
      <c r="T18" s="72">
        <f t="shared" ref="T18:T36" si="10">M18/L18*100</f>
        <v>0.79012783147232657</v>
      </c>
    </row>
    <row r="19" spans="1:20">
      <c r="A19" s="1" t="s">
        <v>12</v>
      </c>
      <c r="B19" s="50">
        <v>43311.693055555559</v>
      </c>
      <c r="C19" s="21">
        <v>1</v>
      </c>
      <c r="D19" s="59">
        <v>903.54</v>
      </c>
      <c r="E19" s="60">
        <v>206.13</v>
      </c>
      <c r="F19" s="53">
        <f t="shared" si="2"/>
        <v>8.073373924776469E-3</v>
      </c>
      <c r="G19" s="53">
        <f t="shared" si="3"/>
        <v>8.0484139077140106E-3</v>
      </c>
      <c r="H19" s="53"/>
      <c r="I19" s="54" t="str">
        <f>Jar_Information!M5</f>
        <v>27/07/2018 16:50</v>
      </c>
      <c r="J19" s="55">
        <f t="shared" si="4"/>
        <v>2.9916666666686069</v>
      </c>
      <c r="K19" s="55">
        <f t="shared" si="5"/>
        <v>71.800000000046566</v>
      </c>
      <c r="L19" s="56">
        <f>Jar_Information!H5</f>
        <v>1035.7522123893805</v>
      </c>
      <c r="M19" s="55">
        <f t="shared" si="6"/>
        <v>8.3620149040339626</v>
      </c>
      <c r="N19" s="55">
        <f t="shared" si="7"/>
        <v>15.302487274382152</v>
      </c>
      <c r="O19" s="57">
        <f t="shared" si="8"/>
        <v>4.173405620286041</v>
      </c>
      <c r="P19" s="55">
        <v>27.373506019753343</v>
      </c>
      <c r="Q19" s="58"/>
      <c r="R19" s="58"/>
      <c r="S19" s="71">
        <f t="shared" si="9"/>
        <v>8073.3739247764688</v>
      </c>
      <c r="T19" s="72">
        <f t="shared" si="10"/>
        <v>0.80733739247764691</v>
      </c>
    </row>
    <row r="20" spans="1:20">
      <c r="A20" s="1" t="s">
        <v>13</v>
      </c>
      <c r="B20" s="50">
        <v>43311.694444444445</v>
      </c>
      <c r="C20" s="21">
        <v>5</v>
      </c>
      <c r="D20" s="59">
        <v>466.79</v>
      </c>
      <c r="E20" s="60">
        <v>106.96</v>
      </c>
      <c r="F20" s="53">
        <f t="shared" si="2"/>
        <v>8.0950330460460558E-4</v>
      </c>
      <c r="G20" s="53">
        <f t="shared" si="3"/>
        <v>7.7811347508538996E-4</v>
      </c>
      <c r="H20" s="53"/>
      <c r="I20" s="54" t="str">
        <f>Jar_Information!M6</f>
        <v>27/07/2018 16:50</v>
      </c>
      <c r="J20" s="55">
        <f t="shared" si="4"/>
        <v>2.9930555555547471</v>
      </c>
      <c r="K20" s="55">
        <f t="shared" si="5"/>
        <v>71.833333333313931</v>
      </c>
      <c r="L20" s="56">
        <f>Jar_Information!H6</f>
        <v>1006.9230769230769</v>
      </c>
      <c r="M20" s="55">
        <f t="shared" si="6"/>
        <v>0.8151075582518682</v>
      </c>
      <c r="N20" s="55">
        <f t="shared" si="7"/>
        <v>1.4916468316009188</v>
      </c>
      <c r="O20" s="57">
        <f t="shared" si="8"/>
        <v>0.40681277225479601</v>
      </c>
      <c r="P20" s="55">
        <v>26.611591631551708</v>
      </c>
      <c r="Q20" s="58"/>
      <c r="R20" s="58"/>
      <c r="S20" s="71">
        <f t="shared" si="9"/>
        <v>809.50330460460555</v>
      </c>
      <c r="T20" s="72">
        <f t="shared" si="10"/>
        <v>8.0950330460460559E-2</v>
      </c>
    </row>
    <row r="21" spans="1:20">
      <c r="A21" s="1" t="s">
        <v>14</v>
      </c>
      <c r="B21" s="50">
        <v>43311.695833333331</v>
      </c>
      <c r="C21" s="21">
        <v>5</v>
      </c>
      <c r="D21" s="59">
        <v>447.24</v>
      </c>
      <c r="E21" s="60">
        <v>103.75</v>
      </c>
      <c r="F21" s="53">
        <f t="shared" si="2"/>
        <v>7.7346185654311522E-4</v>
      </c>
      <c r="G21" s="53">
        <f t="shared" si="3"/>
        <v>7.5119669104053489E-4</v>
      </c>
      <c r="H21" s="53"/>
      <c r="I21" s="54" t="str">
        <f>Jar_Information!M7</f>
        <v>27/07/2018 16:50</v>
      </c>
      <c r="J21" s="55">
        <f t="shared" si="4"/>
        <v>2.9944444444408873</v>
      </c>
      <c r="K21" s="55">
        <f t="shared" si="5"/>
        <v>71.866666666581295</v>
      </c>
      <c r="L21" s="56">
        <f>Jar_Information!H7</f>
        <v>1026.0859728506789</v>
      </c>
      <c r="M21" s="55">
        <f t="shared" si="6"/>
        <v>0.79363836153393463</v>
      </c>
      <c r="N21" s="55">
        <f t="shared" si="7"/>
        <v>1.4523582016071004</v>
      </c>
      <c r="O21" s="57">
        <f t="shared" si="8"/>
        <v>0.39609769134739098</v>
      </c>
      <c r="P21" s="55">
        <v>27.118040607238672</v>
      </c>
      <c r="Q21" s="58"/>
      <c r="R21" s="58"/>
      <c r="S21" s="71">
        <f t="shared" si="9"/>
        <v>773.46185654311523</v>
      </c>
      <c r="T21" s="72">
        <f t="shared" si="10"/>
        <v>7.7346185654311519E-2</v>
      </c>
    </row>
    <row r="22" spans="1:20">
      <c r="A22" s="1" t="s">
        <v>15</v>
      </c>
      <c r="B22" s="50">
        <v>43311.695833333331</v>
      </c>
      <c r="C22" s="21">
        <v>5</v>
      </c>
      <c r="D22" s="59">
        <v>441.19</v>
      </c>
      <c r="E22" s="60">
        <v>109.52</v>
      </c>
      <c r="F22" s="53">
        <f t="shared" si="2"/>
        <v>7.6230836494352338E-4</v>
      </c>
      <c r="G22" s="53">
        <f t="shared" si="3"/>
        <v>7.9957981999343667E-4</v>
      </c>
      <c r="H22" s="53"/>
      <c r="I22" s="54" t="str">
        <f>Jar_Information!M8</f>
        <v>27/07/2018 16:50</v>
      </c>
      <c r="J22" s="55">
        <f t="shared" si="4"/>
        <v>2.9944444444408873</v>
      </c>
      <c r="K22" s="55">
        <f t="shared" si="5"/>
        <v>71.866666666581295</v>
      </c>
      <c r="L22" s="56">
        <f>Jar_Information!H8</f>
        <v>1002.1673217293657</v>
      </c>
      <c r="M22" s="55">
        <f t="shared" si="6"/>
        <v>0.76396053242734263</v>
      </c>
      <c r="N22" s="55">
        <f t="shared" si="7"/>
        <v>1.398047774342037</v>
      </c>
      <c r="O22" s="57">
        <f t="shared" si="8"/>
        <v>0.38128575663873732</v>
      </c>
      <c r="P22" s="55">
        <v>26.485903564592896</v>
      </c>
      <c r="Q22" s="58"/>
      <c r="R22" s="58"/>
      <c r="S22" s="71">
        <f t="shared" si="9"/>
        <v>762.30836494352343</v>
      </c>
      <c r="T22" s="72">
        <f t="shared" si="10"/>
        <v>7.6230836494352333E-2</v>
      </c>
    </row>
    <row r="23" spans="1:20">
      <c r="A23" s="1" t="s">
        <v>16</v>
      </c>
      <c r="B23" s="50">
        <v>43311.697916666664</v>
      </c>
      <c r="C23" s="21">
        <v>1</v>
      </c>
      <c r="D23" s="59">
        <v>1543.6</v>
      </c>
      <c r="E23" s="60">
        <v>355</v>
      </c>
      <c r="F23" s="53">
        <f t="shared" si="2"/>
        <v>1.3973294448110889E-2</v>
      </c>
      <c r="G23" s="53">
        <f t="shared" si="3"/>
        <v>1.4290005248457933E-2</v>
      </c>
      <c r="H23" s="53"/>
      <c r="I23" s="54" t="str">
        <f>Jar_Information!M9</f>
        <v>27/07/2018 17:22</v>
      </c>
      <c r="J23" s="55">
        <f t="shared" si="4"/>
        <v>2.9743055555518367</v>
      </c>
      <c r="K23" s="55">
        <f t="shared" si="5"/>
        <v>71.383333333244082</v>
      </c>
      <c r="L23" s="56">
        <f>Jar_Information!H9</f>
        <v>1040.6067492330417</v>
      </c>
      <c r="M23" s="55">
        <f t="shared" si="6"/>
        <v>14.540704511724782</v>
      </c>
      <c r="N23" s="55">
        <f t="shared" si="7"/>
        <v>26.609489256456349</v>
      </c>
      <c r="O23" s="57">
        <f t="shared" si="8"/>
        <v>7.2571334335790034</v>
      </c>
      <c r="P23" s="55">
        <v>27.501804749819797</v>
      </c>
      <c r="Q23" s="58"/>
      <c r="R23" s="58"/>
      <c r="S23" s="71">
        <f t="shared" si="9"/>
        <v>13973.29444811089</v>
      </c>
      <c r="T23" s="72">
        <f t="shared" si="10"/>
        <v>1.3973294448110889</v>
      </c>
    </row>
    <row r="24" spans="1:20">
      <c r="A24" s="1" t="s">
        <v>17</v>
      </c>
      <c r="B24" s="50">
        <v>43311.699305555558</v>
      </c>
      <c r="C24" s="21">
        <v>1</v>
      </c>
      <c r="D24" s="59">
        <v>1496.9</v>
      </c>
      <c r="E24" s="60">
        <v>323.3</v>
      </c>
      <c r="F24" s="53">
        <f t="shared" si="2"/>
        <v>1.3542824978936569E-2</v>
      </c>
      <c r="G24" s="53">
        <f t="shared" si="3"/>
        <v>1.2960936628174583E-2</v>
      </c>
      <c r="H24" s="53"/>
      <c r="I24" s="54" t="str">
        <f>Jar_Information!M10</f>
        <v>27/07/2018 17:22</v>
      </c>
      <c r="J24" s="55">
        <f t="shared" si="4"/>
        <v>2.9756944444452529</v>
      </c>
      <c r="K24" s="55">
        <f t="shared" si="5"/>
        <v>71.416666666686069</v>
      </c>
      <c r="L24" s="56">
        <f>Jar_Information!H10</f>
        <v>1026.0859728506789</v>
      </c>
      <c r="M24" s="55">
        <f t="shared" si="6"/>
        <v>13.896102743658604</v>
      </c>
      <c r="N24" s="55">
        <f t="shared" si="7"/>
        <v>25.429868020895245</v>
      </c>
      <c r="O24" s="57">
        <f t="shared" si="8"/>
        <v>6.9354185511532487</v>
      </c>
      <c r="P24" s="55">
        <v>27.118040607238672</v>
      </c>
      <c r="Q24" s="58"/>
      <c r="R24" s="58"/>
      <c r="S24" s="71">
        <f t="shared" si="9"/>
        <v>13542.824978936569</v>
      </c>
      <c r="T24" s="72">
        <f t="shared" si="10"/>
        <v>1.354282497893657</v>
      </c>
    </row>
    <row r="25" spans="1:20">
      <c r="A25" s="1" t="s">
        <v>18</v>
      </c>
      <c r="B25" s="50">
        <v>43311.7</v>
      </c>
      <c r="C25" s="21">
        <v>1</v>
      </c>
      <c r="D25" s="59">
        <v>1555.5</v>
      </c>
      <c r="E25" s="60">
        <v>341.35</v>
      </c>
      <c r="F25" s="53">
        <f t="shared" si="2"/>
        <v>1.4082985811776296E-2</v>
      </c>
      <c r="G25" s="53">
        <f t="shared" si="3"/>
        <v>1.3717709139093022E-2</v>
      </c>
      <c r="H25" s="53"/>
      <c r="I25" s="54" t="str">
        <f>Jar_Information!M11</f>
        <v>27/07/2018 17:22</v>
      </c>
      <c r="J25" s="55">
        <f t="shared" si="4"/>
        <v>2.976388888884685</v>
      </c>
      <c r="K25" s="55">
        <f t="shared" si="5"/>
        <v>71.43333333323244</v>
      </c>
      <c r="L25" s="56">
        <f>Jar_Information!H11</f>
        <v>1030.911974623315</v>
      </c>
      <c r="M25" s="55">
        <f t="shared" si="6"/>
        <v>14.51831871181043</v>
      </c>
      <c r="N25" s="55">
        <f t="shared" si="7"/>
        <v>26.56852324261309</v>
      </c>
      <c r="O25" s="57">
        <f t="shared" si="8"/>
        <v>7.2459608843490235</v>
      </c>
      <c r="P25" s="73">
        <v>27.245585194635542</v>
      </c>
      <c r="Q25" s="61"/>
      <c r="R25" s="61"/>
      <c r="S25" s="71">
        <f t="shared" si="9"/>
        <v>14082.985811776296</v>
      </c>
      <c r="T25" s="72">
        <f t="shared" si="10"/>
        <v>1.4082985811776296</v>
      </c>
    </row>
    <row r="26" spans="1:20">
      <c r="A26" s="1" t="s">
        <v>19</v>
      </c>
      <c r="B26" s="50">
        <v>43311.701388888891</v>
      </c>
      <c r="C26" s="21">
        <v>5</v>
      </c>
      <c r="D26" s="59">
        <v>1018.6</v>
      </c>
      <c r="E26" s="60">
        <v>243.5</v>
      </c>
      <c r="F26" s="53">
        <f t="shared" si="2"/>
        <v>1.8267939161038921E-3</v>
      </c>
      <c r="G26" s="53">
        <f t="shared" si="3"/>
        <v>1.9230411054544034E-3</v>
      </c>
      <c r="H26" s="53"/>
      <c r="I26" s="54" t="str">
        <f>Jar_Information!M12</f>
        <v>27/07/2018 17:22</v>
      </c>
      <c r="J26" s="55">
        <f t="shared" si="4"/>
        <v>2.9777777777781012</v>
      </c>
      <c r="K26" s="55">
        <f t="shared" si="5"/>
        <v>71.466666666674428</v>
      </c>
      <c r="L26" s="56">
        <f>Jar_Information!H12</f>
        <v>1002.1673217293657</v>
      </c>
      <c r="M26" s="55">
        <f t="shared" si="6"/>
        <v>1.8307531662533372</v>
      </c>
      <c r="N26" s="55">
        <f t="shared" si="7"/>
        <v>3.3502782942436071</v>
      </c>
      <c r="O26" s="57">
        <f t="shared" si="8"/>
        <v>0.91371226206643819</v>
      </c>
      <c r="P26" s="73">
        <v>26.485903564592896</v>
      </c>
      <c r="Q26" s="61"/>
      <c r="R26" s="61"/>
      <c r="S26" s="71">
        <f t="shared" si="9"/>
        <v>1826.7939161038921</v>
      </c>
      <c r="T26" s="72">
        <f t="shared" si="10"/>
        <v>0.18267939161038921</v>
      </c>
    </row>
    <row r="27" spans="1:20">
      <c r="A27" s="1" t="s">
        <v>20</v>
      </c>
      <c r="B27" s="50">
        <v>43311.70208333333</v>
      </c>
      <c r="C27" s="21">
        <v>5</v>
      </c>
      <c r="D27" s="59">
        <v>930.01</v>
      </c>
      <c r="E27" s="60">
        <v>218.6</v>
      </c>
      <c r="F27" s="53">
        <f t="shared" si="2"/>
        <v>1.6634736151439208E-3</v>
      </c>
      <c r="G27" s="53">
        <f t="shared" si="3"/>
        <v>1.7142473600597322E-3</v>
      </c>
      <c r="H27" s="53"/>
      <c r="I27" s="54" t="str">
        <f>Jar_Information!M13</f>
        <v>27/07/2018 17:22</v>
      </c>
      <c r="J27" s="55">
        <f t="shared" si="4"/>
        <v>2.9784722222175333</v>
      </c>
      <c r="K27" s="55">
        <f t="shared" si="5"/>
        <v>71.483333333220799</v>
      </c>
      <c r="L27" s="56">
        <f>Jar_Information!H13</f>
        <v>1002.1673217293657</v>
      </c>
      <c r="M27" s="55">
        <f t="shared" si="6"/>
        <v>1.6670788976562487</v>
      </c>
      <c r="N27" s="55">
        <f t="shared" si="7"/>
        <v>3.0507543827109354</v>
      </c>
      <c r="O27" s="57">
        <f t="shared" si="8"/>
        <v>0.83202392255752777</v>
      </c>
      <c r="P27" s="73">
        <v>26.485903564592896</v>
      </c>
      <c r="Q27" s="61"/>
      <c r="R27" s="61"/>
      <c r="S27" s="71">
        <f t="shared" si="9"/>
        <v>1663.4736151439208</v>
      </c>
      <c r="T27" s="72">
        <f t="shared" si="10"/>
        <v>0.16634736151439208</v>
      </c>
    </row>
    <row r="28" spans="1:20">
      <c r="A28" s="1" t="s">
        <v>21</v>
      </c>
      <c r="B28" s="50">
        <v>43311.702777777777</v>
      </c>
      <c r="C28" s="21">
        <v>5</v>
      </c>
      <c r="D28" s="59">
        <v>929.6</v>
      </c>
      <c r="E28" s="60">
        <v>206.11</v>
      </c>
      <c r="F28" s="53">
        <f t="shared" si="2"/>
        <v>1.6627177586884111E-3</v>
      </c>
      <c r="G28" s="53">
        <f t="shared" si="3"/>
        <v>1.6095150757232085E-3</v>
      </c>
      <c r="H28" s="53"/>
      <c r="I28" s="54" t="str">
        <f>Jar_Information!M14</f>
        <v>27/07/2018 17:30</v>
      </c>
      <c r="J28" s="55">
        <f t="shared" si="4"/>
        <v>2.9736111111124046</v>
      </c>
      <c r="K28" s="55">
        <f t="shared" si="5"/>
        <v>71.366666666697711</v>
      </c>
      <c r="L28" s="56">
        <f>Jar_Information!H14</f>
        <v>1006.9230769230769</v>
      </c>
      <c r="M28" s="55">
        <f t="shared" si="6"/>
        <v>1.674228881633177</v>
      </c>
      <c r="N28" s="55">
        <f t="shared" si="7"/>
        <v>3.063838853388714</v>
      </c>
      <c r="O28" s="57">
        <f t="shared" si="8"/>
        <v>0.83559241456055833</v>
      </c>
      <c r="P28" s="73">
        <v>26.611591631551708</v>
      </c>
      <c r="Q28" s="61"/>
      <c r="R28" s="61"/>
      <c r="S28" s="71">
        <f t="shared" si="9"/>
        <v>1662.7177586884111</v>
      </c>
      <c r="T28" s="72">
        <f t="shared" si="10"/>
        <v>0.16627177586884112</v>
      </c>
    </row>
    <row r="29" spans="1:20">
      <c r="A29" s="1" t="s">
        <v>22</v>
      </c>
      <c r="B29" s="50">
        <v>43311.70416666667</v>
      </c>
      <c r="C29" s="21">
        <v>1</v>
      </c>
      <c r="D29" s="59">
        <v>1572.1</v>
      </c>
      <c r="E29" s="60">
        <v>340.64</v>
      </c>
      <c r="F29" s="53">
        <f t="shared" si="2"/>
        <v>1.4236000655208709E-2</v>
      </c>
      <c r="G29" s="53">
        <f t="shared" si="3"/>
        <v>1.3687941356115065E-2</v>
      </c>
      <c r="H29" s="53"/>
      <c r="I29" s="54" t="str">
        <f>Jar_Information!M15</f>
        <v>27/07/2018 17:30</v>
      </c>
      <c r="J29" s="55">
        <f t="shared" si="4"/>
        <v>2.9750000000058208</v>
      </c>
      <c r="K29" s="55">
        <f t="shared" si="5"/>
        <v>71.400000000139698</v>
      </c>
      <c r="L29" s="56">
        <f>Jar_Information!H15</f>
        <v>1030.911974623315</v>
      </c>
      <c r="M29" s="55">
        <f t="shared" si="6"/>
        <v>14.676063546200016</v>
      </c>
      <c r="N29" s="55">
        <f t="shared" si="7"/>
        <v>26.857196289546032</v>
      </c>
      <c r="O29" s="57">
        <f t="shared" si="8"/>
        <v>7.3246898971489172</v>
      </c>
      <c r="P29" s="73">
        <v>27.366497554966767</v>
      </c>
      <c r="Q29" s="61"/>
      <c r="R29" s="61"/>
      <c r="S29" s="71">
        <f t="shared" si="9"/>
        <v>14236.000655208709</v>
      </c>
      <c r="T29" s="72">
        <f t="shared" si="10"/>
        <v>1.4236000655208709</v>
      </c>
    </row>
    <row r="30" spans="1:20">
      <c r="A30" s="1" t="s">
        <v>23</v>
      </c>
      <c r="B30" s="50">
        <v>43311.705555555556</v>
      </c>
      <c r="C30" s="21">
        <v>5</v>
      </c>
      <c r="D30" s="59">
        <v>539.91</v>
      </c>
      <c r="E30" s="60">
        <v>125.05</v>
      </c>
      <c r="F30" s="53">
        <f t="shared" si="2"/>
        <v>9.4430385101157129E-4</v>
      </c>
      <c r="G30" s="53">
        <f t="shared" si="3"/>
        <v>9.2980338890826582E-4</v>
      </c>
      <c r="H30" s="53"/>
      <c r="I30" s="54" t="str">
        <f>Jar_Information!M16</f>
        <v>27/07/2018 17:30</v>
      </c>
      <c r="J30" s="55">
        <f t="shared" si="4"/>
        <v>2.976388888891961</v>
      </c>
      <c r="K30" s="55">
        <f t="shared" si="5"/>
        <v>71.433333333407063</v>
      </c>
      <c r="L30" s="56">
        <f>Jar_Information!H16</f>
        <v>1020.9105809506466</v>
      </c>
      <c r="M30" s="55">
        <f t="shared" si="6"/>
        <v>0.96404979313015604</v>
      </c>
      <c r="N30" s="55">
        <f t="shared" si="7"/>
        <v>1.7642111214281857</v>
      </c>
      <c r="O30" s="57">
        <f t="shared" si="8"/>
        <v>0.48114848766223245</v>
      </c>
      <c r="P30" s="73">
        <v>26.855607956200881</v>
      </c>
      <c r="Q30" s="61"/>
      <c r="R30" s="61"/>
      <c r="S30" s="71">
        <f t="shared" si="9"/>
        <v>944.30385101157128</v>
      </c>
      <c r="T30" s="72">
        <f t="shared" si="10"/>
        <v>9.443038510115713E-2</v>
      </c>
    </row>
    <row r="31" spans="1:20">
      <c r="A31" s="1" t="s">
        <v>24</v>
      </c>
      <c r="B31" s="50">
        <v>43311.709027777775</v>
      </c>
      <c r="C31" s="21">
        <v>5</v>
      </c>
      <c r="D31" s="59">
        <v>1171.9000000000001</v>
      </c>
      <c r="E31" s="60">
        <v>266.20999999999998</v>
      </c>
      <c r="F31" s="53">
        <f t="shared" si="2"/>
        <v>2.1094104883712318E-3</v>
      </c>
      <c r="G31" s="53">
        <f t="shared" si="3"/>
        <v>2.1134710636035192E-3</v>
      </c>
      <c r="H31" s="53"/>
      <c r="I31" s="54" t="str">
        <f>Jar_Information!M17</f>
        <v>27/07/2018 17:30</v>
      </c>
      <c r="J31" s="55">
        <f t="shared" si="4"/>
        <v>2.9798611111109494</v>
      </c>
      <c r="K31" s="55">
        <f t="shared" si="5"/>
        <v>71.516666666662786</v>
      </c>
      <c r="L31" s="56">
        <f>Jar_Information!H17</f>
        <v>1030.5926189758623</v>
      </c>
      <c r="M31" s="55">
        <f t="shared" si="6"/>
        <v>2.1739428797056606</v>
      </c>
      <c r="N31" s="55">
        <f t="shared" si="7"/>
        <v>3.978315469861359</v>
      </c>
      <c r="O31" s="57">
        <f t="shared" si="8"/>
        <v>1.0849951281440069</v>
      </c>
      <c r="P31" s="73">
        <v>27.110299231101873</v>
      </c>
      <c r="Q31" s="61"/>
      <c r="R31" s="61"/>
      <c r="S31" s="71">
        <f t="shared" si="9"/>
        <v>2109.4104883712316</v>
      </c>
      <c r="T31" s="72">
        <f t="shared" si="10"/>
        <v>0.2109410488371232</v>
      </c>
    </row>
    <row r="32" spans="1:20">
      <c r="A32" s="1" t="s">
        <v>25</v>
      </c>
      <c r="B32" s="50">
        <v>43311.711805555555</v>
      </c>
      <c r="C32" s="21">
        <v>2</v>
      </c>
      <c r="D32" s="59">
        <v>1245.5999999999999</v>
      </c>
      <c r="E32" s="60">
        <v>275.75</v>
      </c>
      <c r="F32" s="53">
        <f t="shared" si="2"/>
        <v>5.6132007378247341E-3</v>
      </c>
      <c r="G32" s="53">
        <f t="shared" si="3"/>
        <v>5.4836668488747785E-3</v>
      </c>
      <c r="H32" s="53"/>
      <c r="I32" s="54" t="str">
        <f>Jar_Information!M18</f>
        <v>27/07/2018 17:39</v>
      </c>
      <c r="J32" s="55">
        <f t="shared" si="4"/>
        <v>2.976388888884685</v>
      </c>
      <c r="K32" s="55">
        <f t="shared" si="5"/>
        <v>71.43333333323244</v>
      </c>
      <c r="L32" s="56">
        <f>Jar_Information!H18</f>
        <v>1025.7444703328972</v>
      </c>
      <c r="M32" s="55">
        <f t="shared" si="6"/>
        <v>5.7577096176922593</v>
      </c>
      <c r="N32" s="55">
        <f t="shared" si="7"/>
        <v>10.536608600376836</v>
      </c>
      <c r="O32" s="57">
        <f t="shared" si="8"/>
        <v>2.8736205273755004</v>
      </c>
      <c r="P32" s="73">
        <v>26.982766044848059</v>
      </c>
      <c r="Q32" s="61"/>
      <c r="R32" s="61"/>
      <c r="S32" s="71">
        <f t="shared" si="9"/>
        <v>5613.2007378247345</v>
      </c>
      <c r="T32" s="72">
        <f t="shared" si="10"/>
        <v>0.56132007378247339</v>
      </c>
    </row>
    <row r="33" spans="1:20">
      <c r="A33" s="1" t="s">
        <v>26</v>
      </c>
      <c r="B33" s="50">
        <v>43311.714583333334</v>
      </c>
      <c r="C33" s="21">
        <v>5</v>
      </c>
      <c r="D33" s="59">
        <v>804.16</v>
      </c>
      <c r="E33" s="60">
        <v>185.5</v>
      </c>
      <c r="F33" s="53">
        <f t="shared" si="2"/>
        <v>1.4314625543491086E-3</v>
      </c>
      <c r="G33" s="53">
        <f t="shared" si="3"/>
        <v>1.4366942286314741E-3</v>
      </c>
      <c r="H33" s="61"/>
      <c r="I33" s="54" t="str">
        <f>Jar_Information!M19</f>
        <v>27/07/2018 17:39</v>
      </c>
      <c r="J33" s="55">
        <f t="shared" si="4"/>
        <v>2.9791666666642413</v>
      </c>
      <c r="K33" s="55">
        <f t="shared" si="5"/>
        <v>71.499999999941792</v>
      </c>
      <c r="L33" s="56">
        <f>Jar_Information!H19</f>
        <v>1030.5926189758623</v>
      </c>
      <c r="M33" s="55">
        <f t="shared" si="6"/>
        <v>1.4752547428525253</v>
      </c>
      <c r="N33" s="55">
        <f t="shared" si="7"/>
        <v>2.6997161794201214</v>
      </c>
      <c r="O33" s="57">
        <f t="shared" si="8"/>
        <v>0.73628623075094213</v>
      </c>
      <c r="P33" s="73">
        <v>27.110299231101873</v>
      </c>
      <c r="Q33" s="61"/>
      <c r="R33" s="61"/>
      <c r="S33" s="71">
        <f t="shared" si="9"/>
        <v>1431.4625543491086</v>
      </c>
      <c r="T33" s="72">
        <f t="shared" si="10"/>
        <v>0.14314625543491086</v>
      </c>
    </row>
    <row r="34" spans="1:20">
      <c r="A34" s="1" t="s">
        <v>27</v>
      </c>
      <c r="B34" s="50">
        <v>43311.715277777781</v>
      </c>
      <c r="C34" s="21">
        <v>5</v>
      </c>
      <c r="D34" s="59">
        <v>950.84</v>
      </c>
      <c r="E34" s="60">
        <v>223.98</v>
      </c>
      <c r="F34" s="53">
        <f t="shared" si="2"/>
        <v>1.7018748101884653E-3</v>
      </c>
      <c r="G34" s="53">
        <f t="shared" si="3"/>
        <v>1.7593602255305484E-3</v>
      </c>
      <c r="H34" s="61"/>
      <c r="I34" s="54" t="str">
        <f>Jar_Information!M20</f>
        <v>27/07/2018 17:39</v>
      </c>
      <c r="J34" s="55">
        <f t="shared" si="4"/>
        <v>2.9798611111109494</v>
      </c>
      <c r="K34" s="55">
        <f t="shared" si="5"/>
        <v>71.516666666662786</v>
      </c>
      <c r="L34" s="56">
        <f>Jar_Information!H20</f>
        <v>1040.3319471669079</v>
      </c>
      <c r="M34" s="55">
        <f t="shared" si="6"/>
        <v>1.7705147351176778</v>
      </c>
      <c r="N34" s="55">
        <f t="shared" si="7"/>
        <v>3.2400419652653505</v>
      </c>
      <c r="O34" s="57">
        <f t="shared" si="8"/>
        <v>0.88364780870873194</v>
      </c>
      <c r="P34" s="73">
        <v>27.366497554966767</v>
      </c>
      <c r="Q34" s="61"/>
      <c r="R34" s="61"/>
      <c r="S34" s="71">
        <f t="shared" si="9"/>
        <v>1701.8748101884653</v>
      </c>
      <c r="T34" s="72">
        <f t="shared" si="10"/>
        <v>0.17018748101884654</v>
      </c>
    </row>
    <row r="35" spans="1:20">
      <c r="A35" s="1" t="s">
        <v>28</v>
      </c>
      <c r="B35" s="50">
        <v>43311.716666666667</v>
      </c>
      <c r="C35" s="21">
        <v>5</v>
      </c>
      <c r="D35" s="59">
        <v>756.41</v>
      </c>
      <c r="E35" s="60">
        <v>175.87</v>
      </c>
      <c r="F35" s="53">
        <f t="shared" si="2"/>
        <v>1.3434329305672074E-3</v>
      </c>
      <c r="G35" s="53">
        <f t="shared" si="3"/>
        <v>1.3559438764969083E-3</v>
      </c>
      <c r="H35" s="61"/>
      <c r="I35" s="54" t="str">
        <f>Jar_Information!M21</f>
        <v>27/07/2018 17:39</v>
      </c>
      <c r="J35" s="55">
        <f t="shared" si="4"/>
        <v>2.9812499999970896</v>
      </c>
      <c r="K35" s="55">
        <f t="shared" si="5"/>
        <v>71.549999999930151</v>
      </c>
      <c r="L35" s="56">
        <f>Jar_Information!H21</f>
        <v>1055.0494758003301</v>
      </c>
      <c r="M35" s="55">
        <f t="shared" si="6"/>
        <v>1.4173882091678334</v>
      </c>
      <c r="N35" s="55">
        <f t="shared" si="7"/>
        <v>2.5938204227771351</v>
      </c>
      <c r="O35" s="57">
        <f t="shared" si="8"/>
        <v>0.70740556984830949</v>
      </c>
      <c r="P35" s="74">
        <v>27.753650148385191</v>
      </c>
      <c r="S35" s="71">
        <f t="shared" si="9"/>
        <v>1343.4329305672074</v>
      </c>
      <c r="T35" s="72">
        <f t="shared" si="10"/>
        <v>0.13434329305672074</v>
      </c>
    </row>
    <row r="36" spans="1:20">
      <c r="A36" s="1" t="s">
        <v>29</v>
      </c>
      <c r="B36" s="50">
        <v>43311.718055555553</v>
      </c>
      <c r="C36" s="21">
        <v>1</v>
      </c>
      <c r="D36" s="59">
        <v>483.19</v>
      </c>
      <c r="E36" s="60">
        <v>115.1</v>
      </c>
      <c r="F36" s="53">
        <f t="shared" si="2"/>
        <v>4.198687814124932E-3</v>
      </c>
      <c r="G36" s="53">
        <f t="shared" si="3"/>
        <v>4.2318487183009706E-3</v>
      </c>
      <c r="H36" s="61"/>
      <c r="I36" s="54" t="str">
        <f>Jar_Information!M22</f>
        <v>27/07/2018 17:39</v>
      </c>
      <c r="J36" s="55">
        <f t="shared" si="4"/>
        <v>2.9826388888832298</v>
      </c>
      <c r="K36" s="55">
        <f t="shared" si="5"/>
        <v>71.583333333197515</v>
      </c>
      <c r="L36" s="56">
        <f>Jar_Information!H22</f>
        <v>1030.5926189758623</v>
      </c>
      <c r="M36" s="55">
        <f t="shared" si="6"/>
        <v>4.3271366706210523</v>
      </c>
      <c r="N36" s="55">
        <f t="shared" si="7"/>
        <v>7.9186601072365264</v>
      </c>
      <c r="O36" s="57">
        <f t="shared" si="8"/>
        <v>2.1596345747008705</v>
      </c>
      <c r="P36" s="74">
        <v>27.110299231101873</v>
      </c>
      <c r="S36" s="71">
        <f t="shared" si="9"/>
        <v>4198.6878141249317</v>
      </c>
      <c r="T36" s="72">
        <f t="shared" si="10"/>
        <v>0.41986878141249317</v>
      </c>
    </row>
    <row r="37" spans="1:20">
      <c r="A37" s="62"/>
      <c r="B37" s="50"/>
    </row>
    <row r="38" spans="1:20">
      <c r="A38" s="62"/>
      <c r="B38" s="50"/>
    </row>
    <row r="39" spans="1:20">
      <c r="A39" s="62"/>
      <c r="B39" s="50"/>
    </row>
    <row r="40" spans="1:20">
      <c r="A40" s="62"/>
      <c r="B40" s="50"/>
    </row>
  </sheetData>
  <conditionalFormatting sqref="N17:N36">
    <cfRule type="cellIs" dxfId="19" priority="1" operator="greaterThan">
      <formula>25.1</formula>
    </cfRule>
    <cfRule type="cellIs" dxfId="18" priority="2" operator="lessThan">
      <formula>25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B13" sqref="B13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43314</v>
      </c>
      <c r="C3" s="32">
        <v>3015</v>
      </c>
      <c r="D3" s="22">
        <v>1672.3</v>
      </c>
      <c r="E3" s="33">
        <v>413.59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43314</v>
      </c>
      <c r="C4" s="32">
        <v>3015</v>
      </c>
      <c r="D4" s="33">
        <v>1481.7</v>
      </c>
      <c r="E4" s="33">
        <v>344.46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43314</v>
      </c>
      <c r="C5" s="32">
        <v>3015</v>
      </c>
      <c r="D5" s="22">
        <v>1344.4</v>
      </c>
      <c r="E5" s="33">
        <v>321.94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43314</v>
      </c>
      <c r="C6" s="32">
        <v>3015</v>
      </c>
      <c r="D6" s="33">
        <v>1165.4000000000001</v>
      </c>
      <c r="E6" s="33">
        <v>279.77999999999997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43314</v>
      </c>
      <c r="C7" s="32">
        <v>3015</v>
      </c>
      <c r="D7" s="22">
        <v>1041.8</v>
      </c>
      <c r="E7" s="33">
        <v>245.98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43314</v>
      </c>
      <c r="C8" s="32">
        <v>3015</v>
      </c>
      <c r="D8" s="33">
        <v>851.8</v>
      </c>
      <c r="E8" s="33">
        <v>220.69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43314</v>
      </c>
      <c r="C9" s="32">
        <v>3015</v>
      </c>
      <c r="D9" s="22">
        <v>684.38</v>
      </c>
      <c r="E9" s="33">
        <v>177.23</v>
      </c>
      <c r="F9" s="34">
        <f t="shared" si="0"/>
        <v>6.03</v>
      </c>
      <c r="G9" s="37" t="s">
        <v>112</v>
      </c>
      <c r="H9" s="37"/>
      <c r="I9" s="38">
        <f>SLOPE(F3:F13,D3:D13)</f>
        <v>9.0479247733228317E-3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43314</v>
      </c>
      <c r="C10" s="32">
        <v>3015</v>
      </c>
      <c r="D10" s="22">
        <v>508.03</v>
      </c>
      <c r="E10" s="33">
        <v>126.78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-0.21646022041185287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43314</v>
      </c>
      <c r="C11" s="32">
        <v>3015</v>
      </c>
      <c r="D11" s="22">
        <v>372.35</v>
      </c>
      <c r="E11" s="33">
        <v>98.191000000000003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43314</v>
      </c>
      <c r="C12" s="32">
        <v>3015</v>
      </c>
      <c r="D12" s="39">
        <v>134.65</v>
      </c>
      <c r="E12" s="39">
        <v>38.578000000000003</v>
      </c>
      <c r="F12" s="34">
        <f t="shared" si="0"/>
        <v>1.206</v>
      </c>
      <c r="G12" s="40" t="s">
        <v>114</v>
      </c>
      <c r="H12" s="40"/>
      <c r="I12" s="41">
        <f>SLOPE(F3:F13,E3:E13)</f>
        <v>3.8343635160375547E-2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43314</v>
      </c>
      <c r="C13" s="32">
        <v>3015</v>
      </c>
      <c r="D13" s="39">
        <v>70.087000000000003</v>
      </c>
      <c r="E13" s="39">
        <v>22.059000000000001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-0.52465821933401902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>
        <v>43314.427083333336</v>
      </c>
      <c r="C17" s="21">
        <v>1</v>
      </c>
      <c r="D17" s="51">
        <v>1467</v>
      </c>
      <c r="E17" s="52"/>
      <c r="F17" s="53">
        <f>((I$9*D17)+I$10)/C17/1000</f>
        <v>1.3056845422052743E-2</v>
      </c>
      <c r="G17" s="53">
        <f>((I$12*E17)+I$13)/C17/1000</f>
        <v>-5.2465821933401905E-4</v>
      </c>
      <c r="H17" s="53"/>
      <c r="I17" s="54" t="str">
        <f>Jar_Information!M3</f>
        <v>27/07/2018 16:50</v>
      </c>
      <c r="J17" s="55">
        <f t="shared" ref="J17:J36" si="1">B17-I17</f>
        <v>5.7256944444452529</v>
      </c>
      <c r="K17" s="55">
        <f>J17*24</f>
        <v>137.41666666668607</v>
      </c>
      <c r="L17" s="56">
        <f>Jar_Information!H3</f>
        <v>1035.7522123893805</v>
      </c>
      <c r="M17" s="55">
        <f>F17*L17</f>
        <v>13.523656532717283</v>
      </c>
      <c r="N17" s="55">
        <f>M17*1.83</f>
        <v>24.748291454872628</v>
      </c>
      <c r="O17" s="57">
        <f>N17*(12/(12+(16*2)))</f>
        <v>6.7495340331470803</v>
      </c>
      <c r="P17" s="55">
        <v>27.373506019753322</v>
      </c>
      <c r="Q17" s="79"/>
      <c r="R17" s="58"/>
      <c r="S17" s="71">
        <f>F17*1000000</f>
        <v>13056.845422052742</v>
      </c>
      <c r="T17" s="72">
        <f>M17/L17*100</f>
        <v>1.3056845422052743</v>
      </c>
    </row>
    <row r="18" spans="1:20">
      <c r="A18" s="1" t="s">
        <v>11</v>
      </c>
      <c r="B18" s="50">
        <v>43311.692361111112</v>
      </c>
      <c r="C18" s="21">
        <v>1</v>
      </c>
      <c r="D18" s="59">
        <v>1501.5</v>
      </c>
      <c r="E18" s="60"/>
      <c r="F18" s="53">
        <f t="shared" ref="F18:F36" si="2">((I$9*D18)+I$10)/C18/1000</f>
        <v>1.336899882673238E-2</v>
      </c>
      <c r="G18" s="53">
        <f t="shared" ref="G18:G36" si="3">((I$12*E18)+I$13)/C18/1000</f>
        <v>-5.2465821933401905E-4</v>
      </c>
      <c r="H18" s="53"/>
      <c r="I18" s="54" t="str">
        <f>Jar_Information!M4</f>
        <v>27/07/2018 16:50</v>
      </c>
      <c r="J18" s="55">
        <f t="shared" si="1"/>
        <v>2.9909722222218988</v>
      </c>
      <c r="K18" s="55">
        <f t="shared" ref="K18:K36" si="4">J18*24</f>
        <v>71.783333333325572</v>
      </c>
      <c r="L18" s="56">
        <f>Jar_Information!H4</f>
        <v>1006.9230769230769</v>
      </c>
      <c r="M18" s="55">
        <f t="shared" ref="M18:M36" si="5">F18*L18</f>
        <v>13.461553433994373</v>
      </c>
      <c r="N18" s="55">
        <f t="shared" ref="N18:N36" si="6">M18*1.83</f>
        <v>24.634642784209703</v>
      </c>
      <c r="O18" s="57">
        <f t="shared" ref="O18:O36" si="7">N18*(12/(12+(16*2)))</f>
        <v>6.7185389411481005</v>
      </c>
      <c r="P18" s="55">
        <v>26.611591631551708</v>
      </c>
      <c r="Q18" s="77"/>
      <c r="R18" s="58"/>
      <c r="S18" s="71">
        <f t="shared" ref="S18:S36" si="8">F18*1000000</f>
        <v>13368.998826732381</v>
      </c>
      <c r="T18" s="72">
        <f t="shared" ref="T18:T36" si="9">M18/L18*100</f>
        <v>1.3368998826732381</v>
      </c>
    </row>
    <row r="19" spans="1:20">
      <c r="A19" s="1" t="s">
        <v>12</v>
      </c>
      <c r="B19" s="50">
        <v>43311.693055555559</v>
      </c>
      <c r="C19" s="21">
        <v>1</v>
      </c>
      <c r="D19" s="59">
        <v>1567</v>
      </c>
      <c r="E19" s="60"/>
      <c r="F19" s="53">
        <f t="shared" si="2"/>
        <v>1.3961637899385025E-2</v>
      </c>
      <c r="G19" s="53">
        <f t="shared" si="3"/>
        <v>-5.2465821933401905E-4</v>
      </c>
      <c r="H19" s="53"/>
      <c r="I19" s="54" t="str">
        <f>Jar_Information!M5</f>
        <v>27/07/2018 16:50</v>
      </c>
      <c r="J19" s="55">
        <f t="shared" si="1"/>
        <v>2.9916666666686069</v>
      </c>
      <c r="K19" s="55">
        <f t="shared" si="4"/>
        <v>71.800000000046566</v>
      </c>
      <c r="L19" s="56">
        <f>Jar_Information!H5</f>
        <v>1035.7522123893805</v>
      </c>
      <c r="M19" s="55">
        <f t="shared" si="5"/>
        <v>14.460797342867464</v>
      </c>
      <c r="N19" s="55">
        <f t="shared" si="6"/>
        <v>26.463259137447459</v>
      </c>
      <c r="O19" s="57">
        <f t="shared" si="7"/>
        <v>7.2172524920311245</v>
      </c>
      <c r="P19" s="55">
        <v>27.373506019753343</v>
      </c>
      <c r="Q19" s="77"/>
      <c r="R19" s="58"/>
      <c r="S19" s="71">
        <f t="shared" si="8"/>
        <v>13961.637899385025</v>
      </c>
      <c r="T19" s="72">
        <f t="shared" si="9"/>
        <v>1.3961637899385027</v>
      </c>
    </row>
    <row r="20" spans="1:20">
      <c r="A20" s="1" t="s">
        <v>13</v>
      </c>
      <c r="B20" s="50">
        <v>43311.694444444445</v>
      </c>
      <c r="C20" s="21">
        <v>5</v>
      </c>
      <c r="D20" s="59">
        <v>1020.5</v>
      </c>
      <c r="E20" s="60"/>
      <c r="F20" s="53">
        <f t="shared" si="2"/>
        <v>1.8033894021528192E-3</v>
      </c>
      <c r="G20" s="53">
        <f t="shared" si="3"/>
        <v>-1.049316438668038E-4</v>
      </c>
      <c r="H20" s="53"/>
      <c r="I20" s="54" t="str">
        <f>Jar_Information!M6</f>
        <v>27/07/2018 16:50</v>
      </c>
      <c r="J20" s="55">
        <f t="shared" si="1"/>
        <v>2.9930555555547471</v>
      </c>
      <c r="K20" s="55">
        <f t="shared" si="4"/>
        <v>71.833333333313931</v>
      </c>
      <c r="L20" s="56">
        <f>Jar_Information!H6</f>
        <v>1006.9230769230769</v>
      </c>
      <c r="M20" s="55">
        <f t="shared" si="5"/>
        <v>1.8158744057061849</v>
      </c>
      <c r="N20" s="55">
        <f t="shared" si="6"/>
        <v>3.3230501624423185</v>
      </c>
      <c r="O20" s="57">
        <f t="shared" si="7"/>
        <v>0.9062864079388141</v>
      </c>
      <c r="P20" s="55">
        <v>26.611591631551708</v>
      </c>
      <c r="Q20" s="58"/>
      <c r="R20" s="58"/>
      <c r="S20" s="71">
        <f t="shared" si="8"/>
        <v>1803.3894021528192</v>
      </c>
      <c r="T20" s="72">
        <f t="shared" si="9"/>
        <v>0.18033894021528191</v>
      </c>
    </row>
    <row r="21" spans="1:20">
      <c r="A21" s="1" t="s">
        <v>14</v>
      </c>
      <c r="B21" s="50">
        <v>43311.695833333331</v>
      </c>
      <c r="C21" s="21">
        <v>5</v>
      </c>
      <c r="D21" s="59">
        <v>938.59</v>
      </c>
      <c r="E21" s="60"/>
      <c r="F21" s="53">
        <f t="shared" si="2"/>
        <v>1.6551662985162452E-3</v>
      </c>
      <c r="G21" s="53">
        <f t="shared" si="3"/>
        <v>-1.049316438668038E-4</v>
      </c>
      <c r="H21" s="53"/>
      <c r="I21" s="54" t="str">
        <f>Jar_Information!M7</f>
        <v>27/07/2018 16:50</v>
      </c>
      <c r="J21" s="55">
        <f t="shared" si="1"/>
        <v>2.9944444444408873</v>
      </c>
      <c r="K21" s="55">
        <f t="shared" si="4"/>
        <v>71.866666666581295</v>
      </c>
      <c r="L21" s="56">
        <f>Jar_Information!H7</f>
        <v>1026.0859728506789</v>
      </c>
      <c r="M21" s="55">
        <f t="shared" si="5"/>
        <v>1.6983429216426986</v>
      </c>
      <c r="N21" s="55">
        <f t="shared" si="6"/>
        <v>3.1079675466061385</v>
      </c>
      <c r="O21" s="57">
        <f t="shared" si="7"/>
        <v>0.84762751271076497</v>
      </c>
      <c r="P21" s="55">
        <v>27.118040607238672</v>
      </c>
      <c r="Q21" s="58"/>
      <c r="R21" s="58"/>
      <c r="S21" s="71">
        <f t="shared" si="8"/>
        <v>1655.1662985162452</v>
      </c>
      <c r="T21" s="72">
        <f t="shared" si="9"/>
        <v>0.16551662985162452</v>
      </c>
    </row>
    <row r="22" spans="1:20">
      <c r="A22" s="1" t="s">
        <v>15</v>
      </c>
      <c r="B22" s="50">
        <v>43311.695833333331</v>
      </c>
      <c r="C22" s="21">
        <v>5</v>
      </c>
      <c r="D22" s="59">
        <v>1009.1</v>
      </c>
      <c r="E22" s="60"/>
      <c r="F22" s="53">
        <f t="shared" si="2"/>
        <v>1.7827601336696433E-3</v>
      </c>
      <c r="G22" s="53">
        <f t="shared" si="3"/>
        <v>-1.049316438668038E-4</v>
      </c>
      <c r="H22" s="53"/>
      <c r="I22" s="54" t="str">
        <f>Jar_Information!M8</f>
        <v>27/07/2018 16:50</v>
      </c>
      <c r="J22" s="55">
        <f t="shared" si="1"/>
        <v>2.9944444444408873</v>
      </c>
      <c r="K22" s="55">
        <f t="shared" si="4"/>
        <v>71.866666666581295</v>
      </c>
      <c r="L22" s="56">
        <f>Jar_Information!H8</f>
        <v>1002.1673217293657</v>
      </c>
      <c r="M22" s="55">
        <f t="shared" si="5"/>
        <v>1.7866239484455924</v>
      </c>
      <c r="N22" s="55">
        <f t="shared" si="6"/>
        <v>3.2695218256554339</v>
      </c>
      <c r="O22" s="57">
        <f t="shared" si="7"/>
        <v>0.89168777063330007</v>
      </c>
      <c r="P22" s="55">
        <v>26.485903564592896</v>
      </c>
      <c r="Q22" s="58"/>
      <c r="R22" s="58"/>
      <c r="S22" s="71">
        <f t="shared" si="8"/>
        <v>1782.7601336696432</v>
      </c>
      <c r="T22" s="72">
        <f t="shared" si="9"/>
        <v>0.17827601336696433</v>
      </c>
    </row>
    <row r="23" spans="1:20">
      <c r="A23" s="1" t="s">
        <v>16</v>
      </c>
      <c r="B23" s="50">
        <v>43311.697916666664</v>
      </c>
      <c r="C23" s="21">
        <v>0.4</v>
      </c>
      <c r="D23" s="59">
        <v>948.99</v>
      </c>
      <c r="E23" s="60"/>
      <c r="F23" s="53">
        <f t="shared" si="2"/>
        <v>2.0924824775559455E-2</v>
      </c>
      <c r="G23" s="53">
        <f t="shared" si="3"/>
        <v>-1.3116455483350475E-3</v>
      </c>
      <c r="H23" s="53"/>
      <c r="I23" s="54" t="str">
        <f>Jar_Information!M9</f>
        <v>27/07/2018 17:22</v>
      </c>
      <c r="J23" s="55">
        <f t="shared" si="1"/>
        <v>2.9743055555518367</v>
      </c>
      <c r="K23" s="55">
        <f t="shared" si="4"/>
        <v>71.383333333244082</v>
      </c>
      <c r="L23" s="56">
        <f>Jar_Information!H9</f>
        <v>1040.6067492330417</v>
      </c>
      <c r="M23" s="55">
        <f t="shared" si="5"/>
        <v>21.774513887965934</v>
      </c>
      <c r="N23" s="55">
        <f t="shared" si="6"/>
        <v>39.847360414977665</v>
      </c>
      <c r="O23" s="57">
        <f t="shared" si="7"/>
        <v>10.867461931357544</v>
      </c>
      <c r="P23" s="55">
        <v>27.501804749819797</v>
      </c>
      <c r="Q23" s="77"/>
      <c r="R23" s="58"/>
      <c r="S23" s="71">
        <f t="shared" si="8"/>
        <v>20924.824775559457</v>
      </c>
      <c r="T23" s="72">
        <f t="shared" si="9"/>
        <v>2.0924824775559454</v>
      </c>
    </row>
    <row r="24" spans="1:20">
      <c r="A24" s="1" t="s">
        <v>17</v>
      </c>
      <c r="B24" s="50">
        <v>43311.699305555558</v>
      </c>
      <c r="C24" s="21">
        <v>0.4</v>
      </c>
      <c r="D24" s="59">
        <v>1027.4000000000001</v>
      </c>
      <c r="E24" s="60"/>
      <c r="F24" s="53">
        <f t="shared" si="2"/>
        <v>2.2698444229250062E-2</v>
      </c>
      <c r="G24" s="53">
        <f t="shared" si="3"/>
        <v>-1.3116455483350475E-3</v>
      </c>
      <c r="H24" s="53"/>
      <c r="I24" s="54" t="str">
        <f>Jar_Information!M10</f>
        <v>27/07/2018 17:22</v>
      </c>
      <c r="J24" s="55">
        <f t="shared" si="1"/>
        <v>2.9756944444452529</v>
      </c>
      <c r="K24" s="55">
        <f t="shared" si="4"/>
        <v>71.416666666686069</v>
      </c>
      <c r="L24" s="56">
        <f>Jar_Information!H10</f>
        <v>1026.0859728506789</v>
      </c>
      <c r="M24" s="55">
        <f t="shared" si="5"/>
        <v>23.290555229166927</v>
      </c>
      <c r="N24" s="55">
        <f t="shared" si="6"/>
        <v>42.621716069375481</v>
      </c>
      <c r="O24" s="57">
        <f t="shared" si="7"/>
        <v>11.624104382556949</v>
      </c>
      <c r="P24" s="55">
        <v>27.118040607238672</v>
      </c>
      <c r="Q24" s="77"/>
      <c r="R24" s="58"/>
      <c r="S24" s="71">
        <f t="shared" si="8"/>
        <v>22698.444229250061</v>
      </c>
      <c r="T24" s="72">
        <f t="shared" si="9"/>
        <v>2.2698444229250061</v>
      </c>
    </row>
    <row r="25" spans="1:20">
      <c r="A25" s="1" t="s">
        <v>18</v>
      </c>
      <c r="B25" s="50">
        <v>43311.7</v>
      </c>
      <c r="C25" s="21">
        <v>0.4</v>
      </c>
      <c r="D25" s="59">
        <v>1065.7</v>
      </c>
      <c r="E25" s="60"/>
      <c r="F25" s="53">
        <f t="shared" si="2"/>
        <v>2.3564783026295721E-2</v>
      </c>
      <c r="G25" s="53">
        <f t="shared" si="3"/>
        <v>-1.3116455483350475E-3</v>
      </c>
      <c r="H25" s="53"/>
      <c r="I25" s="54" t="str">
        <f>Jar_Information!M11</f>
        <v>27/07/2018 17:22</v>
      </c>
      <c r="J25" s="55">
        <f t="shared" si="1"/>
        <v>2.976388888884685</v>
      </c>
      <c r="K25" s="55">
        <f t="shared" si="4"/>
        <v>71.43333333323244</v>
      </c>
      <c r="L25" s="56">
        <f>Jar_Information!H11</f>
        <v>1030.911974623315</v>
      </c>
      <c r="M25" s="55">
        <f t="shared" si="5"/>
        <v>24.2932170012085</v>
      </c>
      <c r="N25" s="55">
        <f t="shared" si="6"/>
        <v>44.456587112211558</v>
      </c>
      <c r="O25" s="57">
        <f t="shared" si="7"/>
        <v>12.124523757875879</v>
      </c>
      <c r="P25" s="73">
        <v>27.245585194635542</v>
      </c>
      <c r="Q25" s="78"/>
      <c r="R25" s="61"/>
      <c r="S25" s="71">
        <f t="shared" si="8"/>
        <v>23564.783026295721</v>
      </c>
      <c r="T25" s="72">
        <f t="shared" si="9"/>
        <v>2.3564783026295721</v>
      </c>
    </row>
    <row r="26" spans="1:20">
      <c r="A26" s="1" t="s">
        <v>19</v>
      </c>
      <c r="B26" s="50">
        <v>43311.701388888891</v>
      </c>
      <c r="C26" s="21">
        <v>2</v>
      </c>
      <c r="D26" s="59">
        <v>982.09</v>
      </c>
      <c r="E26" s="60"/>
      <c r="F26" s="53">
        <f t="shared" si="2"/>
        <v>4.334708110110384E-3</v>
      </c>
      <c r="G26" s="53">
        <f t="shared" si="3"/>
        <v>-2.6232910966700952E-4</v>
      </c>
      <c r="H26" s="53"/>
      <c r="I26" s="54" t="str">
        <f>Jar_Information!M12</f>
        <v>27/07/2018 17:22</v>
      </c>
      <c r="J26" s="55">
        <f t="shared" si="1"/>
        <v>2.9777777777781012</v>
      </c>
      <c r="K26" s="55">
        <f t="shared" si="4"/>
        <v>71.466666666674428</v>
      </c>
      <c r="L26" s="56">
        <f>Jar_Information!H12</f>
        <v>1002.1673217293657</v>
      </c>
      <c r="M26" s="55">
        <f t="shared" si="5"/>
        <v>4.3441028171878839</v>
      </c>
      <c r="N26" s="55">
        <f t="shared" si="6"/>
        <v>7.9497081554538278</v>
      </c>
      <c r="O26" s="57">
        <f t="shared" si="7"/>
        <v>2.1681022242146804</v>
      </c>
      <c r="P26" s="73">
        <v>26.485903564592896</v>
      </c>
      <c r="Q26" s="61"/>
      <c r="R26" s="61"/>
      <c r="S26" s="71">
        <f t="shared" si="8"/>
        <v>4334.708110110384</v>
      </c>
      <c r="T26" s="72">
        <f t="shared" si="9"/>
        <v>0.4334708110110384</v>
      </c>
    </row>
    <row r="27" spans="1:20">
      <c r="A27" s="1" t="s">
        <v>20</v>
      </c>
      <c r="B27" s="50">
        <v>43311.70208333333</v>
      </c>
      <c r="C27" s="21">
        <v>2</v>
      </c>
      <c r="D27" s="59">
        <v>990.5</v>
      </c>
      <c r="E27" s="60"/>
      <c r="F27" s="53">
        <f t="shared" si="2"/>
        <v>4.3727546337822059E-3</v>
      </c>
      <c r="G27" s="53">
        <f t="shared" si="3"/>
        <v>-2.6232910966700952E-4</v>
      </c>
      <c r="H27" s="53"/>
      <c r="I27" s="54" t="str">
        <f>Jar_Information!M13</f>
        <v>27/07/2018 17:22</v>
      </c>
      <c r="J27" s="55">
        <f t="shared" si="1"/>
        <v>2.9784722222175333</v>
      </c>
      <c r="K27" s="55">
        <f t="shared" si="4"/>
        <v>71.483333333220799</v>
      </c>
      <c r="L27" s="56">
        <f>Jar_Information!H13</f>
        <v>1002.1673217293657</v>
      </c>
      <c r="M27" s="55">
        <f t="shared" si="5"/>
        <v>4.3822317999171867</v>
      </c>
      <c r="N27" s="55">
        <f t="shared" si="6"/>
        <v>8.0194841938484522</v>
      </c>
      <c r="O27" s="57">
        <f t="shared" si="7"/>
        <v>2.1871320528677596</v>
      </c>
      <c r="P27" s="73">
        <v>26.485903564592896</v>
      </c>
      <c r="Q27" s="61"/>
      <c r="R27" s="61"/>
      <c r="S27" s="71">
        <f t="shared" si="8"/>
        <v>4372.7546337822059</v>
      </c>
      <c r="T27" s="72">
        <f t="shared" si="9"/>
        <v>0.4372754633782206</v>
      </c>
    </row>
    <row r="28" spans="1:20">
      <c r="A28" s="1" t="s">
        <v>21</v>
      </c>
      <c r="B28" s="50">
        <v>43311.702777777777</v>
      </c>
      <c r="C28" s="21">
        <v>2</v>
      </c>
      <c r="D28" s="59">
        <v>1013.1</v>
      </c>
      <c r="E28" s="60"/>
      <c r="F28" s="53">
        <f t="shared" si="2"/>
        <v>4.4749961837207532E-3</v>
      </c>
      <c r="G28" s="53">
        <f t="shared" si="3"/>
        <v>-2.6232910966700952E-4</v>
      </c>
      <c r="H28" s="53"/>
      <c r="I28" s="54" t="str">
        <f>Jar_Information!M14</f>
        <v>27/07/2018 17:30</v>
      </c>
      <c r="J28" s="55">
        <f t="shared" si="1"/>
        <v>2.9736111111124046</v>
      </c>
      <c r="K28" s="55">
        <f t="shared" si="4"/>
        <v>71.366666666697711</v>
      </c>
      <c r="L28" s="56">
        <f>Jar_Information!H14</f>
        <v>1006.9230769230769</v>
      </c>
      <c r="M28" s="55">
        <f t="shared" si="5"/>
        <v>4.5059769265311278</v>
      </c>
      <c r="N28" s="55">
        <f t="shared" si="6"/>
        <v>8.2459377755519636</v>
      </c>
      <c r="O28" s="57">
        <f t="shared" si="7"/>
        <v>2.2488921206050807</v>
      </c>
      <c r="P28" s="73">
        <v>26.611591631551708</v>
      </c>
      <c r="Q28" s="61"/>
      <c r="R28" s="61"/>
      <c r="S28" s="71">
        <f t="shared" si="8"/>
        <v>4474.9961837207529</v>
      </c>
      <c r="T28" s="72">
        <f t="shared" si="9"/>
        <v>0.4474996183720753</v>
      </c>
    </row>
    <row r="29" spans="1:20">
      <c r="A29" s="1" t="s">
        <v>22</v>
      </c>
      <c r="B29" s="50">
        <v>43311.70416666667</v>
      </c>
      <c r="C29" s="21">
        <v>0.4</v>
      </c>
      <c r="D29" s="59">
        <v>1624</v>
      </c>
      <c r="E29" s="60"/>
      <c r="F29" s="53">
        <f t="shared" si="2"/>
        <v>3.6193424028661061E-2</v>
      </c>
      <c r="G29" s="53">
        <f t="shared" si="3"/>
        <v>-1.3116455483350475E-3</v>
      </c>
      <c r="H29" s="53"/>
      <c r="I29" s="54" t="str">
        <f>Jar_Information!M15</f>
        <v>27/07/2018 17:30</v>
      </c>
      <c r="J29" s="55">
        <f t="shared" si="1"/>
        <v>2.9750000000058208</v>
      </c>
      <c r="K29" s="55">
        <f t="shared" si="4"/>
        <v>71.400000000139698</v>
      </c>
      <c r="L29" s="56">
        <f>Jar_Information!H15</f>
        <v>1030.911974623315</v>
      </c>
      <c r="M29" s="55">
        <f t="shared" si="5"/>
        <v>37.312234233765913</v>
      </c>
      <c r="N29" s="55">
        <f t="shared" si="6"/>
        <v>68.28138864779163</v>
      </c>
      <c r="O29" s="57">
        <f t="shared" si="7"/>
        <v>18.62219690394317</v>
      </c>
      <c r="P29" s="73">
        <v>27.366497554966767</v>
      </c>
      <c r="Q29" s="78"/>
      <c r="R29" s="61"/>
      <c r="S29" s="71">
        <f t="shared" si="8"/>
        <v>36193.424028661058</v>
      </c>
      <c r="T29" s="72">
        <f t="shared" si="9"/>
        <v>3.6193424028661063</v>
      </c>
    </row>
    <row r="30" spans="1:20">
      <c r="A30" s="1" t="s">
        <v>23</v>
      </c>
      <c r="B30" s="50">
        <v>43311.705555555556</v>
      </c>
      <c r="C30" s="21">
        <v>2</v>
      </c>
      <c r="D30" s="59">
        <v>702.96</v>
      </c>
      <c r="E30" s="60"/>
      <c r="F30" s="53">
        <f t="shared" si="2"/>
        <v>3.0719344891215823E-3</v>
      </c>
      <c r="G30" s="53">
        <f t="shared" si="3"/>
        <v>-2.6232910966700952E-4</v>
      </c>
      <c r="H30" s="53"/>
      <c r="I30" s="54" t="str">
        <f>Jar_Information!M16</f>
        <v>27/07/2018 17:30</v>
      </c>
      <c r="J30" s="55">
        <f t="shared" si="1"/>
        <v>2.976388888891961</v>
      </c>
      <c r="K30" s="55">
        <f t="shared" si="4"/>
        <v>71.433333333407063</v>
      </c>
      <c r="L30" s="56">
        <f>Jar_Information!H16</f>
        <v>1020.9105809506466</v>
      </c>
      <c r="M30" s="55">
        <f t="shared" si="5"/>
        <v>3.1361704239314423</v>
      </c>
      <c r="N30" s="55">
        <f t="shared" si="6"/>
        <v>5.7391918757945399</v>
      </c>
      <c r="O30" s="57">
        <f t="shared" si="7"/>
        <v>1.5652341479439653</v>
      </c>
      <c r="P30" s="73">
        <v>26.855607956200881</v>
      </c>
      <c r="Q30" s="61"/>
      <c r="R30" s="61"/>
      <c r="S30" s="71">
        <f t="shared" si="8"/>
        <v>3071.9344891215824</v>
      </c>
      <c r="T30" s="72">
        <f t="shared" si="9"/>
        <v>0.30719344891215822</v>
      </c>
    </row>
    <row r="31" spans="1:20">
      <c r="A31" s="1" t="s">
        <v>24</v>
      </c>
      <c r="B31" s="50">
        <v>43311.709027777775</v>
      </c>
      <c r="C31" s="21">
        <v>0.4</v>
      </c>
      <c r="D31" s="59">
        <v>1047.5</v>
      </c>
      <c r="E31" s="60"/>
      <c r="F31" s="53">
        <f t="shared" si="2"/>
        <v>2.3153102449109529E-2</v>
      </c>
      <c r="G31" s="53">
        <f t="shared" si="3"/>
        <v>-1.3116455483350475E-3</v>
      </c>
      <c r="H31" s="53"/>
      <c r="I31" s="54" t="str">
        <f>Jar_Information!M17</f>
        <v>27/07/2018 17:30</v>
      </c>
      <c r="J31" s="55">
        <f t="shared" si="1"/>
        <v>2.9798611111109494</v>
      </c>
      <c r="K31" s="55">
        <f t="shared" si="4"/>
        <v>71.516666666662786</v>
      </c>
      <c r="L31" s="56">
        <f>Jar_Information!H17</f>
        <v>1030.5926189758623</v>
      </c>
      <c r="M31" s="55">
        <f t="shared" si="5"/>
        <v>23.861416490444242</v>
      </c>
      <c r="N31" s="55">
        <f t="shared" si="6"/>
        <v>43.666392177512961</v>
      </c>
      <c r="O31" s="57">
        <f t="shared" si="7"/>
        <v>11.909016048412624</v>
      </c>
      <c r="P31" s="73">
        <v>27.110299231101873</v>
      </c>
      <c r="Q31" s="78"/>
      <c r="R31" s="61"/>
      <c r="S31" s="71">
        <f t="shared" si="8"/>
        <v>23153.10244910953</v>
      </c>
      <c r="T31" s="72">
        <f t="shared" si="9"/>
        <v>2.3153102449109531</v>
      </c>
    </row>
    <row r="32" spans="1:20">
      <c r="A32" s="1" t="s">
        <v>25</v>
      </c>
      <c r="B32" s="50">
        <v>43311.711805555555</v>
      </c>
      <c r="C32" s="21">
        <v>0.4</v>
      </c>
      <c r="D32" s="59">
        <v>1476.2</v>
      </c>
      <c r="E32" s="60"/>
      <c r="F32" s="53">
        <f t="shared" si="2"/>
        <v>3.2850215824918275E-2</v>
      </c>
      <c r="G32" s="53">
        <f t="shared" si="3"/>
        <v>-1.3116455483350475E-3</v>
      </c>
      <c r="H32" s="53"/>
      <c r="I32" s="54" t="str">
        <f>Jar_Information!M18</f>
        <v>27/07/2018 17:39</v>
      </c>
      <c r="J32" s="55">
        <f t="shared" si="1"/>
        <v>2.976388888884685</v>
      </c>
      <c r="K32" s="55">
        <f t="shared" si="4"/>
        <v>71.43333333323244</v>
      </c>
      <c r="L32" s="56">
        <f>Jar_Information!H18</f>
        <v>1025.7444703328972</v>
      </c>
      <c r="M32" s="55">
        <f t="shared" si="5"/>
        <v>33.695927231652156</v>
      </c>
      <c r="N32" s="55">
        <f t="shared" si="6"/>
        <v>61.663546833923448</v>
      </c>
      <c r="O32" s="57">
        <f t="shared" si="7"/>
        <v>16.817330954706392</v>
      </c>
      <c r="P32" s="73">
        <v>26.982766044848059</v>
      </c>
      <c r="Q32" s="78"/>
      <c r="R32" s="61"/>
      <c r="S32" s="71">
        <f t="shared" si="8"/>
        <v>32850.215824918276</v>
      </c>
      <c r="T32" s="72">
        <f t="shared" si="9"/>
        <v>3.2850215824918276</v>
      </c>
    </row>
    <row r="33" spans="1:20">
      <c r="A33" s="1" t="s">
        <v>26</v>
      </c>
      <c r="B33" s="50">
        <v>43311.714583333334</v>
      </c>
      <c r="C33" s="21">
        <v>2</v>
      </c>
      <c r="D33" s="59">
        <v>1594.8</v>
      </c>
      <c r="E33" s="60"/>
      <c r="F33" s="53">
        <f t="shared" si="2"/>
        <v>7.1065851040416983E-3</v>
      </c>
      <c r="G33" s="53">
        <f t="shared" si="3"/>
        <v>-2.6232910966700952E-4</v>
      </c>
      <c r="H33" s="61"/>
      <c r="I33" s="54" t="str">
        <f>Jar_Information!M19</f>
        <v>27/07/2018 17:39</v>
      </c>
      <c r="J33" s="55">
        <f t="shared" si="1"/>
        <v>2.9791666666642413</v>
      </c>
      <c r="K33" s="55">
        <f t="shared" si="4"/>
        <v>71.499999999941792</v>
      </c>
      <c r="L33" s="56">
        <f>Jar_Information!H19</f>
        <v>1030.5926189758623</v>
      </c>
      <c r="M33" s="55">
        <f t="shared" si="5"/>
        <v>7.323994154349184</v>
      </c>
      <c r="N33" s="55">
        <f t="shared" si="6"/>
        <v>13.402909302459006</v>
      </c>
      <c r="O33" s="57">
        <f t="shared" si="7"/>
        <v>3.655338900670638</v>
      </c>
      <c r="P33" s="73">
        <v>27.110299231101873</v>
      </c>
      <c r="Q33" s="61"/>
      <c r="R33" s="61"/>
      <c r="S33" s="71">
        <f t="shared" si="8"/>
        <v>7106.5851040416983</v>
      </c>
      <c r="T33" s="72">
        <f t="shared" si="9"/>
        <v>0.71065851040416983</v>
      </c>
    </row>
    <row r="34" spans="1:20">
      <c r="A34" s="1" t="s">
        <v>27</v>
      </c>
      <c r="B34" s="50">
        <v>43311.715277777781</v>
      </c>
      <c r="C34" s="21">
        <v>0.2</v>
      </c>
      <c r="D34" s="59">
        <v>601.39</v>
      </c>
      <c r="E34" s="60"/>
      <c r="F34" s="53">
        <f t="shared" si="2"/>
        <v>2.612435629508382E-2</v>
      </c>
      <c r="G34" s="53">
        <f t="shared" si="3"/>
        <v>-2.6232910966700949E-3</v>
      </c>
      <c r="H34" s="61"/>
      <c r="I34" s="54" t="str">
        <f>Jar_Information!M20</f>
        <v>27/07/2018 17:39</v>
      </c>
      <c r="J34" s="55">
        <f t="shared" si="1"/>
        <v>2.9798611111109494</v>
      </c>
      <c r="K34" s="55">
        <f t="shared" si="4"/>
        <v>71.516666666662786</v>
      </c>
      <c r="L34" s="56">
        <f>Jar_Information!H20</f>
        <v>1040.3319471669079</v>
      </c>
      <c r="M34" s="55">
        <f t="shared" si="5"/>
        <v>27.178002452946618</v>
      </c>
      <c r="N34" s="55">
        <f t="shared" si="6"/>
        <v>49.735744488892315</v>
      </c>
      <c r="O34" s="57">
        <f t="shared" si="7"/>
        <v>13.564293951516085</v>
      </c>
      <c r="P34" s="73">
        <v>27.366497554966767</v>
      </c>
      <c r="Q34" s="78"/>
      <c r="R34" s="61"/>
      <c r="S34" s="71">
        <f t="shared" si="8"/>
        <v>26124.35629508382</v>
      </c>
      <c r="T34" s="72">
        <f t="shared" si="9"/>
        <v>2.6124356295083819</v>
      </c>
    </row>
    <row r="35" spans="1:20">
      <c r="A35" s="1" t="s">
        <v>28</v>
      </c>
      <c r="B35" s="50">
        <v>43311.716666666667</v>
      </c>
      <c r="C35" s="21">
        <v>1</v>
      </c>
      <c r="D35" s="59">
        <v>1248.5999999999999</v>
      </c>
      <c r="E35" s="60"/>
      <c r="F35" s="53">
        <f t="shared" si="2"/>
        <v>1.1080778651559034E-2</v>
      </c>
      <c r="G35" s="53">
        <f t="shared" si="3"/>
        <v>-5.2465821933401905E-4</v>
      </c>
      <c r="H35" s="61"/>
      <c r="I35" s="54" t="str">
        <f>Jar_Information!M21</f>
        <v>27/07/2018 17:39</v>
      </c>
      <c r="J35" s="55">
        <f t="shared" si="1"/>
        <v>2.9812499999970896</v>
      </c>
      <c r="K35" s="55">
        <f t="shared" si="4"/>
        <v>71.549999999930151</v>
      </c>
      <c r="L35" s="56">
        <f>Jar_Information!H21</f>
        <v>1055.0494758003301</v>
      </c>
      <c r="M35" s="55">
        <f t="shared" si="5"/>
        <v>11.690769707786847</v>
      </c>
      <c r="N35" s="55">
        <f t="shared" si="6"/>
        <v>21.39410856524993</v>
      </c>
      <c r="O35" s="57">
        <f t="shared" si="7"/>
        <v>5.8347568814317983</v>
      </c>
      <c r="P35" s="74">
        <v>27.753650148385191</v>
      </c>
      <c r="Q35" s="80"/>
      <c r="S35" s="71">
        <f t="shared" si="8"/>
        <v>11080.778651559034</v>
      </c>
      <c r="T35" s="72">
        <f t="shared" si="9"/>
        <v>1.1080778651559033</v>
      </c>
    </row>
    <row r="36" spans="1:20">
      <c r="A36" s="1" t="s">
        <v>29</v>
      </c>
      <c r="B36" s="50">
        <v>43314.46875</v>
      </c>
      <c r="C36" s="21">
        <v>0.4</v>
      </c>
      <c r="D36" s="59">
        <v>1473.3</v>
      </c>
      <c r="E36" s="60"/>
      <c r="F36" s="53">
        <f t="shared" si="2"/>
        <v>3.2784618370311686E-2</v>
      </c>
      <c r="G36" s="53">
        <f t="shared" si="3"/>
        <v>-1.3116455483350475E-3</v>
      </c>
      <c r="H36" s="61"/>
      <c r="I36" s="54" t="str">
        <f>Jar_Information!M22</f>
        <v>27/07/2018 17:39</v>
      </c>
      <c r="J36" s="55">
        <f t="shared" si="1"/>
        <v>5.7333333333299379</v>
      </c>
      <c r="K36" s="55">
        <f t="shared" si="4"/>
        <v>137.59999999991851</v>
      </c>
      <c r="L36" s="56">
        <f>Jar_Information!H22</f>
        <v>1030.5926189758623</v>
      </c>
      <c r="M36" s="55">
        <f t="shared" si="5"/>
        <v>33.787585708383688</v>
      </c>
      <c r="N36" s="55">
        <f t="shared" si="6"/>
        <v>61.831281846342151</v>
      </c>
      <c r="O36" s="57">
        <f t="shared" si="7"/>
        <v>16.863076867184223</v>
      </c>
      <c r="P36" s="74">
        <v>27.110299231101873</v>
      </c>
      <c r="Q36" s="78"/>
      <c r="S36" s="71">
        <f t="shared" si="8"/>
        <v>32784.618370311684</v>
      </c>
      <c r="T36" s="72">
        <f t="shared" si="9"/>
        <v>3.2784618370311684</v>
      </c>
    </row>
    <row r="37" spans="1:20">
      <c r="A37" s="62"/>
      <c r="B37" s="50"/>
    </row>
    <row r="38" spans="1:20">
      <c r="B38">
        <f>60/18</f>
        <v>3.3333333333333335</v>
      </c>
    </row>
  </sheetData>
  <conditionalFormatting sqref="N17:N36">
    <cfRule type="cellIs" dxfId="17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sqref="A1:U37"/>
    </sheetView>
  </sheetViews>
  <sheetFormatPr baseColWidth="10" defaultRowHeight="14" x14ac:dyDescent="0"/>
  <cols>
    <col min="2" max="2" width="19.832031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43318</v>
      </c>
      <c r="C3" s="32">
        <v>3015</v>
      </c>
      <c r="D3" s="22">
        <v>1675</v>
      </c>
      <c r="E3" s="33">
        <v>391.51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43318</v>
      </c>
      <c r="C4" s="32">
        <v>3015</v>
      </c>
      <c r="D4" s="33">
        <v>1490.1</v>
      </c>
      <c r="E4" s="33">
        <v>362.39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43318</v>
      </c>
      <c r="C5" s="32">
        <v>3015</v>
      </c>
      <c r="D5" s="22">
        <v>1368.8</v>
      </c>
      <c r="E5" s="33">
        <v>322.7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43318</v>
      </c>
      <c r="C6" s="32">
        <v>3015</v>
      </c>
      <c r="D6" s="33">
        <v>1184.8</v>
      </c>
      <c r="E6" s="33">
        <v>283.60000000000002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43318</v>
      </c>
      <c r="C7" s="32">
        <v>3015</v>
      </c>
      <c r="D7" s="22">
        <v>1053.4000000000001</v>
      </c>
      <c r="E7" s="33">
        <v>256.16000000000003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43318</v>
      </c>
      <c r="C8" s="32">
        <v>3015</v>
      </c>
      <c r="D8" s="33">
        <v>859.81</v>
      </c>
      <c r="E8" s="33">
        <v>205.34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43318</v>
      </c>
      <c r="C9" s="32">
        <v>3015</v>
      </c>
      <c r="D9" s="22">
        <v>714.4</v>
      </c>
      <c r="E9" s="33">
        <v>171.24</v>
      </c>
      <c r="F9" s="34">
        <f t="shared" si="0"/>
        <v>6.03</v>
      </c>
      <c r="G9" s="37" t="s">
        <v>112</v>
      </c>
      <c r="H9" s="37"/>
      <c r="I9" s="38">
        <f>SLOPE(F3:F13,D3:D13)</f>
        <v>8.9788830642479785E-3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43318</v>
      </c>
      <c r="C10" s="32">
        <v>3015</v>
      </c>
      <c r="D10" s="22">
        <v>516.16</v>
      </c>
      <c r="E10" s="33">
        <v>132.07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-0.24237433195706348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43318</v>
      </c>
      <c r="C11" s="32">
        <v>3015</v>
      </c>
      <c r="D11" s="22">
        <v>348.2</v>
      </c>
      <c r="E11" s="33">
        <v>94.94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43318</v>
      </c>
      <c r="C12" s="32">
        <v>3015</v>
      </c>
      <c r="D12" s="39">
        <v>150.68</v>
      </c>
      <c r="E12" s="39">
        <v>41.268000000000001</v>
      </c>
      <c r="F12" s="34">
        <f t="shared" si="0"/>
        <v>1.206</v>
      </c>
      <c r="G12" s="40" t="s">
        <v>114</v>
      </c>
      <c r="H12" s="40"/>
      <c r="I12" s="41">
        <f>SLOPE(F3:F13,E3:E13)</f>
        <v>3.8714508003966829E-2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43318</v>
      </c>
      <c r="C13" s="32">
        <v>3015</v>
      </c>
      <c r="D13" s="39">
        <v>69.012</v>
      </c>
      <c r="E13" s="39">
        <v>22.614000000000001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-0.58267565851959624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 t="str">
        <f>Jar_Information!M3</f>
        <v>27/07/2018 16:50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 t="str">
        <f>Jar_Information!M4</f>
        <v>27/07/2018 16:50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 t="str">
        <f>Jar_Information!M5</f>
        <v>27/07/2018 16:50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43318.431250000001</v>
      </c>
      <c r="C20" s="21">
        <v>3</v>
      </c>
      <c r="D20" s="59">
        <v>1338.9</v>
      </c>
      <c r="E20" s="60">
        <v>331.42</v>
      </c>
      <c r="F20" s="53">
        <f t="shared" si="2"/>
        <v>3.926484067588186E-3</v>
      </c>
      <c r="G20" s="53">
        <f t="shared" si="3"/>
        <v>4.0826955280516969E-3</v>
      </c>
      <c r="H20" s="53"/>
      <c r="I20" s="54" t="str">
        <f>Jar_Information!M6</f>
        <v>27/07/2018 16:50</v>
      </c>
      <c r="J20" s="55">
        <f t="shared" si="1"/>
        <v>9.7298611111109494</v>
      </c>
      <c r="K20" s="55">
        <f t="shared" si="4"/>
        <v>233.51666666666279</v>
      </c>
      <c r="L20" s="56">
        <f>Jar_Information!H6</f>
        <v>1006.9230769230769</v>
      </c>
      <c r="M20" s="55">
        <f t="shared" si="5"/>
        <v>3.9536674188253347</v>
      </c>
      <c r="N20" s="55">
        <f t="shared" si="6"/>
        <v>7.2352113764503629</v>
      </c>
      <c r="O20" s="57">
        <f t="shared" si="7"/>
        <v>1.9732394663046442</v>
      </c>
      <c r="P20" s="55">
        <v>26.611591631551708</v>
      </c>
      <c r="Q20" s="58"/>
      <c r="R20" s="58"/>
      <c r="S20" s="71">
        <f t="shared" si="8"/>
        <v>3926.484067588186</v>
      </c>
      <c r="T20" s="72">
        <f t="shared" si="9"/>
        <v>0.39264840675881862</v>
      </c>
    </row>
    <row r="21" spans="1:20">
      <c r="A21" s="1" t="s">
        <v>14</v>
      </c>
      <c r="B21" s="50">
        <v>43318.428472222222</v>
      </c>
      <c r="C21" s="21">
        <v>3</v>
      </c>
      <c r="D21" s="59">
        <v>1326.2</v>
      </c>
      <c r="E21" s="60">
        <v>307.67</v>
      </c>
      <c r="F21" s="53">
        <f t="shared" si="2"/>
        <v>3.8884734626162022E-3</v>
      </c>
      <c r="G21" s="53">
        <f t="shared" si="3"/>
        <v>3.7762056730202931E-3</v>
      </c>
      <c r="H21" s="53"/>
      <c r="I21" s="54" t="str">
        <f>Jar_Information!M7</f>
        <v>27/07/2018 16:50</v>
      </c>
      <c r="J21" s="55">
        <f t="shared" si="1"/>
        <v>9.7270833333313931</v>
      </c>
      <c r="K21" s="55">
        <f t="shared" si="4"/>
        <v>233.44999999995343</v>
      </c>
      <c r="L21" s="56">
        <f>Jar_Information!H7</f>
        <v>1026.0859728506789</v>
      </c>
      <c r="M21" s="55">
        <f t="shared" si="5"/>
        <v>3.9899080757925938</v>
      </c>
      <c r="N21" s="55">
        <f t="shared" si="6"/>
        <v>7.301531778700447</v>
      </c>
      <c r="O21" s="57">
        <f t="shared" si="7"/>
        <v>1.9913268487364855</v>
      </c>
      <c r="P21" s="55">
        <v>27.118040607238672</v>
      </c>
      <c r="Q21" s="58"/>
      <c r="R21" s="58"/>
      <c r="S21" s="71">
        <f t="shared" si="8"/>
        <v>3888.4734626162021</v>
      </c>
      <c r="T21" s="72">
        <f t="shared" si="9"/>
        <v>0.38884734626162021</v>
      </c>
    </row>
    <row r="22" spans="1:20">
      <c r="A22" s="1" t="s">
        <v>15</v>
      </c>
      <c r="B22" s="50">
        <v>43318.427083333336</v>
      </c>
      <c r="C22" s="21">
        <v>3</v>
      </c>
      <c r="D22" s="59">
        <v>1340.1</v>
      </c>
      <c r="E22" s="60">
        <v>320.35000000000002</v>
      </c>
      <c r="F22" s="53">
        <f t="shared" si="2"/>
        <v>3.9300756208138846E-3</v>
      </c>
      <c r="G22" s="53">
        <f t="shared" si="3"/>
        <v>3.9398389935170596E-3</v>
      </c>
      <c r="H22" s="53"/>
      <c r="I22" s="54" t="str">
        <f>Jar_Information!M8</f>
        <v>27/07/2018 16:50</v>
      </c>
      <c r="J22" s="55">
        <f t="shared" si="1"/>
        <v>9.7256944444452529</v>
      </c>
      <c r="K22" s="55">
        <f t="shared" si="4"/>
        <v>233.41666666668607</v>
      </c>
      <c r="L22" s="56">
        <f>Jar_Information!H8</f>
        <v>1002.1673217293657</v>
      </c>
      <c r="M22" s="55">
        <f t="shared" si="5"/>
        <v>3.9385933591049249</v>
      </c>
      <c r="N22" s="55">
        <f t="shared" si="6"/>
        <v>7.2076258471620127</v>
      </c>
      <c r="O22" s="57">
        <f t="shared" si="7"/>
        <v>1.9657161401350942</v>
      </c>
      <c r="P22" s="55">
        <v>26.485903564592896</v>
      </c>
      <c r="Q22" s="58"/>
      <c r="R22" s="58"/>
      <c r="S22" s="71">
        <f t="shared" si="8"/>
        <v>3930.0756208138846</v>
      </c>
      <c r="T22" s="72">
        <f t="shared" si="9"/>
        <v>0.39300756208138843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 t="str">
        <f>Jar_Information!M9</f>
        <v>27/07/2018 17:22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 t="str">
        <f>Jar_Information!M10</f>
        <v>27/07/2018 17:22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 t="str">
        <f>Jar_Information!M11</f>
        <v>27/07/2018 17:22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43318.423611111109</v>
      </c>
      <c r="C26" s="21">
        <v>1</v>
      </c>
      <c r="D26" s="59">
        <v>810.52</v>
      </c>
      <c r="E26" s="60">
        <v>192.14</v>
      </c>
      <c r="F26" s="53">
        <f t="shared" si="2"/>
        <v>7.0351899692772078E-3</v>
      </c>
      <c r="G26" s="53">
        <f t="shared" si="3"/>
        <v>6.8559299093625898E-3</v>
      </c>
      <c r="H26" s="53"/>
      <c r="I26" s="54" t="str">
        <f>Jar_Information!M12</f>
        <v>27/07/2018 17:22</v>
      </c>
      <c r="J26" s="55">
        <f t="shared" si="1"/>
        <v>9.6999999999970896</v>
      </c>
      <c r="K26" s="55">
        <f t="shared" si="4"/>
        <v>232.79999999993015</v>
      </c>
      <c r="L26" s="56">
        <f>Jar_Information!H12</f>
        <v>1002.1673217293657</v>
      </c>
      <c r="M26" s="55">
        <f t="shared" si="5"/>
        <v>7.0504374893678374</v>
      </c>
      <c r="N26" s="55">
        <f t="shared" si="6"/>
        <v>12.902300605543143</v>
      </c>
      <c r="O26" s="57">
        <f t="shared" si="7"/>
        <v>3.5188092560572204</v>
      </c>
      <c r="P26" s="73">
        <v>26.485903564592896</v>
      </c>
      <c r="Q26" s="61"/>
      <c r="R26" s="61"/>
      <c r="S26" s="71">
        <f t="shared" si="8"/>
        <v>7035.1899692772076</v>
      </c>
      <c r="T26" s="72">
        <f t="shared" si="9"/>
        <v>0.7035189969277208</v>
      </c>
    </row>
    <row r="27" spans="1:20">
      <c r="A27" s="1" t="s">
        <v>20</v>
      </c>
      <c r="B27" s="50">
        <v>43318.422222222223</v>
      </c>
      <c r="C27" s="21">
        <v>1</v>
      </c>
      <c r="D27" s="59">
        <v>842.92</v>
      </c>
      <c r="E27" s="60">
        <v>199.82</v>
      </c>
      <c r="F27" s="53">
        <f t="shared" si="2"/>
        <v>7.3261057805588427E-3</v>
      </c>
      <c r="G27" s="53">
        <f t="shared" si="3"/>
        <v>7.1532573308330551E-3</v>
      </c>
      <c r="H27" s="53"/>
      <c r="I27" s="54" t="str">
        <f>Jar_Information!M13</f>
        <v>27/07/2018 17:22</v>
      </c>
      <c r="J27" s="55">
        <f t="shared" si="1"/>
        <v>9.6986111111109494</v>
      </c>
      <c r="K27" s="55">
        <f t="shared" si="4"/>
        <v>232.76666666666279</v>
      </c>
      <c r="L27" s="56">
        <f>Jar_Information!H13</f>
        <v>1002.1673217293657</v>
      </c>
      <c r="M27" s="55">
        <f t="shared" si="5"/>
        <v>7.3419838088086795</v>
      </c>
      <c r="N27" s="55">
        <f t="shared" si="6"/>
        <v>13.435830370119884</v>
      </c>
      <c r="O27" s="57">
        <f t="shared" si="7"/>
        <v>3.6643173736690589</v>
      </c>
      <c r="P27" s="73">
        <v>26.485903564592896</v>
      </c>
      <c r="Q27" s="61"/>
      <c r="R27" s="61"/>
      <c r="S27" s="71">
        <f t="shared" si="8"/>
        <v>7326.1057805588425</v>
      </c>
      <c r="T27" s="72">
        <f t="shared" si="9"/>
        <v>0.73261057805588425</v>
      </c>
    </row>
    <row r="28" spans="1:20">
      <c r="A28" s="1" t="s">
        <v>21</v>
      </c>
      <c r="B28" s="50">
        <v>43318.42083333333</v>
      </c>
      <c r="C28" s="21">
        <v>1</v>
      </c>
      <c r="D28" s="59">
        <v>818.39</v>
      </c>
      <c r="E28" s="60">
        <v>194.47</v>
      </c>
      <c r="F28" s="53">
        <f t="shared" si="2"/>
        <v>7.1058537789928395E-3</v>
      </c>
      <c r="G28" s="53">
        <f t="shared" si="3"/>
        <v>6.9461347130118324E-3</v>
      </c>
      <c r="H28" s="53"/>
      <c r="I28" s="54" t="str">
        <f>Jar_Information!M14</f>
        <v>27/07/2018 17:30</v>
      </c>
      <c r="J28" s="55">
        <f t="shared" si="1"/>
        <v>9.6916666666656965</v>
      </c>
      <c r="K28" s="55">
        <f t="shared" si="4"/>
        <v>232.59999999997672</v>
      </c>
      <c r="L28" s="56">
        <f>Jar_Information!H14</f>
        <v>1006.9230769230769</v>
      </c>
      <c r="M28" s="55">
        <f t="shared" si="5"/>
        <v>7.1550481513089439</v>
      </c>
      <c r="N28" s="55">
        <f t="shared" si="6"/>
        <v>13.093738116895368</v>
      </c>
      <c r="O28" s="57">
        <f t="shared" si="7"/>
        <v>3.5710194864260094</v>
      </c>
      <c r="P28" s="73">
        <v>26.611591631551708</v>
      </c>
      <c r="Q28" s="61"/>
      <c r="R28" s="61"/>
      <c r="S28" s="71">
        <f t="shared" si="8"/>
        <v>7105.8537789928396</v>
      </c>
      <c r="T28" s="72">
        <f t="shared" si="9"/>
        <v>0.710585377899284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 t="str">
        <f>Jar_Information!M15</f>
        <v>27/07/2018 17:30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43318.425000000003</v>
      </c>
      <c r="C30" s="21">
        <v>1</v>
      </c>
      <c r="D30" s="59">
        <v>789.68</v>
      </c>
      <c r="E30" s="60">
        <v>189.36</v>
      </c>
      <c r="F30" s="53">
        <f t="shared" si="2"/>
        <v>6.8480700462182796E-3</v>
      </c>
      <c r="G30" s="53">
        <f t="shared" si="3"/>
        <v>6.7483035771115632E-3</v>
      </c>
      <c r="H30" s="53"/>
      <c r="I30" s="54" t="str">
        <f>Jar_Information!M16</f>
        <v>27/07/2018 17:30</v>
      </c>
      <c r="J30" s="55">
        <f t="shared" si="1"/>
        <v>9.695833333338669</v>
      </c>
      <c r="K30" s="55">
        <f t="shared" si="4"/>
        <v>232.70000000012806</v>
      </c>
      <c r="L30" s="56">
        <f>Jar_Information!H16</f>
        <v>1020.9105809506466</v>
      </c>
      <c r="M30" s="55">
        <f t="shared" si="5"/>
        <v>6.9912671692754254</v>
      </c>
      <c r="N30" s="55">
        <f t="shared" si="6"/>
        <v>12.794018919774029</v>
      </c>
      <c r="O30" s="57">
        <f t="shared" si="7"/>
        <v>3.4892778872110983</v>
      </c>
      <c r="P30" s="73">
        <v>26.855607956200881</v>
      </c>
      <c r="Q30" s="61"/>
      <c r="R30" s="61"/>
      <c r="S30" s="71">
        <f t="shared" si="8"/>
        <v>6848.0700462182795</v>
      </c>
      <c r="T30" s="72">
        <f t="shared" si="9"/>
        <v>0.68480700462182797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 t="str">
        <f>Jar_Information!M17</f>
        <v>27/07/2018 17:30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 t="str">
        <f>Jar_Information!M18</f>
        <v>27/07/2018 17:39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>
        <v>43318.419444444444</v>
      </c>
      <c r="C33" s="21">
        <v>0.2</v>
      </c>
      <c r="D33" s="59">
        <v>862.9</v>
      </c>
      <c r="E33" s="60">
        <v>206.75</v>
      </c>
      <c r="F33" s="53">
        <f t="shared" si="2"/>
        <v>3.7527519320912583E-2</v>
      </c>
      <c r="G33" s="53">
        <f t="shared" si="3"/>
        <v>3.7107744356502728E-2</v>
      </c>
      <c r="H33" s="61"/>
      <c r="I33" s="54" t="str">
        <f>Jar_Information!M19</f>
        <v>27/07/2018 17:39</v>
      </c>
      <c r="J33" s="55">
        <f t="shared" si="1"/>
        <v>9.6840277777737356</v>
      </c>
      <c r="K33" s="55">
        <f t="shared" si="4"/>
        <v>232.41666666656965</v>
      </c>
      <c r="L33" s="56">
        <f>Jar_Information!H19</f>
        <v>1030.5926189758623</v>
      </c>
      <c r="M33" s="55">
        <f t="shared" si="5"/>
        <v>38.675584420606569</v>
      </c>
      <c r="N33" s="55">
        <f t="shared" si="6"/>
        <v>70.776319489710019</v>
      </c>
      <c r="O33" s="57">
        <f t="shared" si="7"/>
        <v>19.302632588102732</v>
      </c>
      <c r="P33" s="73">
        <v>27.110299231101873</v>
      </c>
      <c r="Q33" s="61"/>
      <c r="R33" s="61"/>
      <c r="S33" s="71">
        <f t="shared" si="8"/>
        <v>37527.519320912586</v>
      </c>
      <c r="T33" s="72">
        <f t="shared" si="9"/>
        <v>3.7527519320912583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 t="str">
        <f>Jar_Information!M20</f>
        <v>27/07/2018 17:39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 t="str">
        <f>Jar_Information!M21</f>
        <v>27/07/2018 17:39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 t="str">
        <f>Jar_Information!M22</f>
        <v>27/07/2018 17:39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6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H43" sqref="H43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43321</v>
      </c>
      <c r="C3" s="32">
        <v>3015</v>
      </c>
      <c r="D3" s="22">
        <v>1569.2</v>
      </c>
      <c r="E3" s="33">
        <v>398.84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43321</v>
      </c>
      <c r="C4" s="32">
        <v>3015</v>
      </c>
      <c r="D4" s="33">
        <v>1333.4</v>
      </c>
      <c r="E4" s="33">
        <v>366.67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43321</v>
      </c>
      <c r="C5" s="32">
        <v>3015</v>
      </c>
      <c r="D5" s="22">
        <v>1271.8</v>
      </c>
      <c r="E5" s="33">
        <v>322.60000000000002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43321</v>
      </c>
      <c r="C6" s="32">
        <v>3015</v>
      </c>
      <c r="D6" s="33">
        <v>1014.8</v>
      </c>
      <c r="E6" s="33">
        <v>258.01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43321</v>
      </c>
      <c r="C7" s="32">
        <v>3015</v>
      </c>
      <c r="D7" s="22">
        <v>915.91</v>
      </c>
      <c r="E7" s="33">
        <v>237.86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43321</v>
      </c>
      <c r="C8" s="32">
        <v>3015</v>
      </c>
      <c r="D8" s="33">
        <v>772.39</v>
      </c>
      <c r="E8" s="33">
        <v>210.75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43321</v>
      </c>
      <c r="C9" s="32">
        <v>3015</v>
      </c>
      <c r="D9" s="22">
        <v>651.5</v>
      </c>
      <c r="E9" s="33">
        <v>174.86</v>
      </c>
      <c r="F9" s="34">
        <f t="shared" si="0"/>
        <v>6.03</v>
      </c>
      <c r="G9" s="37" t="s">
        <v>112</v>
      </c>
      <c r="H9" s="37"/>
      <c r="I9" s="38">
        <f>SLOPE(F3:F13,D3:D13)</f>
        <v>9.5505728306499414E-3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43321</v>
      </c>
      <c r="C10" s="32">
        <v>3015</v>
      </c>
      <c r="D10" s="22">
        <v>417.83</v>
      </c>
      <c r="E10" s="33">
        <v>111.19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0.19511045876421296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43321</v>
      </c>
      <c r="C11" s="32">
        <v>3015</v>
      </c>
      <c r="D11" s="22">
        <v>231.67</v>
      </c>
      <c r="E11" s="33">
        <v>64.686999999999998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43321</v>
      </c>
      <c r="C12" s="32">
        <v>3015</v>
      </c>
      <c r="D12" s="39">
        <v>121.09</v>
      </c>
      <c r="E12" s="39">
        <v>34.875</v>
      </c>
      <c r="F12" s="34">
        <f t="shared" si="0"/>
        <v>1.206</v>
      </c>
      <c r="G12" s="40" t="s">
        <v>114</v>
      </c>
      <c r="H12" s="40"/>
      <c r="I12" s="41">
        <f>SLOPE(F3:F13,E3:E13)</f>
        <v>3.7187506875516863E-2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43321</v>
      </c>
      <c r="C13" s="32">
        <v>3015</v>
      </c>
      <c r="D13" s="39">
        <v>62.399000000000001</v>
      </c>
      <c r="E13" s="39">
        <v>20.646999999999998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1.4427857233002328E-2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 t="str">
        <f>Jar_Information!M3</f>
        <v>27/07/2018 16:50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 t="str">
        <f>Jar_Information!M4</f>
        <v>27/07/2018 16:50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 t="str">
        <f>Jar_Information!M5</f>
        <v>27/07/2018 16:50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43321.493055555555</v>
      </c>
      <c r="C20" s="21">
        <v>2</v>
      </c>
      <c r="D20" s="59">
        <v>1027.7</v>
      </c>
      <c r="E20" s="60">
        <v>267.42</v>
      </c>
      <c r="F20" s="53">
        <f t="shared" si="2"/>
        <v>5.0051170784115801E-3</v>
      </c>
      <c r="G20" s="53">
        <f t="shared" si="3"/>
        <v>4.9795554729418611E-3</v>
      </c>
      <c r="H20" s="53"/>
      <c r="I20" s="54" t="str">
        <f>Jar_Information!M6</f>
        <v>27/07/2018 16:50</v>
      </c>
      <c r="J20" s="55">
        <f t="shared" si="1"/>
        <v>12.791666666664241</v>
      </c>
      <c r="K20" s="55">
        <f t="shared" si="4"/>
        <v>306.99999999994179</v>
      </c>
      <c r="L20" s="56">
        <f>Jar_Information!H6</f>
        <v>1006.9230769230769</v>
      </c>
      <c r="M20" s="55">
        <f t="shared" si="5"/>
        <v>5.0397678889544295</v>
      </c>
      <c r="N20" s="55">
        <f t="shared" si="6"/>
        <v>9.2227752367866067</v>
      </c>
      <c r="O20" s="57">
        <f t="shared" si="7"/>
        <v>2.515302337305438</v>
      </c>
      <c r="P20" s="55">
        <v>26.611591631551708</v>
      </c>
      <c r="Q20" s="58"/>
      <c r="R20" s="58"/>
      <c r="S20" s="71">
        <f t="shared" si="8"/>
        <v>5005.1170784115802</v>
      </c>
      <c r="T20" s="72">
        <f t="shared" si="9"/>
        <v>0.50051170784115806</v>
      </c>
    </row>
    <row r="21" spans="1:20">
      <c r="A21" s="1" t="s">
        <v>14</v>
      </c>
      <c r="B21" s="50">
        <v>43321.494444444441</v>
      </c>
      <c r="C21" s="21">
        <v>2</v>
      </c>
      <c r="D21" s="59">
        <v>1010.4</v>
      </c>
      <c r="E21" s="60">
        <v>278.51</v>
      </c>
      <c r="F21" s="53">
        <f t="shared" si="2"/>
        <v>4.9225046234264574E-3</v>
      </c>
      <c r="G21" s="53">
        <f t="shared" si="3"/>
        <v>5.1857601985666017E-3</v>
      </c>
      <c r="H21" s="53"/>
      <c r="I21" s="54" t="str">
        <f>Jar_Information!M7</f>
        <v>27/07/2018 16:50</v>
      </c>
      <c r="J21" s="55">
        <f t="shared" si="1"/>
        <v>12.793055555550382</v>
      </c>
      <c r="K21" s="55">
        <f t="shared" si="4"/>
        <v>307.03333333320916</v>
      </c>
      <c r="L21" s="56">
        <f>Jar_Information!H7</f>
        <v>1026.0859728506789</v>
      </c>
      <c r="M21" s="55">
        <f t="shared" si="5"/>
        <v>5.0509129453905013</v>
      </c>
      <c r="N21" s="55">
        <f t="shared" si="6"/>
        <v>9.243170690064618</v>
      </c>
      <c r="O21" s="57">
        <f t="shared" si="7"/>
        <v>2.5208647336539864</v>
      </c>
      <c r="P21" s="55">
        <v>27.118040607238672</v>
      </c>
      <c r="Q21" s="58"/>
      <c r="R21" s="58"/>
      <c r="S21" s="71">
        <f t="shared" si="8"/>
        <v>4922.5046234264573</v>
      </c>
      <c r="T21" s="72">
        <f t="shared" si="9"/>
        <v>0.49225046234264574</v>
      </c>
    </row>
    <row r="22" spans="1:20">
      <c r="A22" s="1" t="s">
        <v>15</v>
      </c>
      <c r="B22" s="50">
        <v>43321.495833333334</v>
      </c>
      <c r="C22" s="21">
        <v>2</v>
      </c>
      <c r="D22" s="59">
        <v>1030.3</v>
      </c>
      <c r="E22" s="60">
        <v>282.76</v>
      </c>
      <c r="F22" s="53">
        <f t="shared" si="2"/>
        <v>5.0175328230914239E-3</v>
      </c>
      <c r="G22" s="53">
        <f t="shared" si="3"/>
        <v>5.264783650677075E-3</v>
      </c>
      <c r="H22" s="53"/>
      <c r="I22" s="54" t="str">
        <f>Jar_Information!M8</f>
        <v>27/07/2018 16:50</v>
      </c>
      <c r="J22" s="55">
        <f t="shared" si="1"/>
        <v>12.794444444443798</v>
      </c>
      <c r="K22" s="55">
        <f t="shared" si="4"/>
        <v>307.06666666665114</v>
      </c>
      <c r="L22" s="56">
        <f>Jar_Information!H8</f>
        <v>1002.1673217293657</v>
      </c>
      <c r="M22" s="55">
        <f t="shared" si="5"/>
        <v>5.0284074310067153</v>
      </c>
      <c r="N22" s="55">
        <f t="shared" si="6"/>
        <v>9.2019855987422901</v>
      </c>
      <c r="O22" s="57">
        <f t="shared" si="7"/>
        <v>2.5096324360206244</v>
      </c>
      <c r="P22" s="55">
        <v>26.485903564592896</v>
      </c>
      <c r="Q22" s="58"/>
      <c r="R22" s="58"/>
      <c r="S22" s="71">
        <f t="shared" si="8"/>
        <v>5017.5328230914238</v>
      </c>
      <c r="T22" s="72">
        <f t="shared" si="9"/>
        <v>0.5017532823091424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 t="str">
        <f>Jar_Information!M9</f>
        <v>27/07/2018 17:22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 t="str">
        <f>Jar_Information!M10</f>
        <v>27/07/2018 17:22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 t="str">
        <f>Jar_Information!M11</f>
        <v>27/07/2018 17:22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43321.5</v>
      </c>
      <c r="C26" s="21">
        <v>1</v>
      </c>
      <c r="D26" s="59">
        <v>881.63</v>
      </c>
      <c r="E26" s="60">
        <v>226.51</v>
      </c>
      <c r="F26" s="53">
        <f t="shared" si="2"/>
        <v>8.6151819834501212E-3</v>
      </c>
      <c r="G26" s="53">
        <f t="shared" si="3"/>
        <v>8.4377700396063259E-3</v>
      </c>
      <c r="H26" s="53"/>
      <c r="I26" s="54" t="str">
        <f>Jar_Information!M12</f>
        <v>27/07/2018 17:22</v>
      </c>
      <c r="J26" s="55">
        <f t="shared" si="1"/>
        <v>12.776388888887595</v>
      </c>
      <c r="K26" s="55">
        <f t="shared" si="4"/>
        <v>306.63333333330229</v>
      </c>
      <c r="L26" s="56">
        <f>Jar_Information!H12</f>
        <v>1002.1673217293657</v>
      </c>
      <c r="M26" s="55">
        <f t="shared" si="5"/>
        <v>8.6338538545652916</v>
      </c>
      <c r="N26" s="55">
        <f t="shared" si="6"/>
        <v>15.799952553854485</v>
      </c>
      <c r="O26" s="57">
        <f t="shared" si="7"/>
        <v>4.3090779692330408</v>
      </c>
      <c r="P26" s="73">
        <v>26.485903564592896</v>
      </c>
      <c r="Q26" s="61"/>
      <c r="R26" s="61"/>
      <c r="S26" s="71">
        <f t="shared" si="8"/>
        <v>8615.1819834501221</v>
      </c>
      <c r="T26" s="72">
        <f t="shared" si="9"/>
        <v>0.86151819834501209</v>
      </c>
    </row>
    <row r="27" spans="1:20">
      <c r="A27" s="1" t="s">
        <v>20</v>
      </c>
      <c r="B27" s="50">
        <v>43321.500694444447</v>
      </c>
      <c r="C27" s="21">
        <v>1</v>
      </c>
      <c r="D27" s="59">
        <v>864.81</v>
      </c>
      <c r="E27" s="60">
        <v>229.04</v>
      </c>
      <c r="F27" s="53">
        <f t="shared" si="2"/>
        <v>8.4545413484385882E-3</v>
      </c>
      <c r="G27" s="53">
        <f t="shared" si="3"/>
        <v>8.5318544320013845E-3</v>
      </c>
      <c r="H27" s="53"/>
      <c r="I27" s="54" t="str">
        <f>Jar_Information!M13</f>
        <v>27/07/2018 17:22</v>
      </c>
      <c r="J27" s="55">
        <f t="shared" si="1"/>
        <v>12.777083333334303</v>
      </c>
      <c r="K27" s="55">
        <f t="shared" si="4"/>
        <v>306.65000000002328</v>
      </c>
      <c r="L27" s="56">
        <f>Jar_Information!H13</f>
        <v>1002.1673217293657</v>
      </c>
      <c r="M27" s="55">
        <f t="shared" si="5"/>
        <v>8.4728650596148789</v>
      </c>
      <c r="N27" s="55">
        <f t="shared" si="6"/>
        <v>15.505343059095228</v>
      </c>
      <c r="O27" s="57">
        <f t="shared" si="7"/>
        <v>4.228729925207789</v>
      </c>
      <c r="P27" s="73">
        <v>26.485903564592896</v>
      </c>
      <c r="Q27" s="61"/>
      <c r="R27" s="61"/>
      <c r="S27" s="71">
        <f t="shared" si="8"/>
        <v>8454.5413484385881</v>
      </c>
      <c r="T27" s="72">
        <f t="shared" si="9"/>
        <v>0.84545413484385878</v>
      </c>
    </row>
    <row r="28" spans="1:20">
      <c r="A28" s="1" t="s">
        <v>21</v>
      </c>
      <c r="B28" s="50">
        <v>43321.501388888886</v>
      </c>
      <c r="C28" s="21">
        <v>1</v>
      </c>
      <c r="D28" s="59">
        <v>869.77</v>
      </c>
      <c r="E28" s="60">
        <v>228.85</v>
      </c>
      <c r="F28" s="53">
        <f t="shared" si="2"/>
        <v>8.5019121896786135E-3</v>
      </c>
      <c r="G28" s="53">
        <f t="shared" si="3"/>
        <v>8.5247888056950369E-3</v>
      </c>
      <c r="H28" s="53"/>
      <c r="I28" s="54" t="str">
        <f>Jar_Information!M14</f>
        <v>27/07/2018 17:30</v>
      </c>
      <c r="J28" s="55">
        <f t="shared" si="1"/>
        <v>12.772222222221899</v>
      </c>
      <c r="K28" s="55">
        <f t="shared" si="4"/>
        <v>306.53333333332557</v>
      </c>
      <c r="L28" s="56">
        <f>Jar_Information!H14</f>
        <v>1006.9230769230769</v>
      </c>
      <c r="M28" s="55">
        <f t="shared" si="5"/>
        <v>8.5607715817610028</v>
      </c>
      <c r="N28" s="55">
        <f t="shared" si="6"/>
        <v>15.666211994622635</v>
      </c>
      <c r="O28" s="57">
        <f t="shared" si="7"/>
        <v>4.272603271260718</v>
      </c>
      <c r="P28" s="73">
        <v>26.611591631551708</v>
      </c>
      <c r="Q28" s="61"/>
      <c r="R28" s="61"/>
      <c r="S28" s="71">
        <f t="shared" si="8"/>
        <v>8501.9121896786128</v>
      </c>
      <c r="T28" s="72">
        <f t="shared" si="9"/>
        <v>0.85019121896786132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 t="str">
        <f>Jar_Information!M15</f>
        <v>27/07/2018 17:30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43321.497916666667</v>
      </c>
      <c r="C30" s="21">
        <v>1</v>
      </c>
      <c r="D30" s="59">
        <v>711.1</v>
      </c>
      <c r="E30" s="60">
        <v>186.39</v>
      </c>
      <c r="F30" s="53">
        <f t="shared" si="2"/>
        <v>6.9865227986393866E-3</v>
      </c>
      <c r="G30" s="53">
        <f t="shared" si="3"/>
        <v>6.9458072637605898E-3</v>
      </c>
      <c r="H30" s="53"/>
      <c r="I30" s="54" t="str">
        <f>Jar_Information!M16</f>
        <v>27/07/2018 17:30</v>
      </c>
      <c r="J30" s="55">
        <f t="shared" si="1"/>
        <v>12.76875000000291</v>
      </c>
      <c r="K30" s="55">
        <f t="shared" si="4"/>
        <v>306.45000000006985</v>
      </c>
      <c r="L30" s="56">
        <f>Jar_Information!H16</f>
        <v>1020.9105809506466</v>
      </c>
      <c r="M30" s="55">
        <f t="shared" si="5"/>
        <v>7.1326150491838733</v>
      </c>
      <c r="N30" s="55">
        <f t="shared" si="6"/>
        <v>13.05268554000649</v>
      </c>
      <c r="O30" s="57">
        <f t="shared" si="7"/>
        <v>3.5598233290926786</v>
      </c>
      <c r="P30" s="73">
        <v>26.855607956200881</v>
      </c>
      <c r="Q30" s="61"/>
      <c r="R30" s="61"/>
      <c r="S30" s="71">
        <f t="shared" si="8"/>
        <v>6986.5227986393866</v>
      </c>
      <c r="T30" s="72">
        <f t="shared" si="9"/>
        <v>0.69865227986393863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 t="str">
        <f>Jar_Information!M17</f>
        <v>27/07/2018 17:30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 t="str">
        <f>Jar_Information!M18</f>
        <v>27/07/2018 17:39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>
        <v>43321.50277777778</v>
      </c>
      <c r="C33" s="21">
        <v>0.2</v>
      </c>
      <c r="D33" s="59">
        <v>941.2</v>
      </c>
      <c r="E33" s="60">
        <v>260.77</v>
      </c>
      <c r="F33" s="53">
        <f t="shared" si="2"/>
        <v>4.5920548034859683E-2</v>
      </c>
      <c r="G33" s="53">
        <f t="shared" si="3"/>
        <v>4.8559070125807666E-2</v>
      </c>
      <c r="H33" s="61"/>
      <c r="I33" s="54" t="str">
        <f>Jar_Information!M19</f>
        <v>27/07/2018 17:39</v>
      </c>
      <c r="J33" s="55">
        <f t="shared" si="1"/>
        <v>12.767361111109494</v>
      </c>
      <c r="K33" s="55">
        <f t="shared" si="4"/>
        <v>306.41666666662786</v>
      </c>
      <c r="L33" s="56">
        <f>Jar_Information!H19</f>
        <v>1030.5926189758623</v>
      </c>
      <c r="M33" s="55">
        <f t="shared" si="5"/>
        <v>47.325377864052925</v>
      </c>
      <c r="N33" s="55">
        <f t="shared" si="6"/>
        <v>86.605441491216851</v>
      </c>
      <c r="O33" s="57">
        <f t="shared" si="7"/>
        <v>23.619665861240957</v>
      </c>
      <c r="P33" s="73">
        <v>27.110299231101873</v>
      </c>
      <c r="Q33" s="61"/>
      <c r="R33" s="61"/>
      <c r="S33" s="71">
        <f t="shared" si="8"/>
        <v>45920.548034859683</v>
      </c>
      <c r="T33" s="72">
        <f t="shared" si="9"/>
        <v>4.5920548034859685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 t="str">
        <f>Jar_Information!M20</f>
        <v>27/07/2018 17:39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 t="str">
        <f>Jar_Information!M21</f>
        <v>27/07/2018 17:39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 t="str">
        <f>Jar_Information!M22</f>
        <v>27/07/2018 17:39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5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N17" sqref="N17:N36"/>
    </sheetView>
  </sheetViews>
  <sheetFormatPr baseColWidth="10" defaultRowHeight="14" x14ac:dyDescent="0"/>
  <cols>
    <col min="2" max="2" width="19.83203125" bestFit="1" customWidth="1"/>
    <col min="9" max="9" width="15.6640625" bestFit="1" customWidth="1"/>
  </cols>
  <sheetData>
    <row r="1" spans="1:20">
      <c r="A1" s="25" t="s">
        <v>102</v>
      </c>
      <c r="B1" s="26" t="s">
        <v>89</v>
      </c>
      <c r="C1" s="26" t="s">
        <v>103</v>
      </c>
      <c r="D1" s="26" t="s">
        <v>104</v>
      </c>
      <c r="E1" s="26" t="s">
        <v>105</v>
      </c>
      <c r="F1" s="26" t="s">
        <v>106</v>
      </c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9"/>
    </row>
    <row r="2" spans="1:20" ht="16">
      <c r="A2" s="30" t="s">
        <v>107</v>
      </c>
      <c r="B2" s="30" t="s">
        <v>108</v>
      </c>
      <c r="C2" s="30" t="s">
        <v>109</v>
      </c>
      <c r="D2" s="30" t="s">
        <v>110</v>
      </c>
      <c r="E2" s="30" t="s">
        <v>110</v>
      </c>
      <c r="F2" s="30" t="s">
        <v>111</v>
      </c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9"/>
    </row>
    <row r="3" spans="1:20">
      <c r="A3" s="21">
        <v>5</v>
      </c>
      <c r="B3" s="31">
        <v>43325</v>
      </c>
      <c r="C3" s="32">
        <v>3015</v>
      </c>
      <c r="D3" s="22">
        <v>1622.1</v>
      </c>
      <c r="E3" s="33">
        <v>354.03</v>
      </c>
      <c r="F3" s="34">
        <f>A3/1000*C3</f>
        <v>15.075000000000001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20">
      <c r="A4" s="21">
        <v>4.4000000000000004</v>
      </c>
      <c r="B4" s="31">
        <v>43325</v>
      </c>
      <c r="C4" s="32">
        <v>3015</v>
      </c>
      <c r="D4" s="33">
        <v>1448.6</v>
      </c>
      <c r="E4" s="33">
        <v>325.07</v>
      </c>
      <c r="F4" s="34">
        <f t="shared" ref="F4:F13" si="0">A4/1000*C4</f>
        <v>13.266</v>
      </c>
      <c r="G4" s="35"/>
      <c r="H4" s="35"/>
      <c r="I4" s="35"/>
      <c r="J4" s="28"/>
      <c r="K4" s="28"/>
      <c r="L4" s="28"/>
      <c r="M4" s="28"/>
      <c r="N4" s="28"/>
      <c r="O4" s="28"/>
      <c r="P4" s="28"/>
      <c r="Q4" s="28"/>
      <c r="R4" s="29"/>
    </row>
    <row r="5" spans="1:20">
      <c r="A5" s="21">
        <v>4</v>
      </c>
      <c r="B5" s="31">
        <v>43325</v>
      </c>
      <c r="C5" s="32">
        <v>3015</v>
      </c>
      <c r="D5" s="22">
        <v>1335.6</v>
      </c>
      <c r="E5" s="33">
        <v>296.04000000000002</v>
      </c>
      <c r="F5" s="34">
        <f t="shared" si="0"/>
        <v>12.06</v>
      </c>
      <c r="G5" s="21"/>
      <c r="H5" s="21"/>
      <c r="I5" s="36"/>
      <c r="J5" s="28"/>
      <c r="K5" s="28"/>
      <c r="L5" s="28"/>
      <c r="M5" s="28"/>
      <c r="N5" s="28"/>
      <c r="O5" s="28"/>
      <c r="P5" s="28"/>
      <c r="Q5" s="28"/>
      <c r="R5" s="29"/>
    </row>
    <row r="6" spans="1:20">
      <c r="A6" s="21">
        <v>3.4</v>
      </c>
      <c r="B6" s="31">
        <v>43325</v>
      </c>
      <c r="C6" s="32">
        <v>3015</v>
      </c>
      <c r="D6" s="33">
        <v>1134.4000000000001</v>
      </c>
      <c r="E6" s="33">
        <v>269.52</v>
      </c>
      <c r="F6" s="34">
        <f t="shared" si="0"/>
        <v>10.250999999999999</v>
      </c>
      <c r="G6" s="35"/>
      <c r="H6" s="35"/>
      <c r="I6" s="35"/>
      <c r="J6" s="28"/>
      <c r="K6" s="28"/>
      <c r="L6" s="28"/>
      <c r="M6" s="28"/>
      <c r="N6" s="28"/>
      <c r="O6" s="28"/>
      <c r="P6" s="28"/>
      <c r="Q6" s="28"/>
      <c r="R6" s="29"/>
    </row>
    <row r="7" spans="1:20">
      <c r="A7" s="21">
        <v>3</v>
      </c>
      <c r="B7" s="31">
        <v>43325</v>
      </c>
      <c r="C7" s="32">
        <v>3015</v>
      </c>
      <c r="D7" s="22">
        <v>1009.3</v>
      </c>
      <c r="E7" s="33">
        <v>231.03</v>
      </c>
      <c r="F7" s="34">
        <f t="shared" si="0"/>
        <v>9.0449999999999999</v>
      </c>
      <c r="G7" s="21"/>
      <c r="H7" s="21"/>
      <c r="I7" s="36"/>
      <c r="J7" s="28"/>
      <c r="K7" s="28"/>
      <c r="L7" s="28"/>
      <c r="M7" s="28"/>
      <c r="N7" s="28"/>
      <c r="O7" s="28"/>
      <c r="P7" s="28"/>
      <c r="Q7" s="28"/>
      <c r="R7" s="29"/>
    </row>
    <row r="8" spans="1:20">
      <c r="A8" s="21">
        <v>2.4</v>
      </c>
      <c r="B8" s="31">
        <v>43325</v>
      </c>
      <c r="C8" s="32">
        <v>3015</v>
      </c>
      <c r="D8" s="33">
        <v>834.29</v>
      </c>
      <c r="E8" s="33">
        <v>193.45</v>
      </c>
      <c r="F8" s="34">
        <f t="shared" si="0"/>
        <v>7.2359999999999998</v>
      </c>
      <c r="G8" s="35"/>
      <c r="H8" s="35"/>
      <c r="I8" s="35"/>
      <c r="J8" s="28"/>
      <c r="K8" s="28"/>
      <c r="L8" s="28"/>
      <c r="M8" s="28"/>
      <c r="N8" s="28"/>
      <c r="O8" s="28"/>
      <c r="P8" s="28"/>
      <c r="Q8" s="28"/>
      <c r="R8" s="29"/>
    </row>
    <row r="9" spans="1:20">
      <c r="A9" s="21">
        <v>2</v>
      </c>
      <c r="B9" s="31">
        <v>43325</v>
      </c>
      <c r="C9" s="32">
        <v>3015</v>
      </c>
      <c r="D9" s="22">
        <v>706.75</v>
      </c>
      <c r="E9" s="33">
        <v>163.28</v>
      </c>
      <c r="F9" s="34">
        <f t="shared" si="0"/>
        <v>6.03</v>
      </c>
      <c r="G9" s="37" t="s">
        <v>112</v>
      </c>
      <c r="H9" s="37"/>
      <c r="I9" s="38">
        <f>SLOPE(F3:F13,D3:D13)</f>
        <v>9.2410202624130539E-3</v>
      </c>
      <c r="J9" s="28"/>
      <c r="K9" s="28"/>
      <c r="L9" s="28"/>
      <c r="M9" s="28"/>
      <c r="N9" s="28"/>
      <c r="O9" s="28"/>
      <c r="P9" s="28"/>
      <c r="Q9" s="28"/>
      <c r="R9" s="29"/>
    </row>
    <row r="10" spans="1:20">
      <c r="A10" s="21">
        <v>1.4</v>
      </c>
      <c r="B10" s="31">
        <v>43325</v>
      </c>
      <c r="C10" s="32">
        <v>3015</v>
      </c>
      <c r="D10" s="22">
        <v>507.72</v>
      </c>
      <c r="E10" s="33">
        <v>124.84</v>
      </c>
      <c r="F10" s="34">
        <f t="shared" si="0"/>
        <v>4.2210000000000001</v>
      </c>
      <c r="G10" s="37" t="s">
        <v>113</v>
      </c>
      <c r="H10" s="37"/>
      <c r="I10" s="38">
        <f>INTERCEPT(F3:F13,D3:D13)</f>
        <v>-0.22055644893612314</v>
      </c>
      <c r="J10" s="28"/>
      <c r="K10" s="28"/>
      <c r="L10" s="28"/>
      <c r="M10" s="28"/>
      <c r="N10" s="28"/>
      <c r="O10" s="28"/>
      <c r="P10" s="28"/>
      <c r="Q10" s="28"/>
      <c r="R10" s="29"/>
    </row>
    <row r="11" spans="1:20">
      <c r="A11" s="21">
        <v>1</v>
      </c>
      <c r="B11" s="31">
        <v>43325</v>
      </c>
      <c r="C11" s="32">
        <v>3015</v>
      </c>
      <c r="D11" s="22">
        <v>347.75</v>
      </c>
      <c r="E11" s="33">
        <v>88.421999999999997</v>
      </c>
      <c r="F11" s="34">
        <f t="shared" si="0"/>
        <v>3.0150000000000001</v>
      </c>
      <c r="G11" s="21"/>
      <c r="H11" s="21"/>
      <c r="I11" s="38"/>
      <c r="J11" s="28"/>
      <c r="K11" s="28"/>
      <c r="L11" s="28"/>
      <c r="M11" s="28"/>
      <c r="N11" s="28"/>
      <c r="O11" s="28"/>
      <c r="P11" s="28"/>
      <c r="Q11" s="28"/>
      <c r="R11" s="29"/>
    </row>
    <row r="12" spans="1:20">
      <c r="A12" s="39">
        <v>0.4</v>
      </c>
      <c r="B12" s="31">
        <v>43325</v>
      </c>
      <c r="C12" s="32">
        <v>3015</v>
      </c>
      <c r="D12" s="39">
        <v>129.61000000000001</v>
      </c>
      <c r="E12" s="39">
        <v>33.454999999999998</v>
      </c>
      <c r="F12" s="34">
        <f t="shared" si="0"/>
        <v>1.206</v>
      </c>
      <c r="G12" s="40" t="s">
        <v>114</v>
      </c>
      <c r="H12" s="40"/>
      <c r="I12" s="41">
        <f>SLOPE(F3:F13,E3:E13)</f>
        <v>4.2427618842352681E-2</v>
      </c>
      <c r="J12" s="28"/>
      <c r="K12" s="28"/>
      <c r="L12" s="28"/>
      <c r="M12" s="28"/>
      <c r="N12" s="28"/>
      <c r="O12" s="28"/>
      <c r="P12" s="28"/>
      <c r="Q12" s="28"/>
      <c r="R12" s="28"/>
    </row>
    <row r="13" spans="1:20">
      <c r="A13" s="39">
        <v>0.2</v>
      </c>
      <c r="B13" s="31">
        <v>43325</v>
      </c>
      <c r="C13" s="32">
        <v>3015</v>
      </c>
      <c r="D13" s="39">
        <v>60.762999999999998</v>
      </c>
      <c r="E13" s="39">
        <v>19.198</v>
      </c>
      <c r="F13" s="34">
        <f t="shared" si="0"/>
        <v>0.60299999999999998</v>
      </c>
      <c r="G13" s="42" t="s">
        <v>115</v>
      </c>
      <c r="H13" s="42"/>
      <c r="I13" s="41">
        <f>INTERCEPT(F3:F13,E3:E13)</f>
        <v>-0.63812341668800698</v>
      </c>
      <c r="J13" s="28"/>
      <c r="K13" s="28"/>
      <c r="L13" s="28"/>
      <c r="M13" s="28"/>
      <c r="N13" s="28"/>
      <c r="O13" s="28"/>
      <c r="P13" s="28"/>
      <c r="Q13" s="28"/>
      <c r="R13" s="28"/>
    </row>
    <row r="14" spans="1:20">
      <c r="A14" s="28"/>
      <c r="B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20" ht="16">
      <c r="A15" s="43" t="s">
        <v>74</v>
      </c>
      <c r="B15" s="43" t="s">
        <v>116</v>
      </c>
      <c r="C15" s="43" t="s">
        <v>76</v>
      </c>
      <c r="D15" s="43" t="s">
        <v>104</v>
      </c>
      <c r="E15" s="43" t="s">
        <v>105</v>
      </c>
      <c r="F15" s="44" t="s">
        <v>117</v>
      </c>
      <c r="G15" s="44" t="s">
        <v>118</v>
      </c>
      <c r="H15" s="45"/>
      <c r="I15" s="46" t="s">
        <v>119</v>
      </c>
      <c r="J15" s="43" t="s">
        <v>120</v>
      </c>
      <c r="K15" s="43" t="s">
        <v>120</v>
      </c>
      <c r="L15" s="43" t="s">
        <v>121</v>
      </c>
      <c r="M15" s="43" t="s">
        <v>122</v>
      </c>
      <c r="N15" s="43" t="s">
        <v>123</v>
      </c>
      <c r="O15" s="43" t="s">
        <v>124</v>
      </c>
      <c r="P15" s="76" t="s">
        <v>140</v>
      </c>
      <c r="Q15" s="43" t="s">
        <v>125</v>
      </c>
      <c r="R15" s="43" t="s">
        <v>126</v>
      </c>
      <c r="S15" s="68" t="s">
        <v>134</v>
      </c>
      <c r="T15" s="68" t="s">
        <v>133</v>
      </c>
    </row>
    <row r="16" spans="1:20" ht="17" thickBot="1">
      <c r="A16" s="47"/>
      <c r="B16" s="47" t="s">
        <v>127</v>
      </c>
      <c r="C16" s="47" t="s">
        <v>107</v>
      </c>
      <c r="D16" s="30" t="s">
        <v>110</v>
      </c>
      <c r="E16" s="30" t="s">
        <v>110</v>
      </c>
      <c r="F16" s="48" t="s">
        <v>128</v>
      </c>
      <c r="G16" s="48" t="s">
        <v>129</v>
      </c>
      <c r="H16" s="48"/>
      <c r="I16" s="49" t="s">
        <v>130</v>
      </c>
      <c r="J16" s="47" t="s">
        <v>131</v>
      </c>
      <c r="K16" s="47" t="s">
        <v>130</v>
      </c>
      <c r="L16" s="47" t="s">
        <v>107</v>
      </c>
      <c r="M16" s="47" t="s">
        <v>107</v>
      </c>
      <c r="N16" s="47" t="s">
        <v>132</v>
      </c>
      <c r="O16" s="47" t="s">
        <v>132</v>
      </c>
      <c r="P16" s="75" t="s">
        <v>141</v>
      </c>
      <c r="Q16" s="47"/>
      <c r="R16" s="47"/>
    </row>
    <row r="17" spans="1:20">
      <c r="A17" s="1" t="s">
        <v>9</v>
      </c>
      <c r="B17" s="50"/>
      <c r="C17" s="21"/>
      <c r="D17" s="51"/>
      <c r="E17" s="52"/>
      <c r="F17" s="53" t="e">
        <f>((I$9*D17)+I$10)/C17/1000</f>
        <v>#DIV/0!</v>
      </c>
      <c r="G17" s="53" t="e">
        <f>((I$12*E17)+I$13)/C17/1000</f>
        <v>#DIV/0!</v>
      </c>
      <c r="H17" s="53"/>
      <c r="I17" s="54" t="str">
        <f>Jar_Information!M3</f>
        <v>27/07/2018 16:50</v>
      </c>
      <c r="J17" s="55">
        <f t="shared" ref="J17:J36" si="1">B17-I17</f>
        <v>-43308.701388888891</v>
      </c>
      <c r="K17" s="55">
        <f>J17*24</f>
        <v>-1039408.8333333334</v>
      </c>
      <c r="L17" s="56">
        <f>Jar_Information!H3</f>
        <v>1035.7522123893805</v>
      </c>
      <c r="M17" s="55" t="e">
        <f>F17*L17</f>
        <v>#DIV/0!</v>
      </c>
      <c r="N17" s="55" t="e">
        <f>M17*1.83</f>
        <v>#DIV/0!</v>
      </c>
      <c r="O17" s="57" t="e">
        <f>N17*(12/(12+(16*2)))</f>
        <v>#DIV/0!</v>
      </c>
      <c r="P17" s="55">
        <v>27.373506019753322</v>
      </c>
      <c r="Q17" s="58"/>
      <c r="R17" s="58"/>
      <c r="S17" s="71" t="e">
        <f>F17*1000000</f>
        <v>#DIV/0!</v>
      </c>
      <c r="T17" s="72" t="e">
        <f>M17/L17*100</f>
        <v>#DIV/0!</v>
      </c>
    </row>
    <row r="18" spans="1:20">
      <c r="A18" s="1" t="s">
        <v>11</v>
      </c>
      <c r="B18" s="50"/>
      <c r="C18" s="21"/>
      <c r="D18" s="59"/>
      <c r="E18" s="60"/>
      <c r="F18" s="53" t="e">
        <f t="shared" ref="F18:F36" si="2">((I$9*D18)+I$10)/C18/1000</f>
        <v>#DIV/0!</v>
      </c>
      <c r="G18" s="53" t="e">
        <f t="shared" ref="G18:G36" si="3">((I$12*E18)+I$13)/C18/1000</f>
        <v>#DIV/0!</v>
      </c>
      <c r="H18" s="53"/>
      <c r="I18" s="54" t="str">
        <f>Jar_Information!M4</f>
        <v>27/07/2018 16:50</v>
      </c>
      <c r="J18" s="55">
        <f t="shared" si="1"/>
        <v>-43308.701388888891</v>
      </c>
      <c r="K18" s="55">
        <f t="shared" ref="K18:K36" si="4">J18*24</f>
        <v>-1039408.8333333334</v>
      </c>
      <c r="L18" s="56">
        <f>Jar_Information!H4</f>
        <v>1006.9230769230769</v>
      </c>
      <c r="M18" s="55" t="e">
        <f t="shared" ref="M18:M36" si="5">F18*L18</f>
        <v>#DIV/0!</v>
      </c>
      <c r="N18" s="55" t="e">
        <f t="shared" ref="N18:N36" si="6">M18*1.83</f>
        <v>#DIV/0!</v>
      </c>
      <c r="O18" s="57" t="e">
        <f t="shared" ref="O18:O36" si="7">N18*(12/(12+(16*2)))</f>
        <v>#DIV/0!</v>
      </c>
      <c r="P18" s="55">
        <v>26.611591631551708</v>
      </c>
      <c r="Q18" s="58"/>
      <c r="R18" s="58"/>
      <c r="S18" s="71" t="e">
        <f t="shared" ref="S18:S36" si="8">F18*1000000</f>
        <v>#DIV/0!</v>
      </c>
      <c r="T18" s="72" t="e">
        <f t="shared" ref="T18:T36" si="9">M18/L18*100</f>
        <v>#DIV/0!</v>
      </c>
    </row>
    <row r="19" spans="1:20">
      <c r="A19" s="1" t="s">
        <v>12</v>
      </c>
      <c r="B19" s="50"/>
      <c r="C19" s="21"/>
      <c r="D19" s="59"/>
      <c r="E19" s="60"/>
      <c r="F19" s="53" t="e">
        <f t="shared" si="2"/>
        <v>#DIV/0!</v>
      </c>
      <c r="G19" s="53" t="e">
        <f t="shared" si="3"/>
        <v>#DIV/0!</v>
      </c>
      <c r="H19" s="53"/>
      <c r="I19" s="54" t="str">
        <f>Jar_Information!M5</f>
        <v>27/07/2018 16:50</v>
      </c>
      <c r="J19" s="55">
        <f t="shared" si="1"/>
        <v>-43308.701388888891</v>
      </c>
      <c r="K19" s="55">
        <f t="shared" si="4"/>
        <v>-1039408.8333333334</v>
      </c>
      <c r="L19" s="56">
        <f>Jar_Information!H5</f>
        <v>1035.7522123893805</v>
      </c>
      <c r="M19" s="55" t="e">
        <f t="shared" si="5"/>
        <v>#DIV/0!</v>
      </c>
      <c r="N19" s="55" t="e">
        <f t="shared" si="6"/>
        <v>#DIV/0!</v>
      </c>
      <c r="O19" s="57" t="e">
        <f t="shared" si="7"/>
        <v>#DIV/0!</v>
      </c>
      <c r="P19" s="55">
        <v>27.373506019753343</v>
      </c>
      <c r="Q19" s="58"/>
      <c r="R19" s="58"/>
      <c r="S19" s="71" t="e">
        <f t="shared" si="8"/>
        <v>#DIV/0!</v>
      </c>
      <c r="T19" s="72" t="e">
        <f t="shared" si="9"/>
        <v>#DIV/0!</v>
      </c>
    </row>
    <row r="20" spans="1:20">
      <c r="A20" s="1" t="s">
        <v>13</v>
      </c>
      <c r="B20" s="50">
        <v>43325.48333333333</v>
      </c>
      <c r="C20" s="21">
        <v>2</v>
      </c>
      <c r="D20" s="59">
        <v>1226.8</v>
      </c>
      <c r="E20" s="60">
        <v>275.29000000000002</v>
      </c>
      <c r="F20" s="53">
        <f t="shared" si="2"/>
        <v>5.5581636044961047E-3</v>
      </c>
      <c r="G20" s="53">
        <f t="shared" si="3"/>
        <v>5.5208878872116318E-3</v>
      </c>
      <c r="H20" s="53"/>
      <c r="I20" s="54" t="str">
        <f>Jar_Information!M6</f>
        <v>27/07/2018 16:50</v>
      </c>
      <c r="J20" s="55">
        <f t="shared" si="1"/>
        <v>16.781944444439432</v>
      </c>
      <c r="K20" s="55">
        <f t="shared" si="4"/>
        <v>402.76666666654637</v>
      </c>
      <c r="L20" s="56">
        <f>Jar_Information!H6</f>
        <v>1006.9230769230769</v>
      </c>
      <c r="M20" s="55">
        <f t="shared" si="5"/>
        <v>5.5966431986810781</v>
      </c>
      <c r="N20" s="55">
        <f t="shared" si="6"/>
        <v>10.241857053586374</v>
      </c>
      <c r="O20" s="57">
        <f t="shared" si="7"/>
        <v>2.7932337418871929</v>
      </c>
      <c r="P20" s="55">
        <v>26.611591631551708</v>
      </c>
      <c r="Q20" s="58"/>
      <c r="R20" s="58"/>
      <c r="S20" s="71">
        <f t="shared" si="8"/>
        <v>5558.1636044961051</v>
      </c>
      <c r="T20" s="72">
        <f t="shared" si="9"/>
        <v>0.55581636044961047</v>
      </c>
    </row>
    <row r="21" spans="1:20">
      <c r="A21" s="1" t="s">
        <v>14</v>
      </c>
      <c r="B21" s="50">
        <v>43325.484722222223</v>
      </c>
      <c r="C21" s="21">
        <v>2</v>
      </c>
      <c r="D21" s="59">
        <v>1170.2</v>
      </c>
      <c r="E21" s="60">
        <v>276.62</v>
      </c>
      <c r="F21" s="53">
        <f t="shared" si="2"/>
        <v>5.2966427310698165E-3</v>
      </c>
      <c r="G21" s="53">
        <f t="shared" si="3"/>
        <v>5.549102253741796E-3</v>
      </c>
      <c r="H21" s="53"/>
      <c r="I21" s="54" t="str">
        <f>Jar_Information!M7</f>
        <v>27/07/2018 16:50</v>
      </c>
      <c r="J21" s="55">
        <f t="shared" si="1"/>
        <v>16.783333333332848</v>
      </c>
      <c r="K21" s="55">
        <f t="shared" si="4"/>
        <v>402.79999999998836</v>
      </c>
      <c r="L21" s="56">
        <f>Jar_Information!H7</f>
        <v>1026.0859728506789</v>
      </c>
      <c r="M21" s="55">
        <f t="shared" si="5"/>
        <v>5.4348108095522498</v>
      </c>
      <c r="N21" s="55">
        <f t="shared" si="6"/>
        <v>9.9457037814806171</v>
      </c>
      <c r="O21" s="57">
        <f t="shared" si="7"/>
        <v>2.7124646676765316</v>
      </c>
      <c r="P21" s="55">
        <v>27.118040607238672</v>
      </c>
      <c r="Q21" s="58"/>
      <c r="R21" s="58"/>
      <c r="S21" s="71">
        <f t="shared" si="8"/>
        <v>5296.6427310698164</v>
      </c>
      <c r="T21" s="72">
        <f t="shared" si="9"/>
        <v>0.52966427310698161</v>
      </c>
    </row>
    <row r="22" spans="1:20">
      <c r="A22" s="1" t="s">
        <v>15</v>
      </c>
      <c r="B22" s="50">
        <v>43325.486111111109</v>
      </c>
      <c r="C22" s="21">
        <v>2</v>
      </c>
      <c r="D22" s="59">
        <v>1222.0999999999999</v>
      </c>
      <c r="E22" s="60">
        <v>281.07</v>
      </c>
      <c r="F22" s="53">
        <f t="shared" si="2"/>
        <v>5.5364472068794354E-3</v>
      </c>
      <c r="G22" s="53">
        <f t="shared" si="3"/>
        <v>5.6435037056660302E-3</v>
      </c>
      <c r="H22" s="53"/>
      <c r="I22" s="54" t="str">
        <f>Jar_Information!M8</f>
        <v>27/07/2018 16:50</v>
      </c>
      <c r="J22" s="55">
        <f t="shared" si="1"/>
        <v>16.784722222218988</v>
      </c>
      <c r="K22" s="55">
        <f t="shared" si="4"/>
        <v>402.83333333325572</v>
      </c>
      <c r="L22" s="56">
        <f>Jar_Information!H8</f>
        <v>1002.1673217293657</v>
      </c>
      <c r="M22" s="55">
        <f t="shared" si="5"/>
        <v>5.5484464692143911</v>
      </c>
      <c r="N22" s="55">
        <f t="shared" si="6"/>
        <v>10.153657038662336</v>
      </c>
      <c r="O22" s="57">
        <f t="shared" si="7"/>
        <v>2.7691791923624551</v>
      </c>
      <c r="P22" s="55">
        <v>26.485903564592896</v>
      </c>
      <c r="Q22" s="58"/>
      <c r="R22" s="58"/>
      <c r="S22" s="71">
        <f t="shared" si="8"/>
        <v>5536.4472068794357</v>
      </c>
      <c r="T22" s="72">
        <f t="shared" si="9"/>
        <v>0.55364472068794357</v>
      </c>
    </row>
    <row r="23" spans="1:20">
      <c r="A23" s="1" t="s">
        <v>16</v>
      </c>
      <c r="B23" s="50"/>
      <c r="C23" s="21"/>
      <c r="D23" s="59"/>
      <c r="E23" s="60"/>
      <c r="F23" s="53" t="e">
        <f t="shared" si="2"/>
        <v>#DIV/0!</v>
      </c>
      <c r="G23" s="53" t="e">
        <f t="shared" si="3"/>
        <v>#DIV/0!</v>
      </c>
      <c r="H23" s="53"/>
      <c r="I23" s="54" t="str">
        <f>Jar_Information!M9</f>
        <v>27/07/2018 17:22</v>
      </c>
      <c r="J23" s="55">
        <f t="shared" si="1"/>
        <v>-43308.723611111112</v>
      </c>
      <c r="K23" s="55">
        <f t="shared" si="4"/>
        <v>-1039409.3666666667</v>
      </c>
      <c r="L23" s="56">
        <f>Jar_Information!H9</f>
        <v>1040.6067492330417</v>
      </c>
      <c r="M23" s="55" t="e">
        <f t="shared" si="5"/>
        <v>#DIV/0!</v>
      </c>
      <c r="N23" s="55" t="e">
        <f t="shared" si="6"/>
        <v>#DIV/0!</v>
      </c>
      <c r="O23" s="57" t="e">
        <f t="shared" si="7"/>
        <v>#DIV/0!</v>
      </c>
      <c r="P23" s="55">
        <v>27.501804749819797</v>
      </c>
      <c r="Q23" s="58"/>
      <c r="R23" s="58"/>
      <c r="S23" s="71" t="e">
        <f t="shared" si="8"/>
        <v>#DIV/0!</v>
      </c>
      <c r="T23" s="72" t="e">
        <f t="shared" si="9"/>
        <v>#DIV/0!</v>
      </c>
    </row>
    <row r="24" spans="1:20">
      <c r="A24" s="1" t="s">
        <v>17</v>
      </c>
      <c r="B24" s="50"/>
      <c r="C24" s="21"/>
      <c r="D24" s="59"/>
      <c r="E24" s="60"/>
      <c r="F24" s="53" t="e">
        <f t="shared" si="2"/>
        <v>#DIV/0!</v>
      </c>
      <c r="G24" s="53" t="e">
        <f t="shared" si="3"/>
        <v>#DIV/0!</v>
      </c>
      <c r="H24" s="53"/>
      <c r="I24" s="54" t="str">
        <f>Jar_Information!M10</f>
        <v>27/07/2018 17:22</v>
      </c>
      <c r="J24" s="55">
        <f t="shared" si="1"/>
        <v>-43308.723611111112</v>
      </c>
      <c r="K24" s="55">
        <f t="shared" si="4"/>
        <v>-1039409.3666666667</v>
      </c>
      <c r="L24" s="56">
        <f>Jar_Information!H10</f>
        <v>1026.0859728506789</v>
      </c>
      <c r="M24" s="55" t="e">
        <f t="shared" si="5"/>
        <v>#DIV/0!</v>
      </c>
      <c r="N24" s="55" t="e">
        <f t="shared" si="6"/>
        <v>#DIV/0!</v>
      </c>
      <c r="O24" s="57" t="e">
        <f t="shared" si="7"/>
        <v>#DIV/0!</v>
      </c>
      <c r="P24" s="55">
        <v>27.118040607238672</v>
      </c>
      <c r="Q24" s="58"/>
      <c r="R24" s="58"/>
      <c r="S24" s="71" t="e">
        <f t="shared" si="8"/>
        <v>#DIV/0!</v>
      </c>
      <c r="T24" s="72" t="e">
        <f t="shared" si="9"/>
        <v>#DIV/0!</v>
      </c>
    </row>
    <row r="25" spans="1:20">
      <c r="A25" s="1" t="s">
        <v>18</v>
      </c>
      <c r="B25" s="50"/>
      <c r="C25" s="21"/>
      <c r="D25" s="59"/>
      <c r="E25" s="60"/>
      <c r="F25" s="53" t="e">
        <f t="shared" si="2"/>
        <v>#DIV/0!</v>
      </c>
      <c r="G25" s="53" t="e">
        <f t="shared" si="3"/>
        <v>#DIV/0!</v>
      </c>
      <c r="H25" s="53"/>
      <c r="I25" s="54" t="str">
        <f>Jar_Information!M11</f>
        <v>27/07/2018 17:22</v>
      </c>
      <c r="J25" s="55">
        <f t="shared" si="1"/>
        <v>-43308.723611111112</v>
      </c>
      <c r="K25" s="55">
        <f t="shared" si="4"/>
        <v>-1039409.3666666667</v>
      </c>
      <c r="L25" s="56">
        <f>Jar_Information!H11</f>
        <v>1030.911974623315</v>
      </c>
      <c r="M25" s="55" t="e">
        <f t="shared" si="5"/>
        <v>#DIV/0!</v>
      </c>
      <c r="N25" s="55" t="e">
        <f t="shared" si="6"/>
        <v>#DIV/0!</v>
      </c>
      <c r="O25" s="57" t="e">
        <f t="shared" si="7"/>
        <v>#DIV/0!</v>
      </c>
      <c r="P25" s="73">
        <v>27.245585194635542</v>
      </c>
      <c r="Q25" s="61"/>
      <c r="R25" s="61"/>
      <c r="S25" s="71" t="e">
        <f t="shared" si="8"/>
        <v>#DIV/0!</v>
      </c>
      <c r="T25" s="72" t="e">
        <f t="shared" si="9"/>
        <v>#DIV/0!</v>
      </c>
    </row>
    <row r="26" spans="1:20">
      <c r="A26" s="1" t="s">
        <v>19</v>
      </c>
      <c r="B26" s="50">
        <v>43325.476388888892</v>
      </c>
      <c r="C26" s="21">
        <v>1</v>
      </c>
      <c r="D26" s="59">
        <v>1088.0999999999999</v>
      </c>
      <c r="E26" s="60">
        <v>255.31</v>
      </c>
      <c r="F26" s="53">
        <f t="shared" si="2"/>
        <v>9.8345976985955205E-3</v>
      </c>
      <c r="G26" s="53">
        <f t="shared" si="3"/>
        <v>1.0194071949953056E-2</v>
      </c>
      <c r="H26" s="53"/>
      <c r="I26" s="54" t="str">
        <f>Jar_Information!M12</f>
        <v>27/07/2018 17:22</v>
      </c>
      <c r="J26" s="55">
        <f t="shared" si="1"/>
        <v>16.752777777779556</v>
      </c>
      <c r="K26" s="55">
        <f t="shared" si="4"/>
        <v>402.06666666670935</v>
      </c>
      <c r="L26" s="56">
        <f>Jar_Information!H12</f>
        <v>1002.1673217293657</v>
      </c>
      <c r="M26" s="55">
        <f t="shared" si="5"/>
        <v>9.8559124358872552</v>
      </c>
      <c r="N26" s="55">
        <f t="shared" si="6"/>
        <v>18.036319757673677</v>
      </c>
      <c r="O26" s="57">
        <f t="shared" si="7"/>
        <v>4.9189962975473662</v>
      </c>
      <c r="P26" s="73">
        <v>26.485903564592896</v>
      </c>
      <c r="Q26" s="61"/>
      <c r="R26" s="61"/>
      <c r="S26" s="71">
        <f t="shared" si="8"/>
        <v>9834.5976985955203</v>
      </c>
      <c r="T26" s="72">
        <f t="shared" si="9"/>
        <v>0.98345976985955208</v>
      </c>
    </row>
    <row r="27" spans="1:20">
      <c r="A27" s="1" t="s">
        <v>20</v>
      </c>
      <c r="B27" s="50">
        <v>43325.479166666664</v>
      </c>
      <c r="C27" s="21">
        <v>1</v>
      </c>
      <c r="D27" s="59">
        <v>1073.3</v>
      </c>
      <c r="E27" s="60">
        <v>260.33</v>
      </c>
      <c r="F27" s="53">
        <f t="shared" si="2"/>
        <v>9.6978305987118069E-3</v>
      </c>
      <c r="G27" s="53">
        <f t="shared" si="3"/>
        <v>1.0407058596541665E-2</v>
      </c>
      <c r="H27" s="53"/>
      <c r="I27" s="54" t="str">
        <f>Jar_Information!M13</f>
        <v>27/07/2018 17:22</v>
      </c>
      <c r="J27" s="55">
        <f t="shared" si="1"/>
        <v>16.755555555551837</v>
      </c>
      <c r="K27" s="55">
        <f t="shared" si="4"/>
        <v>402.13333333324408</v>
      </c>
      <c r="L27" s="56">
        <f>Jar_Information!H13</f>
        <v>1002.1673217293657</v>
      </c>
      <c r="M27" s="55">
        <f t="shared" si="5"/>
        <v>9.7188489176961017</v>
      </c>
      <c r="N27" s="55">
        <f t="shared" si="6"/>
        <v>17.785493519383866</v>
      </c>
      <c r="O27" s="57">
        <f t="shared" si="7"/>
        <v>4.8505891416501452</v>
      </c>
      <c r="P27" s="73">
        <v>26.485903564592896</v>
      </c>
      <c r="Q27" s="61"/>
      <c r="R27" s="61"/>
      <c r="S27" s="71">
        <f t="shared" si="8"/>
        <v>9697.8305987118074</v>
      </c>
      <c r="T27" s="72">
        <f t="shared" si="9"/>
        <v>0.96978305987118074</v>
      </c>
    </row>
    <row r="28" spans="1:20">
      <c r="A28" s="1" t="s">
        <v>21</v>
      </c>
      <c r="B28" s="50">
        <v>43325.480555555558</v>
      </c>
      <c r="C28" s="21">
        <v>1</v>
      </c>
      <c r="D28" s="59">
        <v>1134.5999999999999</v>
      </c>
      <c r="E28" s="60">
        <v>258.60000000000002</v>
      </c>
      <c r="F28" s="53">
        <f t="shared" si="2"/>
        <v>1.0264305140797727E-2</v>
      </c>
      <c r="G28" s="53">
        <f t="shared" si="3"/>
        <v>1.0333658815944398E-2</v>
      </c>
      <c r="H28" s="53"/>
      <c r="I28" s="54" t="str">
        <f>Jar_Information!M14</f>
        <v>27/07/2018 17:30</v>
      </c>
      <c r="J28" s="55">
        <f t="shared" si="1"/>
        <v>16.751388888893416</v>
      </c>
      <c r="K28" s="55">
        <f t="shared" si="4"/>
        <v>402.03333333344199</v>
      </c>
      <c r="L28" s="56">
        <f>Jar_Information!H14</f>
        <v>1006.9230769230769</v>
      </c>
      <c r="M28" s="55">
        <f t="shared" si="5"/>
        <v>10.335365714849404</v>
      </c>
      <c r="N28" s="55">
        <f t="shared" si="6"/>
        <v>18.91371925817441</v>
      </c>
      <c r="O28" s="57">
        <f t="shared" si="7"/>
        <v>5.1582870704112027</v>
      </c>
      <c r="P28" s="73">
        <v>26.611591631551708</v>
      </c>
      <c r="Q28" s="61"/>
      <c r="R28" s="61"/>
      <c r="S28" s="71">
        <f t="shared" si="8"/>
        <v>10264.305140797727</v>
      </c>
      <c r="T28" s="72">
        <f t="shared" si="9"/>
        <v>1.0264305140797727</v>
      </c>
    </row>
    <row r="29" spans="1:20">
      <c r="A29" s="1" t="s">
        <v>22</v>
      </c>
      <c r="B29" s="50"/>
      <c r="C29" s="21"/>
      <c r="D29" s="59"/>
      <c r="E29" s="60"/>
      <c r="F29" s="53" t="e">
        <f t="shared" si="2"/>
        <v>#DIV/0!</v>
      </c>
      <c r="G29" s="53" t="e">
        <f t="shared" si="3"/>
        <v>#DIV/0!</v>
      </c>
      <c r="H29" s="53"/>
      <c r="I29" s="54" t="str">
        <f>Jar_Information!M15</f>
        <v>27/07/2018 17:30</v>
      </c>
      <c r="J29" s="55">
        <f t="shared" si="1"/>
        <v>-43308.729166666664</v>
      </c>
      <c r="K29" s="55">
        <f t="shared" si="4"/>
        <v>-1039409.5</v>
      </c>
      <c r="L29" s="56">
        <f>Jar_Information!H15</f>
        <v>1030.911974623315</v>
      </c>
      <c r="M29" s="55" t="e">
        <f t="shared" si="5"/>
        <v>#DIV/0!</v>
      </c>
      <c r="N29" s="55" t="e">
        <f t="shared" si="6"/>
        <v>#DIV/0!</v>
      </c>
      <c r="O29" s="57" t="e">
        <f t="shared" si="7"/>
        <v>#DIV/0!</v>
      </c>
      <c r="P29" s="73">
        <v>27.366497554966767</v>
      </c>
      <c r="Q29" s="61"/>
      <c r="R29" s="61"/>
      <c r="S29" s="71" t="e">
        <f t="shared" si="8"/>
        <v>#DIV/0!</v>
      </c>
      <c r="T29" s="72" t="e">
        <f t="shared" si="9"/>
        <v>#DIV/0!</v>
      </c>
    </row>
    <row r="30" spans="1:20">
      <c r="A30" s="1" t="s">
        <v>23</v>
      </c>
      <c r="B30" s="50">
        <v>43325.481944444444</v>
      </c>
      <c r="C30" s="21">
        <v>1</v>
      </c>
      <c r="D30" s="59">
        <v>1282</v>
      </c>
      <c r="E30" s="60">
        <v>296.18</v>
      </c>
      <c r="F30" s="53">
        <f t="shared" si="2"/>
        <v>1.1626431527477412E-2</v>
      </c>
      <c r="G30" s="53">
        <f t="shared" si="3"/>
        <v>1.192808873204001E-2</v>
      </c>
      <c r="H30" s="53"/>
      <c r="I30" s="54" t="str">
        <f>Jar_Information!M16</f>
        <v>27/07/2018 17:30</v>
      </c>
      <c r="J30" s="55">
        <f t="shared" si="1"/>
        <v>16.752777777779556</v>
      </c>
      <c r="K30" s="55">
        <f t="shared" si="4"/>
        <v>402.06666666670935</v>
      </c>
      <c r="L30" s="56">
        <f>Jar_Information!H16</f>
        <v>1020.9105809506466</v>
      </c>
      <c r="M30" s="55">
        <f t="shared" si="5"/>
        <v>11.869546965099879</v>
      </c>
      <c r="N30" s="55">
        <f t="shared" si="6"/>
        <v>21.72127094613278</v>
      </c>
      <c r="O30" s="57">
        <f t="shared" si="7"/>
        <v>5.9239829853089399</v>
      </c>
      <c r="P30" s="73">
        <v>26.855607956200881</v>
      </c>
      <c r="Q30" s="61"/>
      <c r="R30" s="61"/>
      <c r="S30" s="71">
        <f t="shared" si="8"/>
        <v>11626.431527477413</v>
      </c>
      <c r="T30" s="72">
        <f t="shared" si="9"/>
        <v>1.1626431527477412</v>
      </c>
    </row>
    <row r="31" spans="1:20">
      <c r="A31" s="1" t="s">
        <v>24</v>
      </c>
      <c r="B31" s="50"/>
      <c r="C31" s="21"/>
      <c r="D31" s="59"/>
      <c r="E31" s="60"/>
      <c r="F31" s="53" t="e">
        <f t="shared" si="2"/>
        <v>#DIV/0!</v>
      </c>
      <c r="G31" s="53" t="e">
        <f t="shared" si="3"/>
        <v>#DIV/0!</v>
      </c>
      <c r="H31" s="53"/>
      <c r="I31" s="54" t="str">
        <f>Jar_Information!M17</f>
        <v>27/07/2018 17:30</v>
      </c>
      <c r="J31" s="55">
        <f t="shared" si="1"/>
        <v>-43308.729166666664</v>
      </c>
      <c r="K31" s="55">
        <f t="shared" si="4"/>
        <v>-1039409.5</v>
      </c>
      <c r="L31" s="56">
        <f>Jar_Information!H17</f>
        <v>1030.5926189758623</v>
      </c>
      <c r="M31" s="55" t="e">
        <f t="shared" si="5"/>
        <v>#DIV/0!</v>
      </c>
      <c r="N31" s="55" t="e">
        <f t="shared" si="6"/>
        <v>#DIV/0!</v>
      </c>
      <c r="O31" s="57" t="e">
        <f t="shared" si="7"/>
        <v>#DIV/0!</v>
      </c>
      <c r="P31" s="73">
        <v>27.110299231101873</v>
      </c>
      <c r="Q31" s="61"/>
      <c r="R31" s="61"/>
      <c r="S31" s="71" t="e">
        <f t="shared" si="8"/>
        <v>#DIV/0!</v>
      </c>
      <c r="T31" s="72" t="e">
        <f t="shared" si="9"/>
        <v>#DIV/0!</v>
      </c>
    </row>
    <row r="32" spans="1:20">
      <c r="A32" s="1" t="s">
        <v>25</v>
      </c>
      <c r="B32" s="50"/>
      <c r="C32" s="21"/>
      <c r="D32" s="59"/>
      <c r="E32" s="60"/>
      <c r="F32" s="53" t="e">
        <f t="shared" si="2"/>
        <v>#DIV/0!</v>
      </c>
      <c r="G32" s="53" t="e">
        <f t="shared" si="3"/>
        <v>#DIV/0!</v>
      </c>
      <c r="H32" s="53"/>
      <c r="I32" s="54" t="str">
        <f>Jar_Information!M18</f>
        <v>27/07/2018 17:39</v>
      </c>
      <c r="J32" s="55">
        <f t="shared" si="1"/>
        <v>-43308.73541666667</v>
      </c>
      <c r="K32" s="55">
        <f t="shared" si="4"/>
        <v>-1039409.6500000001</v>
      </c>
      <c r="L32" s="56">
        <f>Jar_Information!H18</f>
        <v>1025.7444703328972</v>
      </c>
      <c r="M32" s="55" t="e">
        <f t="shared" si="5"/>
        <v>#DIV/0!</v>
      </c>
      <c r="N32" s="55" t="e">
        <f t="shared" si="6"/>
        <v>#DIV/0!</v>
      </c>
      <c r="O32" s="57" t="e">
        <f t="shared" si="7"/>
        <v>#DIV/0!</v>
      </c>
      <c r="P32" s="73">
        <v>26.982766044848059</v>
      </c>
      <c r="Q32" s="61"/>
      <c r="R32" s="61"/>
      <c r="S32" s="71" t="e">
        <f t="shared" si="8"/>
        <v>#DIV/0!</v>
      </c>
      <c r="T32" s="72" t="e">
        <f t="shared" si="9"/>
        <v>#DIV/0!</v>
      </c>
    </row>
    <row r="33" spans="1:20">
      <c r="A33" s="1" t="s">
        <v>26</v>
      </c>
      <c r="B33" s="50"/>
      <c r="C33" s="21"/>
      <c r="D33" s="59"/>
      <c r="E33" s="60"/>
      <c r="F33" s="53" t="e">
        <f t="shared" si="2"/>
        <v>#DIV/0!</v>
      </c>
      <c r="G33" s="53" t="e">
        <f t="shared" si="3"/>
        <v>#DIV/0!</v>
      </c>
      <c r="H33" s="61"/>
      <c r="I33" s="54" t="str">
        <f>Jar_Information!M19</f>
        <v>27/07/2018 17:39</v>
      </c>
      <c r="J33" s="55">
        <f t="shared" si="1"/>
        <v>-43308.73541666667</v>
      </c>
      <c r="K33" s="55">
        <f t="shared" si="4"/>
        <v>-1039409.6500000001</v>
      </c>
      <c r="L33" s="56">
        <f>Jar_Information!H19</f>
        <v>1030.5926189758623</v>
      </c>
      <c r="M33" s="55" t="e">
        <f t="shared" si="5"/>
        <v>#DIV/0!</v>
      </c>
      <c r="N33" s="55" t="e">
        <f t="shared" si="6"/>
        <v>#DIV/0!</v>
      </c>
      <c r="O33" s="57" t="e">
        <f t="shared" si="7"/>
        <v>#DIV/0!</v>
      </c>
      <c r="P33" s="73">
        <v>27.110299231101873</v>
      </c>
      <c r="Q33" s="61"/>
      <c r="R33" s="61"/>
      <c r="S33" s="71" t="e">
        <f t="shared" si="8"/>
        <v>#DIV/0!</v>
      </c>
      <c r="T33" s="72" t="e">
        <f t="shared" si="9"/>
        <v>#DIV/0!</v>
      </c>
    </row>
    <row r="34" spans="1:20">
      <c r="A34" s="1" t="s">
        <v>27</v>
      </c>
      <c r="B34" s="50"/>
      <c r="C34" s="21"/>
      <c r="D34" s="59"/>
      <c r="E34" s="60"/>
      <c r="F34" s="53" t="e">
        <f t="shared" si="2"/>
        <v>#DIV/0!</v>
      </c>
      <c r="G34" s="53" t="e">
        <f t="shared" si="3"/>
        <v>#DIV/0!</v>
      </c>
      <c r="H34" s="61"/>
      <c r="I34" s="54" t="str">
        <f>Jar_Information!M20</f>
        <v>27/07/2018 17:39</v>
      </c>
      <c r="J34" s="55">
        <f t="shared" si="1"/>
        <v>-43308.73541666667</v>
      </c>
      <c r="K34" s="55">
        <f t="shared" si="4"/>
        <v>-1039409.6500000001</v>
      </c>
      <c r="L34" s="56">
        <f>Jar_Information!H20</f>
        <v>1040.3319471669079</v>
      </c>
      <c r="M34" s="55" t="e">
        <f t="shared" si="5"/>
        <v>#DIV/0!</v>
      </c>
      <c r="N34" s="55" t="e">
        <f t="shared" si="6"/>
        <v>#DIV/0!</v>
      </c>
      <c r="O34" s="57" t="e">
        <f t="shared" si="7"/>
        <v>#DIV/0!</v>
      </c>
      <c r="P34" s="73">
        <v>27.366497554966767</v>
      </c>
      <c r="Q34" s="61"/>
      <c r="R34" s="61"/>
      <c r="S34" s="71" t="e">
        <f t="shared" si="8"/>
        <v>#DIV/0!</v>
      </c>
      <c r="T34" s="72" t="e">
        <f t="shared" si="9"/>
        <v>#DIV/0!</v>
      </c>
    </row>
    <row r="35" spans="1:20">
      <c r="A35" s="1" t="s">
        <v>28</v>
      </c>
      <c r="B35" s="50"/>
      <c r="C35" s="21"/>
      <c r="D35" s="59"/>
      <c r="E35" s="60"/>
      <c r="F35" s="53" t="e">
        <f t="shared" si="2"/>
        <v>#DIV/0!</v>
      </c>
      <c r="G35" s="53" t="e">
        <f t="shared" si="3"/>
        <v>#DIV/0!</v>
      </c>
      <c r="H35" s="61"/>
      <c r="I35" s="54" t="str">
        <f>Jar_Information!M21</f>
        <v>27/07/2018 17:39</v>
      </c>
      <c r="J35" s="55">
        <f t="shared" si="1"/>
        <v>-43308.73541666667</v>
      </c>
      <c r="K35" s="55">
        <f t="shared" si="4"/>
        <v>-1039409.6500000001</v>
      </c>
      <c r="L35" s="56">
        <f>Jar_Information!H21</f>
        <v>1055.0494758003301</v>
      </c>
      <c r="M35" s="55" t="e">
        <f t="shared" si="5"/>
        <v>#DIV/0!</v>
      </c>
      <c r="N35" s="55" t="e">
        <f t="shared" si="6"/>
        <v>#DIV/0!</v>
      </c>
      <c r="O35" s="57" t="e">
        <f t="shared" si="7"/>
        <v>#DIV/0!</v>
      </c>
      <c r="P35" s="74">
        <v>27.753650148385191</v>
      </c>
      <c r="Q35" s="61"/>
      <c r="S35" s="71" t="e">
        <f t="shared" si="8"/>
        <v>#DIV/0!</v>
      </c>
      <c r="T35" s="72" t="e">
        <f t="shared" si="9"/>
        <v>#DIV/0!</v>
      </c>
    </row>
    <row r="36" spans="1:20">
      <c r="A36" s="1" t="s">
        <v>29</v>
      </c>
      <c r="B36" s="50"/>
      <c r="C36" s="21"/>
      <c r="D36" s="59"/>
      <c r="E36" s="60"/>
      <c r="F36" s="53" t="e">
        <f t="shared" si="2"/>
        <v>#DIV/0!</v>
      </c>
      <c r="G36" s="53" t="e">
        <f t="shared" si="3"/>
        <v>#DIV/0!</v>
      </c>
      <c r="H36" s="61"/>
      <c r="I36" s="54" t="str">
        <f>Jar_Information!M22</f>
        <v>27/07/2018 17:39</v>
      </c>
      <c r="J36" s="55">
        <f t="shared" si="1"/>
        <v>-43308.73541666667</v>
      </c>
      <c r="K36" s="55">
        <f t="shared" si="4"/>
        <v>-1039409.6500000001</v>
      </c>
      <c r="L36" s="56">
        <f>Jar_Information!H22</f>
        <v>1030.5926189758623</v>
      </c>
      <c r="M36" s="55" t="e">
        <f t="shared" si="5"/>
        <v>#DIV/0!</v>
      </c>
      <c r="N36" s="55" t="e">
        <f t="shared" si="6"/>
        <v>#DIV/0!</v>
      </c>
      <c r="O36" s="57" t="e">
        <f t="shared" si="7"/>
        <v>#DIV/0!</v>
      </c>
      <c r="P36" s="74">
        <v>27.110299231101873</v>
      </c>
      <c r="Q36" s="61"/>
      <c r="S36" s="71" t="e">
        <f t="shared" si="8"/>
        <v>#DIV/0!</v>
      </c>
      <c r="T36" s="72" t="e">
        <f t="shared" si="9"/>
        <v>#DIV/0!</v>
      </c>
    </row>
    <row r="37" spans="1:20">
      <c r="A37" s="62"/>
      <c r="B37" s="50"/>
    </row>
  </sheetData>
  <conditionalFormatting sqref="N17:N36">
    <cfRule type="cellIs" dxfId="1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arc_inc_ids</vt:lpstr>
      <vt:lpstr>Leakage</vt:lpstr>
      <vt:lpstr>Template</vt:lpstr>
      <vt:lpstr>Jar_Information</vt:lpstr>
      <vt:lpstr>30.07.18</vt:lpstr>
      <vt:lpstr>02.08.18</vt:lpstr>
      <vt:lpstr>06.08.18</vt:lpstr>
      <vt:lpstr>09.08.18</vt:lpstr>
      <vt:lpstr>13.08.18</vt:lpstr>
      <vt:lpstr>20.08.18</vt:lpstr>
      <vt:lpstr>24.08.18</vt:lpstr>
      <vt:lpstr>27.08.18</vt:lpstr>
      <vt:lpstr>03.09.18</vt:lpstr>
      <vt:lpstr>CO2_Summary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2018-08-24T11:54:41Z</cp:lastPrinted>
  <dcterms:created xsi:type="dcterms:W3CDTF">2018-07-27T08:01:59Z</dcterms:created>
  <dcterms:modified xsi:type="dcterms:W3CDTF">2019-05-17T12:23:43Z</dcterms:modified>
</cp:coreProperties>
</file>