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400" yWindow="380" windowWidth="25040" windowHeight="15500" firstSheet="8" activeTab="15"/>
  </bookViews>
  <sheets>
    <sheet name="arc_inc_ids" sheetId="1" r:id="rId1"/>
    <sheet name="Leakage" sheetId="2" r:id="rId2"/>
    <sheet name="Template" sheetId="3" r:id="rId3"/>
    <sheet name="Jar_Information" sheetId="4" r:id="rId4"/>
    <sheet name="30.07.18" sheetId="5" r:id="rId5"/>
    <sheet name="02.08.18" sheetId="6" r:id="rId6"/>
    <sheet name="06.08.18" sheetId="7" r:id="rId7"/>
    <sheet name="09.08.18" sheetId="9" r:id="rId8"/>
    <sheet name="13.08.18" sheetId="10" r:id="rId9"/>
    <sheet name="20.08.18" sheetId="11" r:id="rId10"/>
    <sheet name="24.08.18" sheetId="12" r:id="rId11"/>
    <sheet name="27.08.18" sheetId="13" r:id="rId12"/>
    <sheet name="03.09.18" sheetId="14" r:id="rId13"/>
    <sheet name="CO2_Summary" sheetId="8" r:id="rId14"/>
    <sheet name="arc-tme-flux-t2-1" sheetId="15" r:id="rId15"/>
    <sheet name="arc-tme-flux-t2-2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6" l="1"/>
  <c r="D3" i="16"/>
  <c r="E3" i="16"/>
  <c r="F3" i="16"/>
  <c r="G3" i="16"/>
  <c r="H3" i="16"/>
  <c r="J3" i="16"/>
  <c r="K3" i="16"/>
  <c r="L3" i="16"/>
  <c r="N3" i="16"/>
  <c r="O3" i="16"/>
  <c r="P3" i="16"/>
  <c r="I4" i="16"/>
  <c r="D4" i="16"/>
  <c r="E4" i="16"/>
  <c r="F4" i="16"/>
  <c r="G4" i="16"/>
  <c r="H4" i="16"/>
  <c r="J4" i="16"/>
  <c r="K4" i="16"/>
  <c r="L4" i="16"/>
  <c r="N4" i="16"/>
  <c r="O4" i="16"/>
  <c r="P4" i="16"/>
  <c r="I5" i="16"/>
  <c r="D5" i="16"/>
  <c r="E5" i="16"/>
  <c r="F5" i="16"/>
  <c r="G5" i="16"/>
  <c r="H5" i="16"/>
  <c r="J5" i="16"/>
  <c r="K5" i="16"/>
  <c r="L5" i="16"/>
  <c r="N5" i="16"/>
  <c r="O5" i="16"/>
  <c r="P5" i="16"/>
  <c r="I6" i="16"/>
  <c r="D6" i="16"/>
  <c r="E6" i="16"/>
  <c r="F6" i="16"/>
  <c r="G6" i="16"/>
  <c r="H6" i="16"/>
  <c r="J6" i="16"/>
  <c r="K6" i="16"/>
  <c r="L6" i="16"/>
  <c r="N6" i="16"/>
  <c r="O6" i="16"/>
  <c r="P6" i="16"/>
  <c r="I7" i="16"/>
  <c r="D7" i="16"/>
  <c r="E7" i="16"/>
  <c r="F7" i="16"/>
  <c r="G7" i="16"/>
  <c r="H7" i="16"/>
  <c r="J7" i="16"/>
  <c r="K7" i="16"/>
  <c r="L7" i="16"/>
  <c r="N7" i="16"/>
  <c r="O7" i="16"/>
  <c r="P7" i="16"/>
  <c r="I8" i="16"/>
  <c r="D8" i="16"/>
  <c r="E8" i="16"/>
  <c r="F8" i="16"/>
  <c r="G8" i="16"/>
  <c r="H8" i="16"/>
  <c r="J8" i="16"/>
  <c r="K8" i="16"/>
  <c r="L8" i="16"/>
  <c r="N8" i="16"/>
  <c r="O8" i="16"/>
  <c r="P8" i="16"/>
  <c r="I9" i="16"/>
  <c r="D9" i="16"/>
  <c r="E9" i="16"/>
  <c r="F9" i="16"/>
  <c r="G9" i="16"/>
  <c r="H9" i="16"/>
  <c r="J9" i="16"/>
  <c r="K9" i="16"/>
  <c r="L9" i="16"/>
  <c r="N9" i="16"/>
  <c r="O9" i="16"/>
  <c r="P9" i="16"/>
  <c r="I10" i="16"/>
  <c r="D10" i="16"/>
  <c r="E10" i="16"/>
  <c r="F10" i="16"/>
  <c r="G10" i="16"/>
  <c r="H10" i="16"/>
  <c r="J10" i="16"/>
  <c r="K10" i="16"/>
  <c r="L10" i="16"/>
  <c r="N10" i="16"/>
  <c r="O10" i="16"/>
  <c r="P10" i="16"/>
  <c r="I11" i="16"/>
  <c r="D11" i="16"/>
  <c r="E11" i="16"/>
  <c r="F11" i="16"/>
  <c r="G11" i="16"/>
  <c r="H11" i="16"/>
  <c r="J11" i="16"/>
  <c r="K11" i="16"/>
  <c r="L11" i="16"/>
  <c r="N11" i="16"/>
  <c r="O11" i="16"/>
  <c r="P11" i="16"/>
  <c r="I12" i="16"/>
  <c r="D12" i="16"/>
  <c r="E12" i="16"/>
  <c r="F12" i="16"/>
  <c r="G12" i="16"/>
  <c r="H12" i="16"/>
  <c r="J12" i="16"/>
  <c r="K12" i="16"/>
  <c r="L12" i="16"/>
  <c r="N12" i="16"/>
  <c r="O12" i="16"/>
  <c r="P12" i="16"/>
  <c r="I13" i="16"/>
  <c r="D13" i="16"/>
  <c r="E13" i="16"/>
  <c r="F13" i="16"/>
  <c r="G13" i="16"/>
  <c r="H13" i="16"/>
  <c r="J13" i="16"/>
  <c r="K13" i="16"/>
  <c r="L13" i="16"/>
  <c r="N13" i="16"/>
  <c r="O13" i="16"/>
  <c r="P13" i="16"/>
  <c r="I14" i="16"/>
  <c r="D14" i="16"/>
  <c r="E14" i="16"/>
  <c r="F14" i="16"/>
  <c r="G14" i="16"/>
  <c r="H14" i="16"/>
  <c r="J14" i="16"/>
  <c r="K14" i="16"/>
  <c r="L14" i="16"/>
  <c r="N14" i="16"/>
  <c r="O14" i="16"/>
  <c r="P14" i="16"/>
  <c r="I15" i="16"/>
  <c r="D15" i="16"/>
  <c r="E15" i="16"/>
  <c r="F15" i="16"/>
  <c r="G15" i="16"/>
  <c r="H15" i="16"/>
  <c r="J15" i="16"/>
  <c r="K15" i="16"/>
  <c r="L15" i="16"/>
  <c r="N15" i="16"/>
  <c r="O15" i="16"/>
  <c r="P15" i="16"/>
  <c r="I16" i="16"/>
  <c r="D16" i="16"/>
  <c r="E16" i="16"/>
  <c r="F16" i="16"/>
  <c r="G16" i="16"/>
  <c r="H16" i="16"/>
  <c r="J16" i="16"/>
  <c r="K16" i="16"/>
  <c r="L16" i="16"/>
  <c r="N16" i="16"/>
  <c r="O16" i="16"/>
  <c r="P16" i="16"/>
  <c r="I17" i="16"/>
  <c r="D17" i="16"/>
  <c r="E17" i="16"/>
  <c r="F17" i="16"/>
  <c r="G17" i="16"/>
  <c r="H17" i="16"/>
  <c r="J17" i="16"/>
  <c r="K17" i="16"/>
  <c r="L17" i="16"/>
  <c r="N17" i="16"/>
  <c r="O17" i="16"/>
  <c r="P17" i="16"/>
  <c r="I18" i="16"/>
  <c r="D18" i="16"/>
  <c r="E18" i="16"/>
  <c r="F18" i="16"/>
  <c r="G18" i="16"/>
  <c r="H18" i="16"/>
  <c r="J18" i="16"/>
  <c r="K18" i="16"/>
  <c r="L18" i="16"/>
  <c r="N18" i="16"/>
  <c r="O18" i="16"/>
  <c r="P18" i="16"/>
  <c r="I19" i="16"/>
  <c r="D19" i="16"/>
  <c r="E19" i="16"/>
  <c r="F19" i="16"/>
  <c r="G19" i="16"/>
  <c r="H19" i="16"/>
  <c r="J19" i="16"/>
  <c r="K19" i="16"/>
  <c r="L19" i="16"/>
  <c r="N19" i="16"/>
  <c r="O19" i="16"/>
  <c r="P19" i="16"/>
  <c r="I20" i="16"/>
  <c r="D20" i="16"/>
  <c r="E20" i="16"/>
  <c r="F20" i="16"/>
  <c r="G20" i="16"/>
  <c r="H20" i="16"/>
  <c r="J20" i="16"/>
  <c r="K20" i="16"/>
  <c r="L20" i="16"/>
  <c r="N20" i="16"/>
  <c r="O20" i="16"/>
  <c r="P20" i="16"/>
  <c r="I21" i="16"/>
  <c r="D21" i="16"/>
  <c r="E21" i="16"/>
  <c r="F21" i="16"/>
  <c r="G21" i="16"/>
  <c r="H21" i="16"/>
  <c r="J21" i="16"/>
  <c r="K21" i="16"/>
  <c r="L21" i="16"/>
  <c r="N21" i="16"/>
  <c r="O21" i="16"/>
  <c r="P21" i="16"/>
  <c r="I22" i="16"/>
  <c r="D22" i="16"/>
  <c r="E22" i="16"/>
  <c r="F22" i="16"/>
  <c r="G22" i="16"/>
  <c r="H22" i="16"/>
  <c r="J22" i="16"/>
  <c r="K22" i="16"/>
  <c r="L22" i="16"/>
  <c r="N22" i="16"/>
  <c r="O22" i="16"/>
  <c r="P22" i="16"/>
  <c r="I23" i="16"/>
  <c r="D23" i="16"/>
  <c r="E23" i="16"/>
  <c r="F23" i="16"/>
  <c r="G23" i="16"/>
  <c r="H23" i="16"/>
  <c r="J23" i="16"/>
  <c r="K23" i="16"/>
  <c r="L23" i="16"/>
  <c r="N23" i="16"/>
  <c r="O23" i="16"/>
  <c r="P23" i="16"/>
  <c r="I24" i="16"/>
  <c r="D24" i="16"/>
  <c r="E24" i="16"/>
  <c r="F24" i="16"/>
  <c r="G24" i="16"/>
  <c r="H24" i="16"/>
  <c r="J24" i="16"/>
  <c r="K24" i="16"/>
  <c r="L24" i="16"/>
  <c r="N24" i="16"/>
  <c r="O24" i="16"/>
  <c r="P24" i="16"/>
  <c r="I25" i="16"/>
  <c r="D25" i="16"/>
  <c r="E25" i="16"/>
  <c r="F25" i="16"/>
  <c r="G25" i="16"/>
  <c r="H25" i="16"/>
  <c r="J25" i="16"/>
  <c r="K25" i="16"/>
  <c r="L25" i="16"/>
  <c r="N25" i="16"/>
  <c r="O25" i="16"/>
  <c r="P25" i="16"/>
  <c r="I26" i="16"/>
  <c r="D26" i="16"/>
  <c r="E26" i="16"/>
  <c r="F26" i="16"/>
  <c r="G26" i="16"/>
  <c r="H26" i="16"/>
  <c r="J26" i="16"/>
  <c r="K26" i="16"/>
  <c r="L26" i="16"/>
  <c r="N26" i="16"/>
  <c r="O26" i="16"/>
  <c r="P26" i="16"/>
  <c r="I27" i="16"/>
  <c r="D27" i="16"/>
  <c r="E27" i="16"/>
  <c r="F27" i="16"/>
  <c r="G27" i="16"/>
  <c r="H27" i="16"/>
  <c r="J27" i="16"/>
  <c r="K27" i="16"/>
  <c r="L27" i="16"/>
  <c r="N27" i="16"/>
  <c r="O27" i="16"/>
  <c r="P27" i="16"/>
  <c r="I28" i="16"/>
  <c r="D28" i="16"/>
  <c r="E28" i="16"/>
  <c r="F28" i="16"/>
  <c r="G28" i="16"/>
  <c r="H28" i="16"/>
  <c r="J28" i="16"/>
  <c r="K28" i="16"/>
  <c r="L28" i="16"/>
  <c r="N28" i="16"/>
  <c r="O28" i="16"/>
  <c r="P28" i="16"/>
  <c r="I29" i="16"/>
  <c r="D29" i="16"/>
  <c r="E29" i="16"/>
  <c r="F29" i="16"/>
  <c r="G29" i="16"/>
  <c r="H29" i="16"/>
  <c r="J29" i="16"/>
  <c r="K29" i="16"/>
  <c r="L29" i="16"/>
  <c r="N29" i="16"/>
  <c r="O29" i="16"/>
  <c r="P29" i="16"/>
  <c r="I30" i="16"/>
  <c r="D30" i="16"/>
  <c r="E30" i="16"/>
  <c r="F30" i="16"/>
  <c r="G30" i="16"/>
  <c r="H30" i="16"/>
  <c r="J30" i="16"/>
  <c r="K30" i="16"/>
  <c r="L30" i="16"/>
  <c r="N30" i="16"/>
  <c r="O30" i="16"/>
  <c r="P30" i="16"/>
  <c r="I31" i="16"/>
  <c r="D31" i="16"/>
  <c r="E31" i="16"/>
  <c r="F31" i="16"/>
  <c r="G31" i="16"/>
  <c r="H31" i="16"/>
  <c r="J31" i="16"/>
  <c r="K31" i="16"/>
  <c r="L31" i="16"/>
  <c r="N31" i="16"/>
  <c r="O31" i="16"/>
  <c r="P31" i="16"/>
  <c r="I32" i="16"/>
  <c r="D32" i="16"/>
  <c r="E32" i="16"/>
  <c r="F32" i="16"/>
  <c r="G32" i="16"/>
  <c r="H32" i="16"/>
  <c r="J32" i="16"/>
  <c r="K32" i="16"/>
  <c r="L32" i="16"/>
  <c r="N32" i="16"/>
  <c r="O32" i="16"/>
  <c r="P32" i="16"/>
  <c r="I33" i="16"/>
  <c r="D33" i="16"/>
  <c r="E33" i="16"/>
  <c r="F33" i="16"/>
  <c r="G33" i="16"/>
  <c r="H33" i="16"/>
  <c r="J33" i="16"/>
  <c r="K33" i="16"/>
  <c r="L33" i="16"/>
  <c r="N33" i="16"/>
  <c r="O33" i="16"/>
  <c r="P33" i="16"/>
  <c r="I34" i="16"/>
  <c r="D34" i="16"/>
  <c r="E34" i="16"/>
  <c r="F34" i="16"/>
  <c r="G34" i="16"/>
  <c r="H34" i="16"/>
  <c r="J34" i="16"/>
  <c r="K34" i="16"/>
  <c r="L34" i="16"/>
  <c r="N34" i="16"/>
  <c r="O34" i="16"/>
  <c r="P34" i="16"/>
  <c r="I35" i="16"/>
  <c r="D35" i="16"/>
  <c r="E35" i="16"/>
  <c r="F35" i="16"/>
  <c r="G35" i="16"/>
  <c r="H35" i="16"/>
  <c r="J35" i="16"/>
  <c r="K35" i="16"/>
  <c r="L35" i="16"/>
  <c r="N35" i="16"/>
  <c r="O35" i="16"/>
  <c r="P35" i="16"/>
  <c r="I36" i="16"/>
  <c r="D36" i="16"/>
  <c r="E36" i="16"/>
  <c r="F36" i="16"/>
  <c r="G36" i="16"/>
  <c r="H36" i="16"/>
  <c r="J36" i="16"/>
  <c r="K36" i="16"/>
  <c r="L36" i="16"/>
  <c r="N36" i="16"/>
  <c r="O36" i="16"/>
  <c r="P36" i="16"/>
  <c r="I37" i="16"/>
  <c r="D37" i="16"/>
  <c r="E37" i="16"/>
  <c r="F37" i="16"/>
  <c r="G37" i="16"/>
  <c r="H37" i="16"/>
  <c r="J37" i="16"/>
  <c r="K37" i="16"/>
  <c r="L37" i="16"/>
  <c r="N37" i="16"/>
  <c r="O37" i="16"/>
  <c r="P37" i="16"/>
  <c r="I38" i="16"/>
  <c r="D38" i="16"/>
  <c r="E38" i="16"/>
  <c r="F38" i="16"/>
  <c r="G38" i="16"/>
  <c r="H38" i="16"/>
  <c r="J38" i="16"/>
  <c r="K38" i="16"/>
  <c r="L38" i="16"/>
  <c r="N38" i="16"/>
  <c r="O38" i="16"/>
  <c r="P38" i="16"/>
  <c r="I39" i="16"/>
  <c r="D39" i="16"/>
  <c r="E39" i="16"/>
  <c r="F39" i="16"/>
  <c r="G39" i="16"/>
  <c r="H39" i="16"/>
  <c r="J39" i="16"/>
  <c r="K39" i="16"/>
  <c r="L39" i="16"/>
  <c r="N39" i="16"/>
  <c r="O39" i="16"/>
  <c r="P39" i="16"/>
  <c r="I40" i="16"/>
  <c r="D40" i="16"/>
  <c r="E40" i="16"/>
  <c r="F40" i="16"/>
  <c r="G40" i="16"/>
  <c r="H40" i="16"/>
  <c r="J40" i="16"/>
  <c r="K40" i="16"/>
  <c r="L40" i="16"/>
  <c r="N40" i="16"/>
  <c r="O40" i="16"/>
  <c r="P40" i="16"/>
  <c r="I41" i="16"/>
  <c r="D41" i="16"/>
  <c r="E41" i="16"/>
  <c r="F41" i="16"/>
  <c r="G41" i="16"/>
  <c r="H41" i="16"/>
  <c r="J41" i="16"/>
  <c r="K41" i="16"/>
  <c r="L41" i="16"/>
  <c r="N41" i="16"/>
  <c r="O41" i="16"/>
  <c r="P41" i="16"/>
  <c r="O2" i="16"/>
  <c r="I2" i="16"/>
  <c r="A2" i="16"/>
  <c r="E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2" i="15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N2" i="16"/>
  <c r="P2" i="16"/>
  <c r="L2" i="16"/>
  <c r="K2" i="16"/>
  <c r="J2" i="16"/>
  <c r="H2" i="16"/>
  <c r="G2" i="16"/>
  <c r="F2" i="16"/>
  <c r="D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2" i="15"/>
  <c r="I42" i="15"/>
  <c r="I22" i="15"/>
  <c r="D22" i="15"/>
  <c r="E22" i="15"/>
  <c r="F22" i="15"/>
  <c r="G22" i="15"/>
  <c r="H22" i="15"/>
  <c r="J22" i="15"/>
  <c r="K22" i="15"/>
  <c r="L22" i="15"/>
  <c r="O22" i="15"/>
  <c r="I23" i="15"/>
  <c r="D23" i="15"/>
  <c r="E23" i="15"/>
  <c r="F23" i="15"/>
  <c r="G23" i="15"/>
  <c r="H23" i="15"/>
  <c r="J23" i="15"/>
  <c r="K23" i="15"/>
  <c r="L23" i="15"/>
  <c r="O23" i="15"/>
  <c r="I24" i="15"/>
  <c r="D24" i="15"/>
  <c r="E24" i="15"/>
  <c r="F24" i="15"/>
  <c r="G24" i="15"/>
  <c r="H24" i="15"/>
  <c r="J24" i="15"/>
  <c r="K24" i="15"/>
  <c r="L24" i="15"/>
  <c r="O24" i="15"/>
  <c r="I25" i="15"/>
  <c r="D25" i="15"/>
  <c r="E25" i="15"/>
  <c r="F25" i="15"/>
  <c r="G25" i="15"/>
  <c r="H25" i="15"/>
  <c r="J25" i="15"/>
  <c r="K25" i="15"/>
  <c r="L25" i="15"/>
  <c r="O25" i="15"/>
  <c r="I26" i="15"/>
  <c r="D26" i="15"/>
  <c r="E26" i="15"/>
  <c r="F26" i="15"/>
  <c r="G26" i="15"/>
  <c r="H26" i="15"/>
  <c r="J26" i="15"/>
  <c r="K26" i="15"/>
  <c r="L26" i="15"/>
  <c r="O26" i="15"/>
  <c r="I27" i="15"/>
  <c r="D27" i="15"/>
  <c r="E27" i="15"/>
  <c r="F27" i="15"/>
  <c r="G27" i="15"/>
  <c r="H27" i="15"/>
  <c r="J27" i="15"/>
  <c r="K27" i="15"/>
  <c r="L27" i="15"/>
  <c r="O27" i="15"/>
  <c r="I28" i="15"/>
  <c r="D28" i="15"/>
  <c r="E28" i="15"/>
  <c r="F28" i="15"/>
  <c r="G28" i="15"/>
  <c r="H28" i="15"/>
  <c r="J28" i="15"/>
  <c r="K28" i="15"/>
  <c r="L28" i="15"/>
  <c r="O28" i="15"/>
  <c r="I29" i="15"/>
  <c r="D29" i="15"/>
  <c r="E29" i="15"/>
  <c r="F29" i="15"/>
  <c r="G29" i="15"/>
  <c r="H29" i="15"/>
  <c r="J29" i="15"/>
  <c r="K29" i="15"/>
  <c r="L29" i="15"/>
  <c r="O29" i="15"/>
  <c r="I30" i="15"/>
  <c r="D30" i="15"/>
  <c r="E30" i="15"/>
  <c r="F30" i="15"/>
  <c r="G30" i="15"/>
  <c r="H30" i="15"/>
  <c r="J30" i="15"/>
  <c r="K30" i="15"/>
  <c r="L30" i="15"/>
  <c r="O30" i="15"/>
  <c r="I31" i="15"/>
  <c r="D31" i="15"/>
  <c r="E31" i="15"/>
  <c r="F31" i="15"/>
  <c r="G31" i="15"/>
  <c r="H31" i="15"/>
  <c r="J31" i="15"/>
  <c r="K31" i="15"/>
  <c r="L31" i="15"/>
  <c r="O31" i="15"/>
  <c r="I32" i="15"/>
  <c r="D32" i="15"/>
  <c r="E32" i="15"/>
  <c r="F32" i="15"/>
  <c r="G32" i="15"/>
  <c r="H32" i="15"/>
  <c r="J32" i="15"/>
  <c r="K32" i="15"/>
  <c r="L32" i="15"/>
  <c r="O32" i="15"/>
  <c r="I33" i="15"/>
  <c r="D33" i="15"/>
  <c r="E33" i="15"/>
  <c r="F33" i="15"/>
  <c r="G33" i="15"/>
  <c r="H33" i="15"/>
  <c r="J33" i="15"/>
  <c r="K33" i="15"/>
  <c r="L33" i="15"/>
  <c r="O33" i="15"/>
  <c r="I34" i="15"/>
  <c r="D34" i="15"/>
  <c r="E34" i="15"/>
  <c r="F34" i="15"/>
  <c r="G34" i="15"/>
  <c r="H34" i="15"/>
  <c r="J34" i="15"/>
  <c r="K34" i="15"/>
  <c r="L34" i="15"/>
  <c r="O34" i="15"/>
  <c r="I35" i="15"/>
  <c r="D35" i="15"/>
  <c r="E35" i="15"/>
  <c r="F35" i="15"/>
  <c r="G35" i="15"/>
  <c r="H35" i="15"/>
  <c r="J35" i="15"/>
  <c r="K35" i="15"/>
  <c r="L35" i="15"/>
  <c r="O35" i="15"/>
  <c r="I36" i="15"/>
  <c r="D36" i="15"/>
  <c r="E36" i="15"/>
  <c r="F36" i="15"/>
  <c r="G36" i="15"/>
  <c r="H36" i="15"/>
  <c r="J36" i="15"/>
  <c r="K36" i="15"/>
  <c r="L36" i="15"/>
  <c r="O36" i="15"/>
  <c r="I37" i="15"/>
  <c r="D37" i="15"/>
  <c r="E37" i="15"/>
  <c r="F37" i="15"/>
  <c r="G37" i="15"/>
  <c r="H37" i="15"/>
  <c r="J37" i="15"/>
  <c r="K37" i="15"/>
  <c r="L37" i="15"/>
  <c r="O37" i="15"/>
  <c r="I38" i="15"/>
  <c r="D38" i="15"/>
  <c r="E38" i="15"/>
  <c r="F38" i="15"/>
  <c r="G38" i="15"/>
  <c r="H38" i="15"/>
  <c r="J38" i="15"/>
  <c r="K38" i="15"/>
  <c r="L38" i="15"/>
  <c r="O38" i="15"/>
  <c r="I39" i="15"/>
  <c r="D39" i="15"/>
  <c r="E39" i="15"/>
  <c r="F39" i="15"/>
  <c r="G39" i="15"/>
  <c r="H39" i="15"/>
  <c r="J39" i="15"/>
  <c r="K39" i="15"/>
  <c r="L39" i="15"/>
  <c r="O39" i="15"/>
  <c r="I40" i="15"/>
  <c r="D40" i="15"/>
  <c r="E40" i="15"/>
  <c r="F40" i="15"/>
  <c r="G40" i="15"/>
  <c r="H40" i="15"/>
  <c r="J40" i="15"/>
  <c r="K40" i="15"/>
  <c r="L40" i="15"/>
  <c r="O40" i="15"/>
  <c r="I41" i="15"/>
  <c r="D41" i="15"/>
  <c r="E41" i="15"/>
  <c r="F41" i="15"/>
  <c r="G41" i="15"/>
  <c r="H41" i="15"/>
  <c r="J41" i="15"/>
  <c r="K41" i="15"/>
  <c r="L41" i="15"/>
  <c r="O41" i="15"/>
  <c r="D42" i="15"/>
  <c r="E42" i="15"/>
  <c r="F42" i="15"/>
  <c r="G42" i="15"/>
  <c r="H42" i="15"/>
  <c r="J42" i="15"/>
  <c r="K42" i="15"/>
  <c r="L42" i="15"/>
  <c r="O42" i="15"/>
  <c r="I43" i="15"/>
  <c r="D43" i="15"/>
  <c r="E43" i="15"/>
  <c r="F43" i="15"/>
  <c r="G43" i="15"/>
  <c r="H43" i="15"/>
  <c r="J43" i="15"/>
  <c r="K43" i="15"/>
  <c r="L43" i="15"/>
  <c r="O43" i="15"/>
  <c r="I44" i="15"/>
  <c r="D44" i="15"/>
  <c r="E44" i="15"/>
  <c r="F44" i="15"/>
  <c r="G44" i="15"/>
  <c r="H44" i="15"/>
  <c r="J44" i="15"/>
  <c r="K44" i="15"/>
  <c r="L44" i="15"/>
  <c r="O44" i="15"/>
  <c r="I45" i="15"/>
  <c r="D45" i="15"/>
  <c r="E45" i="15"/>
  <c r="F45" i="15"/>
  <c r="G45" i="15"/>
  <c r="H45" i="15"/>
  <c r="J45" i="15"/>
  <c r="K45" i="15"/>
  <c r="L45" i="15"/>
  <c r="O45" i="15"/>
  <c r="I46" i="15"/>
  <c r="D46" i="15"/>
  <c r="E46" i="15"/>
  <c r="F46" i="15"/>
  <c r="G46" i="15"/>
  <c r="H46" i="15"/>
  <c r="J46" i="15"/>
  <c r="K46" i="15"/>
  <c r="L46" i="15"/>
  <c r="O46" i="15"/>
  <c r="I47" i="15"/>
  <c r="D47" i="15"/>
  <c r="E47" i="15"/>
  <c r="F47" i="15"/>
  <c r="G47" i="15"/>
  <c r="H47" i="15"/>
  <c r="J47" i="15"/>
  <c r="K47" i="15"/>
  <c r="L47" i="15"/>
  <c r="O47" i="15"/>
  <c r="I48" i="15"/>
  <c r="D48" i="15"/>
  <c r="E48" i="15"/>
  <c r="F48" i="15"/>
  <c r="G48" i="15"/>
  <c r="H48" i="15"/>
  <c r="J48" i="15"/>
  <c r="K48" i="15"/>
  <c r="L48" i="15"/>
  <c r="O48" i="15"/>
  <c r="I49" i="15"/>
  <c r="D49" i="15"/>
  <c r="E49" i="15"/>
  <c r="F49" i="15"/>
  <c r="G49" i="15"/>
  <c r="H49" i="15"/>
  <c r="J49" i="15"/>
  <c r="K49" i="15"/>
  <c r="L49" i="15"/>
  <c r="O49" i="15"/>
  <c r="I50" i="15"/>
  <c r="D50" i="15"/>
  <c r="E50" i="15"/>
  <c r="F50" i="15"/>
  <c r="G50" i="15"/>
  <c r="H50" i="15"/>
  <c r="J50" i="15"/>
  <c r="K50" i="15"/>
  <c r="L50" i="15"/>
  <c r="O50" i="15"/>
  <c r="I51" i="15"/>
  <c r="D51" i="15"/>
  <c r="E51" i="15"/>
  <c r="F51" i="15"/>
  <c r="G51" i="15"/>
  <c r="H51" i="15"/>
  <c r="J51" i="15"/>
  <c r="K51" i="15"/>
  <c r="L51" i="15"/>
  <c r="O51" i="15"/>
  <c r="I52" i="15"/>
  <c r="D52" i="15"/>
  <c r="E52" i="15"/>
  <c r="F52" i="15"/>
  <c r="G52" i="15"/>
  <c r="H52" i="15"/>
  <c r="J52" i="15"/>
  <c r="K52" i="15"/>
  <c r="L52" i="15"/>
  <c r="O52" i="15"/>
  <c r="I53" i="15"/>
  <c r="D53" i="15"/>
  <c r="E53" i="15"/>
  <c r="F53" i="15"/>
  <c r="G53" i="15"/>
  <c r="H53" i="15"/>
  <c r="J53" i="15"/>
  <c r="K53" i="15"/>
  <c r="L53" i="15"/>
  <c r="O53" i="15"/>
  <c r="I54" i="15"/>
  <c r="D54" i="15"/>
  <c r="E54" i="15"/>
  <c r="F54" i="15"/>
  <c r="G54" i="15"/>
  <c r="H54" i="15"/>
  <c r="J54" i="15"/>
  <c r="K54" i="15"/>
  <c r="L54" i="15"/>
  <c r="O54" i="15"/>
  <c r="I55" i="15"/>
  <c r="D55" i="15"/>
  <c r="E55" i="15"/>
  <c r="F55" i="15"/>
  <c r="G55" i="15"/>
  <c r="H55" i="15"/>
  <c r="J55" i="15"/>
  <c r="K55" i="15"/>
  <c r="L55" i="15"/>
  <c r="O55" i="15"/>
  <c r="I56" i="15"/>
  <c r="D56" i="15"/>
  <c r="E56" i="15"/>
  <c r="F56" i="15"/>
  <c r="G56" i="15"/>
  <c r="H56" i="15"/>
  <c r="J56" i="15"/>
  <c r="K56" i="15"/>
  <c r="L56" i="15"/>
  <c r="O56" i="15"/>
  <c r="I57" i="15"/>
  <c r="D57" i="15"/>
  <c r="E57" i="15"/>
  <c r="F57" i="15"/>
  <c r="G57" i="15"/>
  <c r="H57" i="15"/>
  <c r="J57" i="15"/>
  <c r="K57" i="15"/>
  <c r="L57" i="15"/>
  <c r="O57" i="15"/>
  <c r="I58" i="15"/>
  <c r="D58" i="15"/>
  <c r="E58" i="15"/>
  <c r="F58" i="15"/>
  <c r="G58" i="15"/>
  <c r="H58" i="15"/>
  <c r="J58" i="15"/>
  <c r="K58" i="15"/>
  <c r="L58" i="15"/>
  <c r="O58" i="15"/>
  <c r="I59" i="15"/>
  <c r="D59" i="15"/>
  <c r="E59" i="15"/>
  <c r="F59" i="15"/>
  <c r="G59" i="15"/>
  <c r="H59" i="15"/>
  <c r="J59" i="15"/>
  <c r="K59" i="15"/>
  <c r="L59" i="15"/>
  <c r="O59" i="15"/>
  <c r="I60" i="15"/>
  <c r="D60" i="15"/>
  <c r="E60" i="15"/>
  <c r="F60" i="15"/>
  <c r="G60" i="15"/>
  <c r="H60" i="15"/>
  <c r="J60" i="15"/>
  <c r="K60" i="15"/>
  <c r="L60" i="15"/>
  <c r="O60" i="15"/>
  <c r="I61" i="15"/>
  <c r="D61" i="15"/>
  <c r="E61" i="15"/>
  <c r="F61" i="15"/>
  <c r="G61" i="15"/>
  <c r="H61" i="15"/>
  <c r="J61" i="15"/>
  <c r="K61" i="15"/>
  <c r="L61" i="15"/>
  <c r="O61" i="15"/>
  <c r="I62" i="15"/>
  <c r="D62" i="15"/>
  <c r="E62" i="15"/>
  <c r="F62" i="15"/>
  <c r="G62" i="15"/>
  <c r="H62" i="15"/>
  <c r="J62" i="15"/>
  <c r="K62" i="15"/>
  <c r="L62" i="15"/>
  <c r="O62" i="15"/>
  <c r="I63" i="15"/>
  <c r="D63" i="15"/>
  <c r="E63" i="15"/>
  <c r="F63" i="15"/>
  <c r="G63" i="15"/>
  <c r="H63" i="15"/>
  <c r="J63" i="15"/>
  <c r="K63" i="15"/>
  <c r="L63" i="15"/>
  <c r="O63" i="15"/>
  <c r="I64" i="15"/>
  <c r="D64" i="15"/>
  <c r="E64" i="15"/>
  <c r="F64" i="15"/>
  <c r="G64" i="15"/>
  <c r="H64" i="15"/>
  <c r="J64" i="15"/>
  <c r="K64" i="15"/>
  <c r="L64" i="15"/>
  <c r="O64" i="15"/>
  <c r="I65" i="15"/>
  <c r="D65" i="15"/>
  <c r="E65" i="15"/>
  <c r="F65" i="15"/>
  <c r="G65" i="15"/>
  <c r="H65" i="15"/>
  <c r="J65" i="15"/>
  <c r="K65" i="15"/>
  <c r="L65" i="15"/>
  <c r="O65" i="15"/>
  <c r="I66" i="15"/>
  <c r="D66" i="15"/>
  <c r="E66" i="15"/>
  <c r="F66" i="15"/>
  <c r="G66" i="15"/>
  <c r="H66" i="15"/>
  <c r="J66" i="15"/>
  <c r="K66" i="15"/>
  <c r="L66" i="15"/>
  <c r="O66" i="15"/>
  <c r="I67" i="15"/>
  <c r="D67" i="15"/>
  <c r="E67" i="15"/>
  <c r="F67" i="15"/>
  <c r="G67" i="15"/>
  <c r="H67" i="15"/>
  <c r="J67" i="15"/>
  <c r="K67" i="15"/>
  <c r="L67" i="15"/>
  <c r="O67" i="15"/>
  <c r="I68" i="15"/>
  <c r="D68" i="15"/>
  <c r="E68" i="15"/>
  <c r="F68" i="15"/>
  <c r="G68" i="15"/>
  <c r="H68" i="15"/>
  <c r="J68" i="15"/>
  <c r="K68" i="15"/>
  <c r="L68" i="15"/>
  <c r="O68" i="15"/>
  <c r="I69" i="15"/>
  <c r="D69" i="15"/>
  <c r="E69" i="15"/>
  <c r="F69" i="15"/>
  <c r="G69" i="15"/>
  <c r="H69" i="15"/>
  <c r="J69" i="15"/>
  <c r="K69" i="15"/>
  <c r="L69" i="15"/>
  <c r="O69" i="15"/>
  <c r="I70" i="15"/>
  <c r="D70" i="15"/>
  <c r="E70" i="15"/>
  <c r="F70" i="15"/>
  <c r="G70" i="15"/>
  <c r="H70" i="15"/>
  <c r="J70" i="15"/>
  <c r="K70" i="15"/>
  <c r="L70" i="15"/>
  <c r="O70" i="15"/>
  <c r="I71" i="15"/>
  <c r="D71" i="15"/>
  <c r="E71" i="15"/>
  <c r="F71" i="15"/>
  <c r="G71" i="15"/>
  <c r="H71" i="15"/>
  <c r="J71" i="15"/>
  <c r="K71" i="15"/>
  <c r="L71" i="15"/>
  <c r="O71" i="15"/>
  <c r="I72" i="15"/>
  <c r="D72" i="15"/>
  <c r="E72" i="15"/>
  <c r="F72" i="15"/>
  <c r="G72" i="15"/>
  <c r="H72" i="15"/>
  <c r="J72" i="15"/>
  <c r="K72" i="15"/>
  <c r="L72" i="15"/>
  <c r="O72" i="15"/>
  <c r="I73" i="15"/>
  <c r="D73" i="15"/>
  <c r="E73" i="15"/>
  <c r="F73" i="15"/>
  <c r="G73" i="15"/>
  <c r="H73" i="15"/>
  <c r="J73" i="15"/>
  <c r="K73" i="15"/>
  <c r="L73" i="15"/>
  <c r="O73" i="15"/>
  <c r="I74" i="15"/>
  <c r="D74" i="15"/>
  <c r="E74" i="15"/>
  <c r="F74" i="15"/>
  <c r="G74" i="15"/>
  <c r="H74" i="15"/>
  <c r="J74" i="15"/>
  <c r="K74" i="15"/>
  <c r="L74" i="15"/>
  <c r="O74" i="15"/>
  <c r="I75" i="15"/>
  <c r="D75" i="15"/>
  <c r="E75" i="15"/>
  <c r="F75" i="15"/>
  <c r="G75" i="15"/>
  <c r="H75" i="15"/>
  <c r="J75" i="15"/>
  <c r="K75" i="15"/>
  <c r="L75" i="15"/>
  <c r="O75" i="15"/>
  <c r="I76" i="15"/>
  <c r="D76" i="15"/>
  <c r="E76" i="15"/>
  <c r="F76" i="15"/>
  <c r="G76" i="15"/>
  <c r="H76" i="15"/>
  <c r="J76" i="15"/>
  <c r="K76" i="15"/>
  <c r="L76" i="15"/>
  <c r="O76" i="15"/>
  <c r="I77" i="15"/>
  <c r="D77" i="15"/>
  <c r="E77" i="15"/>
  <c r="F77" i="15"/>
  <c r="G77" i="15"/>
  <c r="H77" i="15"/>
  <c r="J77" i="15"/>
  <c r="K77" i="15"/>
  <c r="L77" i="15"/>
  <c r="O77" i="15"/>
  <c r="I78" i="15"/>
  <c r="D78" i="15"/>
  <c r="E78" i="15"/>
  <c r="F78" i="15"/>
  <c r="G78" i="15"/>
  <c r="H78" i="15"/>
  <c r="J78" i="15"/>
  <c r="K78" i="15"/>
  <c r="L78" i="15"/>
  <c r="O78" i="15"/>
  <c r="I79" i="15"/>
  <c r="D79" i="15"/>
  <c r="E79" i="15"/>
  <c r="F79" i="15"/>
  <c r="G79" i="15"/>
  <c r="H79" i="15"/>
  <c r="J79" i="15"/>
  <c r="K79" i="15"/>
  <c r="L79" i="15"/>
  <c r="O79" i="15"/>
  <c r="I80" i="15"/>
  <c r="D80" i="15"/>
  <c r="E80" i="15"/>
  <c r="F80" i="15"/>
  <c r="G80" i="15"/>
  <c r="H80" i="15"/>
  <c r="J80" i="15"/>
  <c r="K80" i="15"/>
  <c r="L80" i="15"/>
  <c r="O80" i="15"/>
  <c r="I81" i="15"/>
  <c r="D81" i="15"/>
  <c r="E81" i="15"/>
  <c r="F81" i="15"/>
  <c r="G81" i="15"/>
  <c r="H81" i="15"/>
  <c r="J81" i="15"/>
  <c r="K81" i="15"/>
  <c r="L81" i="15"/>
  <c r="O81" i="15"/>
  <c r="I82" i="15"/>
  <c r="D82" i="15"/>
  <c r="E82" i="15"/>
  <c r="F82" i="15"/>
  <c r="G82" i="15"/>
  <c r="H82" i="15"/>
  <c r="J82" i="15"/>
  <c r="K82" i="15"/>
  <c r="L82" i="15"/>
  <c r="O82" i="15"/>
  <c r="I83" i="15"/>
  <c r="D83" i="15"/>
  <c r="E83" i="15"/>
  <c r="F83" i="15"/>
  <c r="G83" i="15"/>
  <c r="H83" i="15"/>
  <c r="J83" i="15"/>
  <c r="K83" i="15"/>
  <c r="L83" i="15"/>
  <c r="O83" i="15"/>
  <c r="I84" i="15"/>
  <c r="D84" i="15"/>
  <c r="E84" i="15"/>
  <c r="F84" i="15"/>
  <c r="G84" i="15"/>
  <c r="H84" i="15"/>
  <c r="J84" i="15"/>
  <c r="K84" i="15"/>
  <c r="L84" i="15"/>
  <c r="O84" i="15"/>
  <c r="I85" i="15"/>
  <c r="D85" i="15"/>
  <c r="E85" i="15"/>
  <c r="F85" i="15"/>
  <c r="G85" i="15"/>
  <c r="H85" i="15"/>
  <c r="J85" i="15"/>
  <c r="K85" i="15"/>
  <c r="L85" i="15"/>
  <c r="O85" i="15"/>
  <c r="I86" i="15"/>
  <c r="D86" i="15"/>
  <c r="E86" i="15"/>
  <c r="F86" i="15"/>
  <c r="G86" i="15"/>
  <c r="H86" i="15"/>
  <c r="J86" i="15"/>
  <c r="K86" i="15"/>
  <c r="L86" i="15"/>
  <c r="O86" i="15"/>
  <c r="I87" i="15"/>
  <c r="D87" i="15"/>
  <c r="E87" i="15"/>
  <c r="F87" i="15"/>
  <c r="G87" i="15"/>
  <c r="H87" i="15"/>
  <c r="J87" i="15"/>
  <c r="K87" i="15"/>
  <c r="L87" i="15"/>
  <c r="O87" i="15"/>
  <c r="I88" i="15"/>
  <c r="D88" i="15"/>
  <c r="E88" i="15"/>
  <c r="F88" i="15"/>
  <c r="G88" i="15"/>
  <c r="H88" i="15"/>
  <c r="J88" i="15"/>
  <c r="K88" i="15"/>
  <c r="L88" i="15"/>
  <c r="O88" i="15"/>
  <c r="I89" i="15"/>
  <c r="D89" i="15"/>
  <c r="E89" i="15"/>
  <c r="F89" i="15"/>
  <c r="G89" i="15"/>
  <c r="H89" i="15"/>
  <c r="J89" i="15"/>
  <c r="K89" i="15"/>
  <c r="L89" i="15"/>
  <c r="O89" i="15"/>
  <c r="I90" i="15"/>
  <c r="D90" i="15"/>
  <c r="E90" i="15"/>
  <c r="F90" i="15"/>
  <c r="G90" i="15"/>
  <c r="H90" i="15"/>
  <c r="J90" i="15"/>
  <c r="K90" i="15"/>
  <c r="L90" i="15"/>
  <c r="O90" i="15"/>
  <c r="I91" i="15"/>
  <c r="D91" i="15"/>
  <c r="E91" i="15"/>
  <c r="F91" i="15"/>
  <c r="G91" i="15"/>
  <c r="H91" i="15"/>
  <c r="J91" i="15"/>
  <c r="K91" i="15"/>
  <c r="L91" i="15"/>
  <c r="O91" i="15"/>
  <c r="I92" i="15"/>
  <c r="D92" i="15"/>
  <c r="E92" i="15"/>
  <c r="F92" i="15"/>
  <c r="G92" i="15"/>
  <c r="H92" i="15"/>
  <c r="J92" i="15"/>
  <c r="K92" i="15"/>
  <c r="L92" i="15"/>
  <c r="O92" i="15"/>
  <c r="I93" i="15"/>
  <c r="D93" i="15"/>
  <c r="E93" i="15"/>
  <c r="F93" i="15"/>
  <c r="G93" i="15"/>
  <c r="H93" i="15"/>
  <c r="J93" i="15"/>
  <c r="K93" i="15"/>
  <c r="L93" i="15"/>
  <c r="O93" i="15"/>
  <c r="I94" i="15"/>
  <c r="D94" i="15"/>
  <c r="E94" i="15"/>
  <c r="F94" i="15"/>
  <c r="G94" i="15"/>
  <c r="H94" i="15"/>
  <c r="J94" i="15"/>
  <c r="K94" i="15"/>
  <c r="L94" i="15"/>
  <c r="O94" i="15"/>
  <c r="I95" i="15"/>
  <c r="D95" i="15"/>
  <c r="E95" i="15"/>
  <c r="F95" i="15"/>
  <c r="G95" i="15"/>
  <c r="H95" i="15"/>
  <c r="J95" i="15"/>
  <c r="K95" i="15"/>
  <c r="L95" i="15"/>
  <c r="O95" i="15"/>
  <c r="I96" i="15"/>
  <c r="D96" i="15"/>
  <c r="E96" i="15"/>
  <c r="F96" i="15"/>
  <c r="G96" i="15"/>
  <c r="H96" i="15"/>
  <c r="J96" i="15"/>
  <c r="K96" i="15"/>
  <c r="L96" i="15"/>
  <c r="O96" i="15"/>
  <c r="I97" i="15"/>
  <c r="D97" i="15"/>
  <c r="E97" i="15"/>
  <c r="F97" i="15"/>
  <c r="G97" i="15"/>
  <c r="H97" i="15"/>
  <c r="J97" i="15"/>
  <c r="K97" i="15"/>
  <c r="L97" i="15"/>
  <c r="O97" i="15"/>
  <c r="I98" i="15"/>
  <c r="D98" i="15"/>
  <c r="E98" i="15"/>
  <c r="F98" i="15"/>
  <c r="G98" i="15"/>
  <c r="H98" i="15"/>
  <c r="J98" i="15"/>
  <c r="K98" i="15"/>
  <c r="L98" i="15"/>
  <c r="O98" i="15"/>
  <c r="I99" i="15"/>
  <c r="D99" i="15"/>
  <c r="E99" i="15"/>
  <c r="F99" i="15"/>
  <c r="G99" i="15"/>
  <c r="H99" i="15"/>
  <c r="J99" i="15"/>
  <c r="K99" i="15"/>
  <c r="L99" i="15"/>
  <c r="O99" i="15"/>
  <c r="I100" i="15"/>
  <c r="D100" i="15"/>
  <c r="E100" i="15"/>
  <c r="F100" i="15"/>
  <c r="G100" i="15"/>
  <c r="H100" i="15"/>
  <c r="J100" i="15"/>
  <c r="K100" i="15"/>
  <c r="L100" i="15"/>
  <c r="O100" i="15"/>
  <c r="I101" i="15"/>
  <c r="D101" i="15"/>
  <c r="E101" i="15"/>
  <c r="F101" i="15"/>
  <c r="G101" i="15"/>
  <c r="H101" i="15"/>
  <c r="J101" i="15"/>
  <c r="K101" i="15"/>
  <c r="L101" i="15"/>
  <c r="O101" i="15"/>
  <c r="I102" i="15"/>
  <c r="D102" i="15"/>
  <c r="E102" i="15"/>
  <c r="F102" i="15"/>
  <c r="G102" i="15"/>
  <c r="H102" i="15"/>
  <c r="J102" i="15"/>
  <c r="K102" i="15"/>
  <c r="L102" i="15"/>
  <c r="O102" i="15"/>
  <c r="I103" i="15"/>
  <c r="D103" i="15"/>
  <c r="E103" i="15"/>
  <c r="F103" i="15"/>
  <c r="G103" i="15"/>
  <c r="H103" i="15"/>
  <c r="J103" i="15"/>
  <c r="K103" i="15"/>
  <c r="L103" i="15"/>
  <c r="O103" i="15"/>
  <c r="I104" i="15"/>
  <c r="D104" i="15"/>
  <c r="E104" i="15"/>
  <c r="F104" i="15"/>
  <c r="G104" i="15"/>
  <c r="H104" i="15"/>
  <c r="J104" i="15"/>
  <c r="K104" i="15"/>
  <c r="L104" i="15"/>
  <c r="O104" i="15"/>
  <c r="I105" i="15"/>
  <c r="D105" i="15"/>
  <c r="E105" i="15"/>
  <c r="F105" i="15"/>
  <c r="G105" i="15"/>
  <c r="H105" i="15"/>
  <c r="J105" i="15"/>
  <c r="K105" i="15"/>
  <c r="L105" i="15"/>
  <c r="O105" i="15"/>
  <c r="I106" i="15"/>
  <c r="D106" i="15"/>
  <c r="E106" i="15"/>
  <c r="F106" i="15"/>
  <c r="G106" i="15"/>
  <c r="H106" i="15"/>
  <c r="J106" i="15"/>
  <c r="K106" i="15"/>
  <c r="L106" i="15"/>
  <c r="O106" i="15"/>
  <c r="I107" i="15"/>
  <c r="D107" i="15"/>
  <c r="E107" i="15"/>
  <c r="F107" i="15"/>
  <c r="G107" i="15"/>
  <c r="H107" i="15"/>
  <c r="J107" i="15"/>
  <c r="K107" i="15"/>
  <c r="L107" i="15"/>
  <c r="O107" i="15"/>
  <c r="I108" i="15"/>
  <c r="D108" i="15"/>
  <c r="E108" i="15"/>
  <c r="F108" i="15"/>
  <c r="G108" i="15"/>
  <c r="H108" i="15"/>
  <c r="J108" i="15"/>
  <c r="K108" i="15"/>
  <c r="L108" i="15"/>
  <c r="O108" i="15"/>
  <c r="I109" i="15"/>
  <c r="D109" i="15"/>
  <c r="E109" i="15"/>
  <c r="F109" i="15"/>
  <c r="G109" i="15"/>
  <c r="H109" i="15"/>
  <c r="J109" i="15"/>
  <c r="K109" i="15"/>
  <c r="L109" i="15"/>
  <c r="O109" i="15"/>
  <c r="I110" i="15"/>
  <c r="D110" i="15"/>
  <c r="E110" i="15"/>
  <c r="F110" i="15"/>
  <c r="G110" i="15"/>
  <c r="H110" i="15"/>
  <c r="J110" i="15"/>
  <c r="K110" i="15"/>
  <c r="L110" i="15"/>
  <c r="O110" i="15"/>
  <c r="I111" i="15"/>
  <c r="D111" i="15"/>
  <c r="E111" i="15"/>
  <c r="F111" i="15"/>
  <c r="G111" i="15"/>
  <c r="H111" i="15"/>
  <c r="J111" i="15"/>
  <c r="K111" i="15"/>
  <c r="L111" i="15"/>
  <c r="O111" i="15"/>
  <c r="I112" i="15"/>
  <c r="D112" i="15"/>
  <c r="E112" i="15"/>
  <c r="F112" i="15"/>
  <c r="G112" i="15"/>
  <c r="H112" i="15"/>
  <c r="J112" i="15"/>
  <c r="K112" i="15"/>
  <c r="L112" i="15"/>
  <c r="O112" i="15"/>
  <c r="I113" i="15"/>
  <c r="D113" i="15"/>
  <c r="E113" i="15"/>
  <c r="F113" i="15"/>
  <c r="G113" i="15"/>
  <c r="H113" i="15"/>
  <c r="J113" i="15"/>
  <c r="K113" i="15"/>
  <c r="L113" i="15"/>
  <c r="O113" i="15"/>
  <c r="I114" i="15"/>
  <c r="D114" i="15"/>
  <c r="E114" i="15"/>
  <c r="F114" i="15"/>
  <c r="G114" i="15"/>
  <c r="H114" i="15"/>
  <c r="J114" i="15"/>
  <c r="K114" i="15"/>
  <c r="L114" i="15"/>
  <c r="O114" i="15"/>
  <c r="I115" i="15"/>
  <c r="D115" i="15"/>
  <c r="E115" i="15"/>
  <c r="F115" i="15"/>
  <c r="G115" i="15"/>
  <c r="H115" i="15"/>
  <c r="J115" i="15"/>
  <c r="K115" i="15"/>
  <c r="L115" i="15"/>
  <c r="O115" i="15"/>
  <c r="I116" i="15"/>
  <c r="D116" i="15"/>
  <c r="E116" i="15"/>
  <c r="F116" i="15"/>
  <c r="G116" i="15"/>
  <c r="H116" i="15"/>
  <c r="J116" i="15"/>
  <c r="K116" i="15"/>
  <c r="L116" i="15"/>
  <c r="O116" i="15"/>
  <c r="I117" i="15"/>
  <c r="D117" i="15"/>
  <c r="E117" i="15"/>
  <c r="F117" i="15"/>
  <c r="G117" i="15"/>
  <c r="H117" i="15"/>
  <c r="J117" i="15"/>
  <c r="K117" i="15"/>
  <c r="L117" i="15"/>
  <c r="O117" i="15"/>
  <c r="I118" i="15"/>
  <c r="D118" i="15"/>
  <c r="E118" i="15"/>
  <c r="F118" i="15"/>
  <c r="G118" i="15"/>
  <c r="H118" i="15"/>
  <c r="J118" i="15"/>
  <c r="K118" i="15"/>
  <c r="L118" i="15"/>
  <c r="O118" i="15"/>
  <c r="I119" i="15"/>
  <c r="D119" i="15"/>
  <c r="E119" i="15"/>
  <c r="F119" i="15"/>
  <c r="G119" i="15"/>
  <c r="H119" i="15"/>
  <c r="J119" i="15"/>
  <c r="K119" i="15"/>
  <c r="L119" i="15"/>
  <c r="O119" i="15"/>
  <c r="I120" i="15"/>
  <c r="D120" i="15"/>
  <c r="E120" i="15"/>
  <c r="F120" i="15"/>
  <c r="G120" i="15"/>
  <c r="H120" i="15"/>
  <c r="J120" i="15"/>
  <c r="K120" i="15"/>
  <c r="L120" i="15"/>
  <c r="O120" i="15"/>
  <c r="I121" i="15"/>
  <c r="D121" i="15"/>
  <c r="E121" i="15"/>
  <c r="F121" i="15"/>
  <c r="G121" i="15"/>
  <c r="H121" i="15"/>
  <c r="J121" i="15"/>
  <c r="K121" i="15"/>
  <c r="L121" i="15"/>
  <c r="O121" i="15"/>
  <c r="I122" i="15"/>
  <c r="D122" i="15"/>
  <c r="E122" i="15"/>
  <c r="F122" i="15"/>
  <c r="G122" i="15"/>
  <c r="H122" i="15"/>
  <c r="J122" i="15"/>
  <c r="K122" i="15"/>
  <c r="L122" i="15"/>
  <c r="O122" i="15"/>
  <c r="I123" i="15"/>
  <c r="D123" i="15"/>
  <c r="E123" i="15"/>
  <c r="F123" i="15"/>
  <c r="G123" i="15"/>
  <c r="H123" i="15"/>
  <c r="J123" i="15"/>
  <c r="K123" i="15"/>
  <c r="L123" i="15"/>
  <c r="O123" i="15"/>
  <c r="I124" i="15"/>
  <c r="D124" i="15"/>
  <c r="E124" i="15"/>
  <c r="F124" i="15"/>
  <c r="G124" i="15"/>
  <c r="H124" i="15"/>
  <c r="J124" i="15"/>
  <c r="K124" i="15"/>
  <c r="L124" i="15"/>
  <c r="O124" i="15"/>
  <c r="I125" i="15"/>
  <c r="D125" i="15"/>
  <c r="E125" i="15"/>
  <c r="F125" i="15"/>
  <c r="G125" i="15"/>
  <c r="H125" i="15"/>
  <c r="J125" i="15"/>
  <c r="K125" i="15"/>
  <c r="L125" i="15"/>
  <c r="O125" i="15"/>
  <c r="I126" i="15"/>
  <c r="D126" i="15"/>
  <c r="E126" i="15"/>
  <c r="F126" i="15"/>
  <c r="G126" i="15"/>
  <c r="H126" i="15"/>
  <c r="J126" i="15"/>
  <c r="K126" i="15"/>
  <c r="L126" i="15"/>
  <c r="O126" i="15"/>
  <c r="I127" i="15"/>
  <c r="D127" i="15"/>
  <c r="E127" i="15"/>
  <c r="F127" i="15"/>
  <c r="G127" i="15"/>
  <c r="H127" i="15"/>
  <c r="J127" i="15"/>
  <c r="K127" i="15"/>
  <c r="L127" i="15"/>
  <c r="O127" i="15"/>
  <c r="I128" i="15"/>
  <c r="D128" i="15"/>
  <c r="E128" i="15"/>
  <c r="F128" i="15"/>
  <c r="G128" i="15"/>
  <c r="H128" i="15"/>
  <c r="J128" i="15"/>
  <c r="K128" i="15"/>
  <c r="L128" i="15"/>
  <c r="O128" i="15"/>
  <c r="I129" i="15"/>
  <c r="D129" i="15"/>
  <c r="E129" i="15"/>
  <c r="F129" i="15"/>
  <c r="G129" i="15"/>
  <c r="H129" i="15"/>
  <c r="J129" i="15"/>
  <c r="K129" i="15"/>
  <c r="L129" i="15"/>
  <c r="O129" i="15"/>
  <c r="I130" i="15"/>
  <c r="D130" i="15"/>
  <c r="E130" i="15"/>
  <c r="F130" i="15"/>
  <c r="G130" i="15"/>
  <c r="H130" i="15"/>
  <c r="J130" i="15"/>
  <c r="K130" i="15"/>
  <c r="L130" i="15"/>
  <c r="O130" i="15"/>
  <c r="I131" i="15"/>
  <c r="D131" i="15"/>
  <c r="E131" i="15"/>
  <c r="F131" i="15"/>
  <c r="G131" i="15"/>
  <c r="H131" i="15"/>
  <c r="J131" i="15"/>
  <c r="K131" i="15"/>
  <c r="L131" i="15"/>
  <c r="O131" i="15"/>
  <c r="I132" i="15"/>
  <c r="D132" i="15"/>
  <c r="E132" i="15"/>
  <c r="F132" i="15"/>
  <c r="G132" i="15"/>
  <c r="H132" i="15"/>
  <c r="J132" i="15"/>
  <c r="K132" i="15"/>
  <c r="L132" i="15"/>
  <c r="O132" i="15"/>
  <c r="I133" i="15"/>
  <c r="D133" i="15"/>
  <c r="E133" i="15"/>
  <c r="F133" i="15"/>
  <c r="G133" i="15"/>
  <c r="H133" i="15"/>
  <c r="J133" i="15"/>
  <c r="K133" i="15"/>
  <c r="L133" i="15"/>
  <c r="O133" i="15"/>
  <c r="I134" i="15"/>
  <c r="D134" i="15"/>
  <c r="E134" i="15"/>
  <c r="F134" i="15"/>
  <c r="G134" i="15"/>
  <c r="H134" i="15"/>
  <c r="J134" i="15"/>
  <c r="K134" i="15"/>
  <c r="L134" i="15"/>
  <c r="O134" i="15"/>
  <c r="I135" i="15"/>
  <c r="D135" i="15"/>
  <c r="E135" i="15"/>
  <c r="F135" i="15"/>
  <c r="G135" i="15"/>
  <c r="H135" i="15"/>
  <c r="J135" i="15"/>
  <c r="K135" i="15"/>
  <c r="L135" i="15"/>
  <c r="O135" i="15"/>
  <c r="I136" i="15"/>
  <c r="D136" i="15"/>
  <c r="E136" i="15"/>
  <c r="F136" i="15"/>
  <c r="G136" i="15"/>
  <c r="H136" i="15"/>
  <c r="J136" i="15"/>
  <c r="K136" i="15"/>
  <c r="L136" i="15"/>
  <c r="O136" i="15"/>
  <c r="I137" i="15"/>
  <c r="D137" i="15"/>
  <c r="E137" i="15"/>
  <c r="F137" i="15"/>
  <c r="G137" i="15"/>
  <c r="H137" i="15"/>
  <c r="J137" i="15"/>
  <c r="K137" i="15"/>
  <c r="L137" i="15"/>
  <c r="O137" i="15"/>
  <c r="I138" i="15"/>
  <c r="D138" i="15"/>
  <c r="E138" i="15"/>
  <c r="F138" i="15"/>
  <c r="G138" i="15"/>
  <c r="H138" i="15"/>
  <c r="J138" i="15"/>
  <c r="K138" i="15"/>
  <c r="L138" i="15"/>
  <c r="O138" i="15"/>
  <c r="I139" i="15"/>
  <c r="D139" i="15"/>
  <c r="E139" i="15"/>
  <c r="F139" i="15"/>
  <c r="G139" i="15"/>
  <c r="H139" i="15"/>
  <c r="J139" i="15"/>
  <c r="K139" i="15"/>
  <c r="L139" i="15"/>
  <c r="O139" i="15"/>
  <c r="I140" i="15"/>
  <c r="D140" i="15"/>
  <c r="E140" i="15"/>
  <c r="F140" i="15"/>
  <c r="G140" i="15"/>
  <c r="H140" i="15"/>
  <c r="J140" i="15"/>
  <c r="K140" i="15"/>
  <c r="L140" i="15"/>
  <c r="O140" i="15"/>
  <c r="I141" i="15"/>
  <c r="D141" i="15"/>
  <c r="E141" i="15"/>
  <c r="F141" i="15"/>
  <c r="G141" i="15"/>
  <c r="H141" i="15"/>
  <c r="J141" i="15"/>
  <c r="K141" i="15"/>
  <c r="L141" i="15"/>
  <c r="O141" i="15"/>
  <c r="I142" i="15"/>
  <c r="D142" i="15"/>
  <c r="E142" i="15"/>
  <c r="F142" i="15"/>
  <c r="G142" i="15"/>
  <c r="H142" i="15"/>
  <c r="J142" i="15"/>
  <c r="K142" i="15"/>
  <c r="L142" i="15"/>
  <c r="O142" i="15"/>
  <c r="I143" i="15"/>
  <c r="D143" i="15"/>
  <c r="E143" i="15"/>
  <c r="F143" i="15"/>
  <c r="G143" i="15"/>
  <c r="H143" i="15"/>
  <c r="J143" i="15"/>
  <c r="K143" i="15"/>
  <c r="L143" i="15"/>
  <c r="O143" i="15"/>
  <c r="I144" i="15"/>
  <c r="D144" i="15"/>
  <c r="E144" i="15"/>
  <c r="F144" i="15"/>
  <c r="G144" i="15"/>
  <c r="H144" i="15"/>
  <c r="J144" i="15"/>
  <c r="K144" i="15"/>
  <c r="L144" i="15"/>
  <c r="O144" i="15"/>
  <c r="I145" i="15"/>
  <c r="D145" i="15"/>
  <c r="E145" i="15"/>
  <c r="F145" i="15"/>
  <c r="G145" i="15"/>
  <c r="H145" i="15"/>
  <c r="J145" i="15"/>
  <c r="K145" i="15"/>
  <c r="L145" i="15"/>
  <c r="O145" i="15"/>
  <c r="I146" i="15"/>
  <c r="D146" i="15"/>
  <c r="E146" i="15"/>
  <c r="F146" i="15"/>
  <c r="G146" i="15"/>
  <c r="H146" i="15"/>
  <c r="J146" i="15"/>
  <c r="K146" i="15"/>
  <c r="L146" i="15"/>
  <c r="O146" i="15"/>
  <c r="I147" i="15"/>
  <c r="D147" i="15"/>
  <c r="E147" i="15"/>
  <c r="F147" i="15"/>
  <c r="G147" i="15"/>
  <c r="H147" i="15"/>
  <c r="J147" i="15"/>
  <c r="K147" i="15"/>
  <c r="L147" i="15"/>
  <c r="O147" i="15"/>
  <c r="I148" i="15"/>
  <c r="D148" i="15"/>
  <c r="E148" i="15"/>
  <c r="F148" i="15"/>
  <c r="G148" i="15"/>
  <c r="H148" i="15"/>
  <c r="J148" i="15"/>
  <c r="K148" i="15"/>
  <c r="L148" i="15"/>
  <c r="O148" i="15"/>
  <c r="I149" i="15"/>
  <c r="D149" i="15"/>
  <c r="E149" i="15"/>
  <c r="F149" i="15"/>
  <c r="G149" i="15"/>
  <c r="H149" i="15"/>
  <c r="J149" i="15"/>
  <c r="K149" i="15"/>
  <c r="L149" i="15"/>
  <c r="O149" i="15"/>
  <c r="I150" i="15"/>
  <c r="D150" i="15"/>
  <c r="E150" i="15"/>
  <c r="F150" i="15"/>
  <c r="G150" i="15"/>
  <c r="H150" i="15"/>
  <c r="J150" i="15"/>
  <c r="K150" i="15"/>
  <c r="L150" i="15"/>
  <c r="O150" i="15"/>
  <c r="I151" i="15"/>
  <c r="D151" i="15"/>
  <c r="E151" i="15"/>
  <c r="F151" i="15"/>
  <c r="G151" i="15"/>
  <c r="H151" i="15"/>
  <c r="J151" i="15"/>
  <c r="K151" i="15"/>
  <c r="L151" i="15"/>
  <c r="O151" i="15"/>
  <c r="I152" i="15"/>
  <c r="D152" i="15"/>
  <c r="E152" i="15"/>
  <c r="F152" i="15"/>
  <c r="G152" i="15"/>
  <c r="H152" i="15"/>
  <c r="J152" i="15"/>
  <c r="K152" i="15"/>
  <c r="L152" i="15"/>
  <c r="O152" i="15"/>
  <c r="I153" i="15"/>
  <c r="D153" i="15"/>
  <c r="E153" i="15"/>
  <c r="F153" i="15"/>
  <c r="G153" i="15"/>
  <c r="H153" i="15"/>
  <c r="J153" i="15"/>
  <c r="K153" i="15"/>
  <c r="L153" i="15"/>
  <c r="O153" i="15"/>
  <c r="I154" i="15"/>
  <c r="D154" i="15"/>
  <c r="E154" i="15"/>
  <c r="F154" i="15"/>
  <c r="G154" i="15"/>
  <c r="H154" i="15"/>
  <c r="J154" i="15"/>
  <c r="K154" i="15"/>
  <c r="L154" i="15"/>
  <c r="O154" i="15"/>
  <c r="I155" i="15"/>
  <c r="D155" i="15"/>
  <c r="E155" i="15"/>
  <c r="F155" i="15"/>
  <c r="G155" i="15"/>
  <c r="H155" i="15"/>
  <c r="J155" i="15"/>
  <c r="K155" i="15"/>
  <c r="L155" i="15"/>
  <c r="O155" i="15"/>
  <c r="I156" i="15"/>
  <c r="D156" i="15"/>
  <c r="E156" i="15"/>
  <c r="F156" i="15"/>
  <c r="G156" i="15"/>
  <c r="H156" i="15"/>
  <c r="J156" i="15"/>
  <c r="K156" i="15"/>
  <c r="L156" i="15"/>
  <c r="O156" i="15"/>
  <c r="I157" i="15"/>
  <c r="D157" i="15"/>
  <c r="E157" i="15"/>
  <c r="F157" i="15"/>
  <c r="G157" i="15"/>
  <c r="H157" i="15"/>
  <c r="J157" i="15"/>
  <c r="K157" i="15"/>
  <c r="L157" i="15"/>
  <c r="O157" i="15"/>
  <c r="I158" i="15"/>
  <c r="D158" i="15"/>
  <c r="E158" i="15"/>
  <c r="F158" i="15"/>
  <c r="G158" i="15"/>
  <c r="H158" i="15"/>
  <c r="J158" i="15"/>
  <c r="K158" i="15"/>
  <c r="L158" i="15"/>
  <c r="O158" i="15"/>
  <c r="I159" i="15"/>
  <c r="D159" i="15"/>
  <c r="E159" i="15"/>
  <c r="F159" i="15"/>
  <c r="G159" i="15"/>
  <c r="H159" i="15"/>
  <c r="J159" i="15"/>
  <c r="K159" i="15"/>
  <c r="L159" i="15"/>
  <c r="O159" i="15"/>
  <c r="I160" i="15"/>
  <c r="D160" i="15"/>
  <c r="E160" i="15"/>
  <c r="F160" i="15"/>
  <c r="G160" i="15"/>
  <c r="H160" i="15"/>
  <c r="J160" i="15"/>
  <c r="K160" i="15"/>
  <c r="L160" i="15"/>
  <c r="O160" i="15"/>
  <c r="I161" i="15"/>
  <c r="D161" i="15"/>
  <c r="E161" i="15"/>
  <c r="F161" i="15"/>
  <c r="G161" i="15"/>
  <c r="H161" i="15"/>
  <c r="J161" i="15"/>
  <c r="K161" i="15"/>
  <c r="L161" i="15"/>
  <c r="O161" i="15"/>
  <c r="I162" i="15"/>
  <c r="D162" i="15"/>
  <c r="E162" i="15"/>
  <c r="F162" i="15"/>
  <c r="G162" i="15"/>
  <c r="H162" i="15"/>
  <c r="J162" i="15"/>
  <c r="K162" i="15"/>
  <c r="L162" i="15"/>
  <c r="O162" i="15"/>
  <c r="I163" i="15"/>
  <c r="D163" i="15"/>
  <c r="E163" i="15"/>
  <c r="F163" i="15"/>
  <c r="G163" i="15"/>
  <c r="H163" i="15"/>
  <c r="J163" i="15"/>
  <c r="K163" i="15"/>
  <c r="L163" i="15"/>
  <c r="O163" i="15"/>
  <c r="I164" i="15"/>
  <c r="D164" i="15"/>
  <c r="E164" i="15"/>
  <c r="F164" i="15"/>
  <c r="G164" i="15"/>
  <c r="H164" i="15"/>
  <c r="J164" i="15"/>
  <c r="K164" i="15"/>
  <c r="L164" i="15"/>
  <c r="O164" i="15"/>
  <c r="I165" i="15"/>
  <c r="D165" i="15"/>
  <c r="E165" i="15"/>
  <c r="F165" i="15"/>
  <c r="G165" i="15"/>
  <c r="H165" i="15"/>
  <c r="J165" i="15"/>
  <c r="K165" i="15"/>
  <c r="L165" i="15"/>
  <c r="O165" i="15"/>
  <c r="I166" i="15"/>
  <c r="D166" i="15"/>
  <c r="E166" i="15"/>
  <c r="F166" i="15"/>
  <c r="G166" i="15"/>
  <c r="H166" i="15"/>
  <c r="J166" i="15"/>
  <c r="K166" i="15"/>
  <c r="L166" i="15"/>
  <c r="O166" i="15"/>
  <c r="I167" i="15"/>
  <c r="D167" i="15"/>
  <c r="E167" i="15"/>
  <c r="F167" i="15"/>
  <c r="G167" i="15"/>
  <c r="H167" i="15"/>
  <c r="J167" i="15"/>
  <c r="K167" i="15"/>
  <c r="L167" i="15"/>
  <c r="O167" i="15"/>
  <c r="I168" i="15"/>
  <c r="D168" i="15"/>
  <c r="E168" i="15"/>
  <c r="F168" i="15"/>
  <c r="G168" i="15"/>
  <c r="H168" i="15"/>
  <c r="J168" i="15"/>
  <c r="K168" i="15"/>
  <c r="L168" i="15"/>
  <c r="O168" i="15"/>
  <c r="I169" i="15"/>
  <c r="D169" i="15"/>
  <c r="E169" i="15"/>
  <c r="F169" i="15"/>
  <c r="G169" i="15"/>
  <c r="H169" i="15"/>
  <c r="J169" i="15"/>
  <c r="K169" i="15"/>
  <c r="L169" i="15"/>
  <c r="O169" i="15"/>
  <c r="I170" i="15"/>
  <c r="D170" i="15"/>
  <c r="E170" i="15"/>
  <c r="F170" i="15"/>
  <c r="G170" i="15"/>
  <c r="H170" i="15"/>
  <c r="J170" i="15"/>
  <c r="K170" i="15"/>
  <c r="L170" i="15"/>
  <c r="O170" i="15"/>
  <c r="I171" i="15"/>
  <c r="D171" i="15"/>
  <c r="E171" i="15"/>
  <c r="F171" i="15"/>
  <c r="G171" i="15"/>
  <c r="H171" i="15"/>
  <c r="J171" i="15"/>
  <c r="K171" i="15"/>
  <c r="L171" i="15"/>
  <c r="O171" i="15"/>
  <c r="I172" i="15"/>
  <c r="D172" i="15"/>
  <c r="E172" i="15"/>
  <c r="F172" i="15"/>
  <c r="G172" i="15"/>
  <c r="H172" i="15"/>
  <c r="J172" i="15"/>
  <c r="K172" i="15"/>
  <c r="L172" i="15"/>
  <c r="O172" i="15"/>
  <c r="I173" i="15"/>
  <c r="D173" i="15"/>
  <c r="E173" i="15"/>
  <c r="F173" i="15"/>
  <c r="G173" i="15"/>
  <c r="H173" i="15"/>
  <c r="J173" i="15"/>
  <c r="K173" i="15"/>
  <c r="L173" i="15"/>
  <c r="O173" i="15"/>
  <c r="I174" i="15"/>
  <c r="D174" i="15"/>
  <c r="E174" i="15"/>
  <c r="F174" i="15"/>
  <c r="G174" i="15"/>
  <c r="H174" i="15"/>
  <c r="J174" i="15"/>
  <c r="K174" i="15"/>
  <c r="L174" i="15"/>
  <c r="O174" i="15"/>
  <c r="I175" i="15"/>
  <c r="D175" i="15"/>
  <c r="E175" i="15"/>
  <c r="F175" i="15"/>
  <c r="G175" i="15"/>
  <c r="H175" i="15"/>
  <c r="J175" i="15"/>
  <c r="K175" i="15"/>
  <c r="L175" i="15"/>
  <c r="O175" i="15"/>
  <c r="I176" i="15"/>
  <c r="D176" i="15"/>
  <c r="E176" i="15"/>
  <c r="F176" i="15"/>
  <c r="G176" i="15"/>
  <c r="H176" i="15"/>
  <c r="J176" i="15"/>
  <c r="K176" i="15"/>
  <c r="L176" i="15"/>
  <c r="O176" i="15"/>
  <c r="I177" i="15"/>
  <c r="D177" i="15"/>
  <c r="E177" i="15"/>
  <c r="F177" i="15"/>
  <c r="G177" i="15"/>
  <c r="H177" i="15"/>
  <c r="J177" i="15"/>
  <c r="K177" i="15"/>
  <c r="L177" i="15"/>
  <c r="O177" i="15"/>
  <c r="I178" i="15"/>
  <c r="D178" i="15"/>
  <c r="E178" i="15"/>
  <c r="F178" i="15"/>
  <c r="G178" i="15"/>
  <c r="H178" i="15"/>
  <c r="J178" i="15"/>
  <c r="K178" i="15"/>
  <c r="L178" i="15"/>
  <c r="O178" i="15"/>
  <c r="I179" i="15"/>
  <c r="D179" i="15"/>
  <c r="E179" i="15"/>
  <c r="F179" i="15"/>
  <c r="G179" i="15"/>
  <c r="H179" i="15"/>
  <c r="J179" i="15"/>
  <c r="K179" i="15"/>
  <c r="L179" i="15"/>
  <c r="O179" i="15"/>
  <c r="I180" i="15"/>
  <c r="D180" i="15"/>
  <c r="E180" i="15"/>
  <c r="F180" i="15"/>
  <c r="G180" i="15"/>
  <c r="H180" i="15"/>
  <c r="J180" i="15"/>
  <c r="K180" i="15"/>
  <c r="L180" i="15"/>
  <c r="O180" i="15"/>
  <c r="I181" i="15"/>
  <c r="D181" i="15"/>
  <c r="E181" i="15"/>
  <c r="F181" i="15"/>
  <c r="G181" i="15"/>
  <c r="H181" i="15"/>
  <c r="J181" i="15"/>
  <c r="K181" i="15"/>
  <c r="L181" i="15"/>
  <c r="O181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I2" i="15"/>
  <c r="E3" i="15"/>
  <c r="F3" i="15"/>
  <c r="G3" i="15"/>
  <c r="H3" i="15"/>
  <c r="E4" i="15"/>
  <c r="F4" i="15"/>
  <c r="G4" i="15"/>
  <c r="H4" i="15"/>
  <c r="E5" i="15"/>
  <c r="F5" i="15"/>
  <c r="G5" i="15"/>
  <c r="H5" i="15"/>
  <c r="E6" i="15"/>
  <c r="F6" i="15"/>
  <c r="G6" i="15"/>
  <c r="H6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39" i="14"/>
  <c r="I40" i="14"/>
  <c r="I38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17" i="14"/>
  <c r="I39" i="13"/>
  <c r="I40" i="13"/>
  <c r="I38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17" i="13"/>
  <c r="I39" i="12"/>
  <c r="I40" i="12"/>
  <c r="I38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17" i="12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17" i="11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17" i="10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17" i="9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17" i="7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17" i="6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7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3" i="4"/>
  <c r="P3" i="4"/>
  <c r="N3" i="4"/>
  <c r="O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E2" i="15"/>
  <c r="F2" i="15"/>
  <c r="D2" i="15"/>
  <c r="G2" i="15"/>
  <c r="H2" i="15"/>
  <c r="J2" i="15"/>
  <c r="K2" i="15"/>
  <c r="L2" i="15"/>
  <c r="C3" i="15"/>
  <c r="D3" i="15"/>
  <c r="J3" i="15"/>
  <c r="K3" i="15"/>
  <c r="L3" i="15"/>
  <c r="C4" i="15"/>
  <c r="D4" i="15"/>
  <c r="J4" i="15"/>
  <c r="K4" i="15"/>
  <c r="L4" i="15"/>
  <c r="C5" i="15"/>
  <c r="D5" i="15"/>
  <c r="J5" i="15"/>
  <c r="K5" i="15"/>
  <c r="L5" i="15"/>
  <c r="C6" i="15"/>
  <c r="D6" i="15"/>
  <c r="J6" i="15"/>
  <c r="K6" i="15"/>
  <c r="L6" i="15"/>
  <c r="C7" i="15"/>
  <c r="D7" i="15"/>
  <c r="J7" i="15"/>
  <c r="K7" i="15"/>
  <c r="L7" i="15"/>
  <c r="C8" i="15"/>
  <c r="D8" i="15"/>
  <c r="J8" i="15"/>
  <c r="K8" i="15"/>
  <c r="L8" i="15"/>
  <c r="C9" i="15"/>
  <c r="D9" i="15"/>
  <c r="J9" i="15"/>
  <c r="K9" i="15"/>
  <c r="L9" i="15"/>
  <c r="C10" i="15"/>
  <c r="D10" i="15"/>
  <c r="J10" i="15"/>
  <c r="K10" i="15"/>
  <c r="L10" i="15"/>
  <c r="C11" i="15"/>
  <c r="D11" i="15"/>
  <c r="J11" i="15"/>
  <c r="K11" i="15"/>
  <c r="L11" i="15"/>
  <c r="C12" i="15"/>
  <c r="D12" i="15"/>
  <c r="J12" i="15"/>
  <c r="K12" i="15"/>
  <c r="L12" i="15"/>
  <c r="C13" i="15"/>
  <c r="D13" i="15"/>
  <c r="J13" i="15"/>
  <c r="K13" i="15"/>
  <c r="L13" i="15"/>
  <c r="C14" i="15"/>
  <c r="D14" i="15"/>
  <c r="J14" i="15"/>
  <c r="K14" i="15"/>
  <c r="L14" i="15"/>
  <c r="C15" i="15"/>
  <c r="D15" i="15"/>
  <c r="J15" i="15"/>
  <c r="K15" i="15"/>
  <c r="L15" i="15"/>
  <c r="C16" i="15"/>
  <c r="D16" i="15"/>
  <c r="J16" i="15"/>
  <c r="K16" i="15"/>
  <c r="L16" i="15"/>
  <c r="C17" i="15"/>
  <c r="D17" i="15"/>
  <c r="J17" i="15"/>
  <c r="K17" i="15"/>
  <c r="L17" i="15"/>
  <c r="C18" i="15"/>
  <c r="D18" i="15"/>
  <c r="J18" i="15"/>
  <c r="K18" i="15"/>
  <c r="L18" i="15"/>
  <c r="C19" i="15"/>
  <c r="D19" i="15"/>
  <c r="J19" i="15"/>
  <c r="K19" i="15"/>
  <c r="L19" i="15"/>
  <c r="C20" i="15"/>
  <c r="D20" i="15"/>
  <c r="J20" i="15"/>
  <c r="K20" i="15"/>
  <c r="L20" i="15"/>
  <c r="C21" i="15"/>
  <c r="D21" i="15"/>
  <c r="J21" i="15"/>
  <c r="K21" i="15"/>
  <c r="L21" i="15"/>
  <c r="J36" i="14"/>
  <c r="R36" i="13"/>
  <c r="L42" i="4"/>
  <c r="G42" i="4"/>
  <c r="H42" i="4"/>
  <c r="L36" i="13"/>
  <c r="M36" i="13"/>
  <c r="N36" i="13"/>
  <c r="O36" i="13"/>
  <c r="Q36" i="13"/>
  <c r="S36" i="13"/>
  <c r="S18" i="13"/>
  <c r="S17" i="13"/>
  <c r="S24" i="13"/>
  <c r="S23" i="13"/>
  <c r="S22" i="13"/>
  <c r="S20" i="13"/>
  <c r="R18" i="13"/>
  <c r="R19" i="13"/>
  <c r="R20" i="13"/>
  <c r="R22" i="13"/>
  <c r="R23" i="13"/>
  <c r="R24" i="13"/>
  <c r="R17" i="13"/>
  <c r="S19" i="13"/>
  <c r="L24" i="4"/>
  <c r="G24" i="4"/>
  <c r="H24" i="4"/>
  <c r="L18" i="13"/>
  <c r="M18" i="13"/>
  <c r="N18" i="13"/>
  <c r="O18" i="13"/>
  <c r="Q18" i="13"/>
  <c r="L25" i="4"/>
  <c r="G25" i="4"/>
  <c r="H25" i="4"/>
  <c r="L19" i="13"/>
  <c r="M19" i="13"/>
  <c r="N19" i="13"/>
  <c r="O19" i="13"/>
  <c r="Q19" i="13"/>
  <c r="L26" i="4"/>
  <c r="G26" i="4"/>
  <c r="H26" i="4"/>
  <c r="L20" i="13"/>
  <c r="M20" i="13"/>
  <c r="N20" i="13"/>
  <c r="O20" i="13"/>
  <c r="Q20" i="13"/>
  <c r="L27" i="4"/>
  <c r="G27" i="4"/>
  <c r="H27" i="4"/>
  <c r="L21" i="13"/>
  <c r="M21" i="13"/>
  <c r="N21" i="13"/>
  <c r="O21" i="13"/>
  <c r="Q21" i="13"/>
  <c r="L28" i="4"/>
  <c r="G28" i="4"/>
  <c r="H28" i="4"/>
  <c r="L22" i="13"/>
  <c r="M22" i="13"/>
  <c r="N22" i="13"/>
  <c r="O22" i="13"/>
  <c r="Q22" i="13"/>
  <c r="L29" i="4"/>
  <c r="G29" i="4"/>
  <c r="H29" i="4"/>
  <c r="L23" i="13"/>
  <c r="M23" i="13"/>
  <c r="N23" i="13"/>
  <c r="O23" i="13"/>
  <c r="Q23" i="13"/>
  <c r="L30" i="4"/>
  <c r="G30" i="4"/>
  <c r="H30" i="4"/>
  <c r="L24" i="13"/>
  <c r="M24" i="13"/>
  <c r="N24" i="13"/>
  <c r="O24" i="13"/>
  <c r="Q24" i="13"/>
  <c r="L23" i="4"/>
  <c r="G23" i="4"/>
  <c r="H23" i="4"/>
  <c r="L17" i="13"/>
  <c r="M17" i="13"/>
  <c r="N17" i="13"/>
  <c r="O17" i="13"/>
  <c r="Q17" i="13"/>
  <c r="S30" i="12"/>
  <c r="S31" i="12"/>
  <c r="S32" i="12"/>
  <c r="S33" i="12"/>
  <c r="S34" i="12"/>
  <c r="S35" i="12"/>
  <c r="L36" i="4"/>
  <c r="G36" i="4"/>
  <c r="H36" i="4"/>
  <c r="L30" i="12"/>
  <c r="M30" i="12"/>
  <c r="N30" i="12"/>
  <c r="P30" i="12"/>
  <c r="Q30" i="12"/>
  <c r="R30" i="12"/>
  <c r="L37" i="4"/>
  <c r="G37" i="4"/>
  <c r="H37" i="4"/>
  <c r="L31" i="12"/>
  <c r="M31" i="12"/>
  <c r="N31" i="12"/>
  <c r="P31" i="12"/>
  <c r="Q31" i="12"/>
  <c r="R31" i="12"/>
  <c r="L38" i="4"/>
  <c r="G38" i="4"/>
  <c r="H38" i="4"/>
  <c r="L32" i="12"/>
  <c r="M32" i="12"/>
  <c r="N32" i="12"/>
  <c r="P32" i="12"/>
  <c r="Q32" i="12"/>
  <c r="R32" i="12"/>
  <c r="L39" i="4"/>
  <c r="G39" i="4"/>
  <c r="H39" i="4"/>
  <c r="L33" i="12"/>
  <c r="M33" i="12"/>
  <c r="N33" i="12"/>
  <c r="P33" i="12"/>
  <c r="Q33" i="12"/>
  <c r="R33" i="12"/>
  <c r="L40" i="4"/>
  <c r="G40" i="4"/>
  <c r="H40" i="4"/>
  <c r="L34" i="12"/>
  <c r="M34" i="12"/>
  <c r="N34" i="12"/>
  <c r="P34" i="12"/>
  <c r="Q34" i="12"/>
  <c r="R34" i="12"/>
  <c r="L41" i="4"/>
  <c r="G41" i="4"/>
  <c r="H41" i="4"/>
  <c r="L35" i="12"/>
  <c r="M35" i="12"/>
  <c r="N35" i="12"/>
  <c r="P35" i="12"/>
  <c r="Q35" i="12"/>
  <c r="R35" i="12"/>
  <c r="T35" i="12"/>
  <c r="T33" i="12"/>
  <c r="T32" i="12"/>
  <c r="T31" i="12"/>
  <c r="T30" i="12"/>
  <c r="T28" i="12"/>
  <c r="Y28" i="12"/>
  <c r="Y29" i="12"/>
  <c r="Y30" i="12"/>
  <c r="Y31" i="12"/>
  <c r="Y32" i="12"/>
  <c r="Y33" i="12"/>
  <c r="Y34" i="12"/>
  <c r="Y35" i="12"/>
  <c r="Y27" i="12"/>
  <c r="L13" i="4"/>
  <c r="G13" i="4"/>
  <c r="H13" i="4"/>
  <c r="L27" i="11"/>
  <c r="M27" i="11"/>
  <c r="N27" i="11"/>
  <c r="O27" i="11"/>
  <c r="Q27" i="11"/>
  <c r="L16" i="4"/>
  <c r="G16" i="4"/>
  <c r="H16" i="4"/>
  <c r="L30" i="11"/>
  <c r="M30" i="11"/>
  <c r="N30" i="11"/>
  <c r="O30" i="11"/>
  <c r="Q30" i="11"/>
  <c r="L12" i="4"/>
  <c r="G12" i="4"/>
  <c r="H12" i="4"/>
  <c r="L26" i="11"/>
  <c r="M26" i="11"/>
  <c r="N26" i="11"/>
  <c r="O26" i="11"/>
  <c r="Q26" i="11"/>
  <c r="R30" i="11"/>
  <c r="S30" i="11"/>
  <c r="R27" i="11"/>
  <c r="S27" i="11"/>
  <c r="R26" i="11"/>
  <c r="S39" i="14"/>
  <c r="L7" i="4"/>
  <c r="G7" i="4"/>
  <c r="H7" i="4"/>
  <c r="L39" i="14"/>
  <c r="M39" i="14"/>
  <c r="N39" i="14"/>
  <c r="O39" i="14"/>
  <c r="Q39" i="14"/>
  <c r="R39" i="14"/>
  <c r="S40" i="14"/>
  <c r="L8" i="4"/>
  <c r="G8" i="4"/>
  <c r="H8" i="4"/>
  <c r="L40" i="14"/>
  <c r="M40" i="14"/>
  <c r="N40" i="14"/>
  <c r="O40" i="14"/>
  <c r="Q40" i="14"/>
  <c r="R40" i="14"/>
  <c r="L6" i="4"/>
  <c r="G6" i="4"/>
  <c r="H6" i="4"/>
  <c r="L38" i="14"/>
  <c r="M38" i="14"/>
  <c r="N38" i="14"/>
  <c r="O38" i="14"/>
  <c r="Q38" i="14"/>
  <c r="R38" i="14"/>
  <c r="S38" i="14"/>
  <c r="L18" i="14"/>
  <c r="M18" i="14"/>
  <c r="N18" i="14"/>
  <c r="O18" i="14"/>
  <c r="Q18" i="14"/>
  <c r="L19" i="14"/>
  <c r="M19" i="14"/>
  <c r="N19" i="14"/>
  <c r="O19" i="14"/>
  <c r="Q19" i="14"/>
  <c r="L20" i="14"/>
  <c r="M20" i="14"/>
  <c r="N20" i="14"/>
  <c r="O20" i="14"/>
  <c r="Q20" i="14"/>
  <c r="L21" i="14"/>
  <c r="M21" i="14"/>
  <c r="N21" i="14"/>
  <c r="O21" i="14"/>
  <c r="Q21" i="14"/>
  <c r="L22" i="14"/>
  <c r="M22" i="14"/>
  <c r="N22" i="14"/>
  <c r="O22" i="14"/>
  <c r="Q22" i="14"/>
  <c r="L23" i="14"/>
  <c r="M23" i="14"/>
  <c r="N23" i="14"/>
  <c r="O23" i="14"/>
  <c r="Q23" i="14"/>
  <c r="L24" i="14"/>
  <c r="M24" i="14"/>
  <c r="N24" i="14"/>
  <c r="O24" i="14"/>
  <c r="Q24" i="14"/>
  <c r="L31" i="4"/>
  <c r="G31" i="4"/>
  <c r="H31" i="4"/>
  <c r="L25" i="14"/>
  <c r="M25" i="14"/>
  <c r="N25" i="14"/>
  <c r="O25" i="14"/>
  <c r="Q25" i="14"/>
  <c r="L32" i="4"/>
  <c r="G32" i="4"/>
  <c r="H32" i="4"/>
  <c r="L26" i="14"/>
  <c r="M26" i="14"/>
  <c r="N26" i="14"/>
  <c r="O26" i="14"/>
  <c r="Q26" i="14"/>
  <c r="L33" i="4"/>
  <c r="G33" i="4"/>
  <c r="H33" i="4"/>
  <c r="L27" i="14"/>
  <c r="M27" i="14"/>
  <c r="N27" i="14"/>
  <c r="O27" i="14"/>
  <c r="Q27" i="14"/>
  <c r="L34" i="4"/>
  <c r="G34" i="4"/>
  <c r="H34" i="4"/>
  <c r="L28" i="14"/>
  <c r="M28" i="14"/>
  <c r="N28" i="14"/>
  <c r="O28" i="14"/>
  <c r="Q28" i="14"/>
  <c r="L35" i="4"/>
  <c r="G35" i="4"/>
  <c r="H35" i="4"/>
  <c r="L29" i="14"/>
  <c r="M29" i="14"/>
  <c r="N29" i="14"/>
  <c r="O29" i="14"/>
  <c r="Q29" i="14"/>
  <c r="L30" i="14"/>
  <c r="M30" i="14"/>
  <c r="N30" i="14"/>
  <c r="O30" i="14"/>
  <c r="Q30" i="14"/>
  <c r="L31" i="14"/>
  <c r="M31" i="14"/>
  <c r="N31" i="14"/>
  <c r="O31" i="14"/>
  <c r="Q31" i="14"/>
  <c r="L32" i="14"/>
  <c r="M32" i="14"/>
  <c r="N32" i="14"/>
  <c r="O32" i="14"/>
  <c r="Q32" i="14"/>
  <c r="L33" i="14"/>
  <c r="M33" i="14"/>
  <c r="N33" i="14"/>
  <c r="O33" i="14"/>
  <c r="Q33" i="14"/>
  <c r="L34" i="14"/>
  <c r="M34" i="14"/>
  <c r="N34" i="14"/>
  <c r="O34" i="14"/>
  <c r="Q34" i="14"/>
  <c r="L35" i="14"/>
  <c r="M35" i="14"/>
  <c r="N35" i="14"/>
  <c r="O35" i="14"/>
  <c r="Q35" i="14"/>
  <c r="L36" i="14"/>
  <c r="M36" i="14"/>
  <c r="N36" i="14"/>
  <c r="O36" i="14"/>
  <c r="Q36" i="14"/>
  <c r="L17" i="14"/>
  <c r="M17" i="14"/>
  <c r="N17" i="14"/>
  <c r="O17" i="14"/>
  <c r="Q17" i="14"/>
  <c r="J40" i="14"/>
  <c r="K40" i="14"/>
  <c r="J39" i="14"/>
  <c r="K39" i="14"/>
  <c r="J38" i="14"/>
  <c r="K38" i="14"/>
  <c r="K36" i="14"/>
  <c r="J35" i="14"/>
  <c r="K35" i="14"/>
  <c r="J34" i="14"/>
  <c r="K34" i="14"/>
  <c r="J33" i="14"/>
  <c r="K33" i="14"/>
  <c r="J32" i="14"/>
  <c r="K32" i="14"/>
  <c r="J31" i="14"/>
  <c r="K31" i="14"/>
  <c r="J30" i="14"/>
  <c r="K30" i="14"/>
  <c r="J29" i="14"/>
  <c r="K29" i="14"/>
  <c r="J28" i="14"/>
  <c r="K28" i="14"/>
  <c r="J27" i="14"/>
  <c r="K27" i="14"/>
  <c r="J26" i="14"/>
  <c r="K26" i="14"/>
  <c r="J25" i="14"/>
  <c r="K25" i="14"/>
  <c r="J24" i="14"/>
  <c r="K24" i="14"/>
  <c r="J23" i="14"/>
  <c r="K23" i="14"/>
  <c r="J22" i="14"/>
  <c r="K22" i="14"/>
  <c r="J21" i="14"/>
  <c r="K21" i="14"/>
  <c r="J20" i="14"/>
  <c r="K20" i="14"/>
  <c r="J19" i="14"/>
  <c r="K19" i="14"/>
  <c r="J18" i="14"/>
  <c r="K18" i="14"/>
  <c r="J17" i="14"/>
  <c r="K17" i="14"/>
  <c r="F13" i="14"/>
  <c r="F12" i="14"/>
  <c r="F11" i="14"/>
  <c r="F3" i="14"/>
  <c r="F4" i="14"/>
  <c r="F5" i="14"/>
  <c r="F6" i="14"/>
  <c r="F7" i="14"/>
  <c r="F8" i="14"/>
  <c r="F9" i="14"/>
  <c r="F10" i="14"/>
  <c r="I10" i="14"/>
  <c r="L26" i="12"/>
  <c r="M26" i="12"/>
  <c r="N26" i="12"/>
  <c r="P26" i="12"/>
  <c r="Q26" i="12"/>
  <c r="R26" i="12"/>
  <c r="L27" i="12"/>
  <c r="M27" i="12"/>
  <c r="N27" i="12"/>
  <c r="P27" i="12"/>
  <c r="Q27" i="12"/>
  <c r="R27" i="12"/>
  <c r="S28" i="12"/>
  <c r="L28" i="12"/>
  <c r="M28" i="12"/>
  <c r="N28" i="12"/>
  <c r="P28" i="12"/>
  <c r="Q28" i="12"/>
  <c r="R28" i="12"/>
  <c r="L29" i="12"/>
  <c r="M29" i="12"/>
  <c r="N29" i="12"/>
  <c r="P29" i="12"/>
  <c r="Q29" i="12"/>
  <c r="R29" i="12"/>
  <c r="L25" i="12"/>
  <c r="M25" i="12"/>
  <c r="N25" i="12"/>
  <c r="P25" i="12"/>
  <c r="Q25" i="12"/>
  <c r="R25" i="12"/>
  <c r="S27" i="12"/>
  <c r="S29" i="12"/>
  <c r="S25" i="12"/>
  <c r="S26" i="12"/>
  <c r="L40" i="13"/>
  <c r="J40" i="13"/>
  <c r="K40" i="13"/>
  <c r="L39" i="13"/>
  <c r="J39" i="13"/>
  <c r="K39" i="13"/>
  <c r="L38" i="13"/>
  <c r="J38" i="13"/>
  <c r="K38" i="13"/>
  <c r="J36" i="13"/>
  <c r="K36" i="13"/>
  <c r="L35" i="13"/>
  <c r="J35" i="13"/>
  <c r="K35" i="13"/>
  <c r="L34" i="13"/>
  <c r="J34" i="13"/>
  <c r="K34" i="13"/>
  <c r="L33" i="13"/>
  <c r="J33" i="13"/>
  <c r="K33" i="13"/>
  <c r="L32" i="13"/>
  <c r="J32" i="13"/>
  <c r="K32" i="13"/>
  <c r="L31" i="13"/>
  <c r="J31" i="13"/>
  <c r="K31" i="13"/>
  <c r="L30" i="13"/>
  <c r="J30" i="13"/>
  <c r="K30" i="13"/>
  <c r="L29" i="13"/>
  <c r="J29" i="13"/>
  <c r="K29" i="13"/>
  <c r="L28" i="13"/>
  <c r="J28" i="13"/>
  <c r="K28" i="13"/>
  <c r="L27" i="13"/>
  <c r="J27" i="13"/>
  <c r="K27" i="13"/>
  <c r="L26" i="13"/>
  <c r="J26" i="13"/>
  <c r="K26" i="13"/>
  <c r="L25" i="13"/>
  <c r="J25" i="13"/>
  <c r="K25" i="13"/>
  <c r="J24" i="13"/>
  <c r="K24" i="13"/>
  <c r="J23" i="13"/>
  <c r="K23" i="13"/>
  <c r="J22" i="13"/>
  <c r="K22" i="13"/>
  <c r="J21" i="13"/>
  <c r="K21" i="13"/>
  <c r="J20" i="13"/>
  <c r="K20" i="13"/>
  <c r="J19" i="13"/>
  <c r="K19" i="13"/>
  <c r="J18" i="13"/>
  <c r="K18" i="13"/>
  <c r="J17" i="13"/>
  <c r="K17" i="13"/>
  <c r="F13" i="13"/>
  <c r="F12" i="13"/>
  <c r="F11" i="13"/>
  <c r="F3" i="13"/>
  <c r="F4" i="13"/>
  <c r="F5" i="13"/>
  <c r="F6" i="13"/>
  <c r="F7" i="13"/>
  <c r="F8" i="13"/>
  <c r="F9" i="13"/>
  <c r="F10" i="13"/>
  <c r="I10" i="13"/>
  <c r="L39" i="12"/>
  <c r="L40" i="12"/>
  <c r="L38" i="12"/>
  <c r="J40" i="12"/>
  <c r="K40" i="12"/>
  <c r="J39" i="12"/>
  <c r="K39" i="12"/>
  <c r="J38" i="12"/>
  <c r="K38" i="12"/>
  <c r="L18" i="12"/>
  <c r="L19" i="12"/>
  <c r="L20" i="12"/>
  <c r="L21" i="12"/>
  <c r="L22" i="12"/>
  <c r="L23" i="12"/>
  <c r="L24" i="12"/>
  <c r="L36" i="12"/>
  <c r="L17" i="12"/>
  <c r="J36" i="12"/>
  <c r="K36" i="12"/>
  <c r="J35" i="12"/>
  <c r="K35" i="12"/>
  <c r="J34" i="12"/>
  <c r="K34" i="12"/>
  <c r="J33" i="12"/>
  <c r="K33" i="12"/>
  <c r="J32" i="12"/>
  <c r="K32" i="12"/>
  <c r="J31" i="12"/>
  <c r="K31" i="12"/>
  <c r="J30" i="12"/>
  <c r="K30" i="12"/>
  <c r="J29" i="12"/>
  <c r="K29" i="12"/>
  <c r="J28" i="12"/>
  <c r="K28" i="12"/>
  <c r="J27" i="12"/>
  <c r="K27" i="12"/>
  <c r="J26" i="12"/>
  <c r="K26" i="12"/>
  <c r="J25" i="12"/>
  <c r="K25" i="12"/>
  <c r="J24" i="12"/>
  <c r="K24" i="12"/>
  <c r="J23" i="12"/>
  <c r="K23" i="12"/>
  <c r="J22" i="12"/>
  <c r="K22" i="12"/>
  <c r="J21" i="12"/>
  <c r="K21" i="12"/>
  <c r="J20" i="12"/>
  <c r="K20" i="12"/>
  <c r="J19" i="12"/>
  <c r="K19" i="12"/>
  <c r="J18" i="12"/>
  <c r="K18" i="12"/>
  <c r="J17" i="12"/>
  <c r="K17" i="12"/>
  <c r="F13" i="12"/>
  <c r="F12" i="12"/>
  <c r="F11" i="12"/>
  <c r="F3" i="12"/>
  <c r="F4" i="12"/>
  <c r="F5" i="12"/>
  <c r="F6" i="12"/>
  <c r="F7" i="12"/>
  <c r="F8" i="12"/>
  <c r="F9" i="12"/>
  <c r="F10" i="12"/>
  <c r="I10" i="12"/>
  <c r="L22" i="4"/>
  <c r="G22" i="4"/>
  <c r="H22" i="4"/>
  <c r="L36" i="11"/>
  <c r="J36" i="11"/>
  <c r="K36" i="11"/>
  <c r="L21" i="4"/>
  <c r="G21" i="4"/>
  <c r="H21" i="4"/>
  <c r="L35" i="11"/>
  <c r="J35" i="11"/>
  <c r="K35" i="11"/>
  <c r="L20" i="4"/>
  <c r="G20" i="4"/>
  <c r="H20" i="4"/>
  <c r="L34" i="11"/>
  <c r="J34" i="11"/>
  <c r="K34" i="11"/>
  <c r="L19" i="4"/>
  <c r="G19" i="4"/>
  <c r="H19" i="4"/>
  <c r="L33" i="11"/>
  <c r="J33" i="11"/>
  <c r="K33" i="11"/>
  <c r="L18" i="4"/>
  <c r="G18" i="4"/>
  <c r="H18" i="4"/>
  <c r="L32" i="11"/>
  <c r="J32" i="11"/>
  <c r="K32" i="11"/>
  <c r="L17" i="4"/>
  <c r="G17" i="4"/>
  <c r="H17" i="4"/>
  <c r="L31" i="11"/>
  <c r="J31" i="11"/>
  <c r="K31" i="11"/>
  <c r="J30" i="11"/>
  <c r="K30" i="11"/>
  <c r="L15" i="4"/>
  <c r="G15" i="4"/>
  <c r="H15" i="4"/>
  <c r="L29" i="11"/>
  <c r="J29" i="11"/>
  <c r="K29" i="11"/>
  <c r="L14" i="4"/>
  <c r="G14" i="4"/>
  <c r="H14" i="4"/>
  <c r="L28" i="11"/>
  <c r="J28" i="11"/>
  <c r="K28" i="11"/>
  <c r="J27" i="11"/>
  <c r="K27" i="11"/>
  <c r="J26" i="11"/>
  <c r="K26" i="11"/>
  <c r="L11" i="4"/>
  <c r="G11" i="4"/>
  <c r="H11" i="4"/>
  <c r="L25" i="11"/>
  <c r="J25" i="11"/>
  <c r="K25" i="11"/>
  <c r="L10" i="4"/>
  <c r="G10" i="4"/>
  <c r="H10" i="4"/>
  <c r="L24" i="11"/>
  <c r="J24" i="11"/>
  <c r="K24" i="11"/>
  <c r="L9" i="4"/>
  <c r="G9" i="4"/>
  <c r="H9" i="4"/>
  <c r="L23" i="11"/>
  <c r="J23" i="11"/>
  <c r="K23" i="11"/>
  <c r="L22" i="11"/>
  <c r="J22" i="11"/>
  <c r="K22" i="11"/>
  <c r="L21" i="11"/>
  <c r="J21" i="11"/>
  <c r="K21" i="11"/>
  <c r="L20" i="11"/>
  <c r="J20" i="11"/>
  <c r="K20" i="11"/>
  <c r="L5" i="4"/>
  <c r="G5" i="4"/>
  <c r="H5" i="4"/>
  <c r="L19" i="11"/>
  <c r="J19" i="11"/>
  <c r="K19" i="11"/>
  <c r="L4" i="4"/>
  <c r="G4" i="4"/>
  <c r="H4" i="4"/>
  <c r="L18" i="11"/>
  <c r="J18" i="11"/>
  <c r="K18" i="11"/>
  <c r="L3" i="4"/>
  <c r="G3" i="4"/>
  <c r="H3" i="4"/>
  <c r="L17" i="11"/>
  <c r="J17" i="11"/>
  <c r="K17" i="11"/>
  <c r="F13" i="11"/>
  <c r="F12" i="11"/>
  <c r="F11" i="11"/>
  <c r="F10" i="11"/>
  <c r="F9" i="11"/>
  <c r="F8" i="11"/>
  <c r="F7" i="11"/>
  <c r="F6" i="11"/>
  <c r="F5" i="11"/>
  <c r="F3" i="11"/>
  <c r="F4" i="11"/>
  <c r="I13" i="11"/>
  <c r="I10" i="11"/>
  <c r="I9" i="11"/>
  <c r="I12" i="11"/>
  <c r="L36" i="10"/>
  <c r="J36" i="10"/>
  <c r="K36" i="10"/>
  <c r="L35" i="10"/>
  <c r="J35" i="10"/>
  <c r="K35" i="10"/>
  <c r="L34" i="10"/>
  <c r="J34" i="10"/>
  <c r="K34" i="10"/>
  <c r="L33" i="10"/>
  <c r="J33" i="10"/>
  <c r="K33" i="10"/>
  <c r="L32" i="10"/>
  <c r="J32" i="10"/>
  <c r="K32" i="10"/>
  <c r="L31" i="10"/>
  <c r="J31" i="10"/>
  <c r="K31" i="10"/>
  <c r="L30" i="10"/>
  <c r="J30" i="10"/>
  <c r="K30" i="10"/>
  <c r="L29" i="10"/>
  <c r="J29" i="10"/>
  <c r="K29" i="10"/>
  <c r="L28" i="10"/>
  <c r="J28" i="10"/>
  <c r="K28" i="10"/>
  <c r="L27" i="10"/>
  <c r="J27" i="10"/>
  <c r="K27" i="10"/>
  <c r="L26" i="10"/>
  <c r="J26" i="10"/>
  <c r="K26" i="10"/>
  <c r="L25" i="10"/>
  <c r="J25" i="10"/>
  <c r="K25" i="10"/>
  <c r="L24" i="10"/>
  <c r="J24" i="10"/>
  <c r="K24" i="10"/>
  <c r="L23" i="10"/>
  <c r="J23" i="10"/>
  <c r="K23" i="10"/>
  <c r="L22" i="10"/>
  <c r="J22" i="10"/>
  <c r="K22" i="10"/>
  <c r="L21" i="10"/>
  <c r="J21" i="10"/>
  <c r="K21" i="10"/>
  <c r="L20" i="10"/>
  <c r="J20" i="10"/>
  <c r="K20" i="10"/>
  <c r="L19" i="10"/>
  <c r="J19" i="10"/>
  <c r="K19" i="10"/>
  <c r="L18" i="10"/>
  <c r="J18" i="10"/>
  <c r="K18" i="10"/>
  <c r="L17" i="10"/>
  <c r="J17" i="10"/>
  <c r="K17" i="10"/>
  <c r="F13" i="10"/>
  <c r="F12" i="10"/>
  <c r="F11" i="10"/>
  <c r="F3" i="10"/>
  <c r="F4" i="10"/>
  <c r="F5" i="10"/>
  <c r="F6" i="10"/>
  <c r="F7" i="10"/>
  <c r="F8" i="10"/>
  <c r="F9" i="10"/>
  <c r="F10" i="10"/>
  <c r="I10" i="10"/>
  <c r="I9" i="10"/>
  <c r="I13" i="10"/>
  <c r="G35" i="11"/>
  <c r="G36" i="11"/>
  <c r="G32" i="11"/>
  <c r="G28" i="11"/>
  <c r="G24" i="11"/>
  <c r="G20" i="11"/>
  <c r="G27" i="11"/>
  <c r="G23" i="11"/>
  <c r="G33" i="11"/>
  <c r="G29" i="11"/>
  <c r="G25" i="11"/>
  <c r="G21" i="11"/>
  <c r="G17" i="11"/>
  <c r="G31" i="11"/>
  <c r="G19" i="11"/>
  <c r="G34" i="11"/>
  <c r="G30" i="11"/>
  <c r="G26" i="11"/>
  <c r="G22" i="11"/>
  <c r="G18" i="11"/>
  <c r="F34" i="11"/>
  <c r="F35" i="11"/>
  <c r="F31" i="11"/>
  <c r="F27" i="11"/>
  <c r="F23" i="11"/>
  <c r="F19" i="11"/>
  <c r="F22" i="11"/>
  <c r="F36" i="11"/>
  <c r="F32" i="11"/>
  <c r="F28" i="11"/>
  <c r="F24" i="11"/>
  <c r="F20" i="11"/>
  <c r="F26" i="11"/>
  <c r="F33" i="11"/>
  <c r="F29" i="11"/>
  <c r="F25" i="11"/>
  <c r="F21" i="11"/>
  <c r="F17" i="11"/>
  <c r="F30" i="11"/>
  <c r="F18" i="11"/>
  <c r="F34" i="10"/>
  <c r="F30" i="10"/>
  <c r="F26" i="10"/>
  <c r="F22" i="10"/>
  <c r="F18" i="10"/>
  <c r="F31" i="10"/>
  <c r="F23" i="10"/>
  <c r="F35" i="10"/>
  <c r="F27" i="10"/>
  <c r="F36" i="10"/>
  <c r="F32" i="10"/>
  <c r="F28" i="10"/>
  <c r="F24" i="10"/>
  <c r="F20" i="10"/>
  <c r="F29" i="10"/>
  <c r="F25" i="10"/>
  <c r="F21" i="10"/>
  <c r="F19" i="10"/>
  <c r="F33" i="10"/>
  <c r="F17" i="10"/>
  <c r="I12" i="10"/>
  <c r="L36" i="9"/>
  <c r="J36" i="9"/>
  <c r="K36" i="9"/>
  <c r="L35" i="9"/>
  <c r="J35" i="9"/>
  <c r="K35" i="9"/>
  <c r="L34" i="9"/>
  <c r="J34" i="9"/>
  <c r="K34" i="9"/>
  <c r="L33" i="9"/>
  <c r="J33" i="9"/>
  <c r="K33" i="9"/>
  <c r="L32" i="9"/>
  <c r="J32" i="9"/>
  <c r="K32" i="9"/>
  <c r="L31" i="9"/>
  <c r="J31" i="9"/>
  <c r="K31" i="9"/>
  <c r="L30" i="9"/>
  <c r="J30" i="9"/>
  <c r="K30" i="9"/>
  <c r="L29" i="9"/>
  <c r="J29" i="9"/>
  <c r="K29" i="9"/>
  <c r="L28" i="9"/>
  <c r="J28" i="9"/>
  <c r="K28" i="9"/>
  <c r="L27" i="9"/>
  <c r="J27" i="9"/>
  <c r="K27" i="9"/>
  <c r="L26" i="9"/>
  <c r="J26" i="9"/>
  <c r="K26" i="9"/>
  <c r="L25" i="9"/>
  <c r="J25" i="9"/>
  <c r="K25" i="9"/>
  <c r="L24" i="9"/>
  <c r="J24" i="9"/>
  <c r="K24" i="9"/>
  <c r="L23" i="9"/>
  <c r="J23" i="9"/>
  <c r="K23" i="9"/>
  <c r="L22" i="9"/>
  <c r="J22" i="9"/>
  <c r="K22" i="9"/>
  <c r="L21" i="9"/>
  <c r="J21" i="9"/>
  <c r="K21" i="9"/>
  <c r="L20" i="9"/>
  <c r="J20" i="9"/>
  <c r="K20" i="9"/>
  <c r="L19" i="9"/>
  <c r="J19" i="9"/>
  <c r="K19" i="9"/>
  <c r="L18" i="9"/>
  <c r="J18" i="9"/>
  <c r="K18" i="9"/>
  <c r="L17" i="9"/>
  <c r="J17" i="9"/>
  <c r="K17" i="9"/>
  <c r="F13" i="9"/>
  <c r="F12" i="9"/>
  <c r="F11" i="9"/>
  <c r="F3" i="9"/>
  <c r="F4" i="9"/>
  <c r="F5" i="9"/>
  <c r="F6" i="9"/>
  <c r="F7" i="9"/>
  <c r="F8" i="9"/>
  <c r="F9" i="9"/>
  <c r="F10" i="9"/>
  <c r="I10" i="9"/>
  <c r="I13" i="9"/>
  <c r="T30" i="11"/>
  <c r="M29" i="11"/>
  <c r="T29" i="11"/>
  <c r="M17" i="11"/>
  <c r="T17" i="11"/>
  <c r="M33" i="11"/>
  <c r="T33" i="11"/>
  <c r="T28" i="11"/>
  <c r="M28" i="11"/>
  <c r="T19" i="11"/>
  <c r="M19" i="11"/>
  <c r="T35" i="11"/>
  <c r="M35" i="11"/>
  <c r="M21" i="11"/>
  <c r="T21" i="11"/>
  <c r="T26" i="11"/>
  <c r="T32" i="11"/>
  <c r="M32" i="11"/>
  <c r="T23" i="11"/>
  <c r="M23" i="11"/>
  <c r="M34" i="11"/>
  <c r="T34" i="11"/>
  <c r="M18" i="11"/>
  <c r="T18" i="11"/>
  <c r="M25" i="11"/>
  <c r="T25" i="11"/>
  <c r="T20" i="11"/>
  <c r="M20" i="11"/>
  <c r="M36" i="11"/>
  <c r="T36" i="11"/>
  <c r="T27" i="11"/>
  <c r="T24" i="11"/>
  <c r="M24" i="11"/>
  <c r="M31" i="11"/>
  <c r="T31" i="11"/>
  <c r="M22" i="11"/>
  <c r="T22" i="11"/>
  <c r="M29" i="10"/>
  <c r="S29" i="10"/>
  <c r="S23" i="10"/>
  <c r="M23" i="10"/>
  <c r="S19" i="10"/>
  <c r="M19" i="10"/>
  <c r="M36" i="10"/>
  <c r="S36" i="10"/>
  <c r="S31" i="10"/>
  <c r="M31" i="10"/>
  <c r="M17" i="10"/>
  <c r="S17" i="10"/>
  <c r="M25" i="10"/>
  <c r="S25" i="10"/>
  <c r="M28" i="10"/>
  <c r="S28" i="10"/>
  <c r="S35" i="10"/>
  <c r="M35" i="10"/>
  <c r="M22" i="10"/>
  <c r="S22" i="10"/>
  <c r="M33" i="10"/>
  <c r="S33" i="10"/>
  <c r="M32" i="10"/>
  <c r="S32" i="10"/>
  <c r="M26" i="10"/>
  <c r="S26" i="10"/>
  <c r="M20" i="10"/>
  <c r="S20" i="10"/>
  <c r="M30" i="10"/>
  <c r="S30" i="10"/>
  <c r="G35" i="10"/>
  <c r="G31" i="10"/>
  <c r="G27" i="10"/>
  <c r="G23" i="10"/>
  <c r="G19" i="10"/>
  <c r="G32" i="10"/>
  <c r="G24" i="10"/>
  <c r="G36" i="10"/>
  <c r="G28" i="10"/>
  <c r="G33" i="10"/>
  <c r="G29" i="10"/>
  <c r="G25" i="10"/>
  <c r="G21" i="10"/>
  <c r="G17" i="10"/>
  <c r="G30" i="10"/>
  <c r="G26" i="10"/>
  <c r="G20" i="10"/>
  <c r="G34" i="10"/>
  <c r="G22" i="10"/>
  <c r="G18" i="10"/>
  <c r="S21" i="10"/>
  <c r="M21" i="10"/>
  <c r="M24" i="10"/>
  <c r="S24" i="10"/>
  <c r="S27" i="10"/>
  <c r="M27" i="10"/>
  <c r="M18" i="10"/>
  <c r="S18" i="10"/>
  <c r="M34" i="10"/>
  <c r="S34" i="10"/>
  <c r="I9" i="9"/>
  <c r="I12" i="9"/>
  <c r="L36" i="7"/>
  <c r="J36" i="7"/>
  <c r="K36" i="7"/>
  <c r="L35" i="7"/>
  <c r="J35" i="7"/>
  <c r="K35" i="7"/>
  <c r="L34" i="7"/>
  <c r="J34" i="7"/>
  <c r="K34" i="7"/>
  <c r="L33" i="7"/>
  <c r="J33" i="7"/>
  <c r="K33" i="7"/>
  <c r="L32" i="7"/>
  <c r="J32" i="7"/>
  <c r="K32" i="7"/>
  <c r="L31" i="7"/>
  <c r="J31" i="7"/>
  <c r="K31" i="7"/>
  <c r="L30" i="7"/>
  <c r="J30" i="7"/>
  <c r="K30" i="7"/>
  <c r="L29" i="7"/>
  <c r="J29" i="7"/>
  <c r="K29" i="7"/>
  <c r="L28" i="7"/>
  <c r="J28" i="7"/>
  <c r="K28" i="7"/>
  <c r="L27" i="7"/>
  <c r="J27" i="7"/>
  <c r="K27" i="7"/>
  <c r="L26" i="7"/>
  <c r="J26" i="7"/>
  <c r="K26" i="7"/>
  <c r="L25" i="7"/>
  <c r="J25" i="7"/>
  <c r="K25" i="7"/>
  <c r="L24" i="7"/>
  <c r="J24" i="7"/>
  <c r="K24" i="7"/>
  <c r="L23" i="7"/>
  <c r="J23" i="7"/>
  <c r="K23" i="7"/>
  <c r="L22" i="7"/>
  <c r="J22" i="7"/>
  <c r="K22" i="7"/>
  <c r="L21" i="7"/>
  <c r="J21" i="7"/>
  <c r="K21" i="7"/>
  <c r="L20" i="7"/>
  <c r="J20" i="7"/>
  <c r="K20" i="7"/>
  <c r="L19" i="7"/>
  <c r="J19" i="7"/>
  <c r="K19" i="7"/>
  <c r="L18" i="7"/>
  <c r="J18" i="7"/>
  <c r="K18" i="7"/>
  <c r="L17" i="7"/>
  <c r="J17" i="7"/>
  <c r="K17" i="7"/>
  <c r="F13" i="7"/>
  <c r="F12" i="7"/>
  <c r="F11" i="7"/>
  <c r="F10" i="7"/>
  <c r="F9" i="7"/>
  <c r="F8" i="7"/>
  <c r="F7" i="7"/>
  <c r="F6" i="7"/>
  <c r="F5" i="7"/>
  <c r="F4" i="7"/>
  <c r="F3" i="7"/>
  <c r="I10" i="7"/>
  <c r="I13" i="7"/>
  <c r="N22" i="11"/>
  <c r="O22" i="11"/>
  <c r="U22" i="11"/>
  <c r="U36" i="11"/>
  <c r="N36" i="11"/>
  <c r="O36" i="11"/>
  <c r="U25" i="11"/>
  <c r="N25" i="11"/>
  <c r="O25" i="11"/>
  <c r="N34" i="11"/>
  <c r="O34" i="11"/>
  <c r="U34" i="11"/>
  <c r="U21" i="11"/>
  <c r="N21" i="11"/>
  <c r="O21" i="11"/>
  <c r="N33" i="11"/>
  <c r="O33" i="11"/>
  <c r="U33" i="11"/>
  <c r="U29" i="11"/>
  <c r="N29" i="11"/>
  <c r="O29" i="11"/>
  <c r="U27" i="11"/>
  <c r="N20" i="11"/>
  <c r="O20" i="11"/>
  <c r="U20" i="11"/>
  <c r="N23" i="11"/>
  <c r="O23" i="11"/>
  <c r="U23" i="11"/>
  <c r="N35" i="11"/>
  <c r="O35" i="11"/>
  <c r="U35" i="11"/>
  <c r="U28" i="11"/>
  <c r="N28" i="11"/>
  <c r="O28" i="11"/>
  <c r="N31" i="11"/>
  <c r="O31" i="11"/>
  <c r="U31" i="11"/>
  <c r="N18" i="11"/>
  <c r="O18" i="11"/>
  <c r="U18" i="11"/>
  <c r="U26" i="11"/>
  <c r="U17" i="11"/>
  <c r="N17" i="11"/>
  <c r="O17" i="11"/>
  <c r="U30" i="11"/>
  <c r="U24" i="11"/>
  <c r="N24" i="11"/>
  <c r="O24" i="11"/>
  <c r="N32" i="11"/>
  <c r="O32" i="11"/>
  <c r="U32" i="11"/>
  <c r="N19" i="11"/>
  <c r="O19" i="11"/>
  <c r="U19" i="11"/>
  <c r="N34" i="10"/>
  <c r="O34" i="10"/>
  <c r="T34" i="10"/>
  <c r="T32" i="10"/>
  <c r="N32" i="10"/>
  <c r="O32" i="10"/>
  <c r="N35" i="10"/>
  <c r="O35" i="10"/>
  <c r="T35" i="10"/>
  <c r="N31" i="10"/>
  <c r="O31" i="10"/>
  <c r="T31" i="10"/>
  <c r="N19" i="10"/>
  <c r="O19" i="10"/>
  <c r="T19" i="10"/>
  <c r="T18" i="10"/>
  <c r="N18" i="10"/>
  <c r="O18" i="10"/>
  <c r="T24" i="10"/>
  <c r="N24" i="10"/>
  <c r="O24" i="10"/>
  <c r="N30" i="10"/>
  <c r="O30" i="10"/>
  <c r="T30" i="10"/>
  <c r="N26" i="10"/>
  <c r="O26" i="10"/>
  <c r="T26" i="10"/>
  <c r="N33" i="10"/>
  <c r="O33" i="10"/>
  <c r="T33" i="10"/>
  <c r="N25" i="10"/>
  <c r="O25" i="10"/>
  <c r="T25" i="10"/>
  <c r="N29" i="10"/>
  <c r="O29" i="10"/>
  <c r="T29" i="10"/>
  <c r="N27" i="10"/>
  <c r="O27" i="10"/>
  <c r="T27" i="10"/>
  <c r="N21" i="10"/>
  <c r="O21" i="10"/>
  <c r="T21" i="10"/>
  <c r="N23" i="10"/>
  <c r="O23" i="10"/>
  <c r="T23" i="10"/>
  <c r="T20" i="10"/>
  <c r="N20" i="10"/>
  <c r="O20" i="10"/>
  <c r="N22" i="10"/>
  <c r="O22" i="10"/>
  <c r="T22" i="10"/>
  <c r="T28" i="10"/>
  <c r="N28" i="10"/>
  <c r="O28" i="10"/>
  <c r="N17" i="10"/>
  <c r="O17" i="10"/>
  <c r="T17" i="10"/>
  <c r="T36" i="10"/>
  <c r="N36" i="10"/>
  <c r="O36" i="10"/>
  <c r="F34" i="9"/>
  <c r="F30" i="9"/>
  <c r="F26" i="9"/>
  <c r="F22" i="9"/>
  <c r="F18" i="9"/>
  <c r="F23" i="9"/>
  <c r="F35" i="9"/>
  <c r="F19" i="9"/>
  <c r="F36" i="9"/>
  <c r="F32" i="9"/>
  <c r="F28" i="9"/>
  <c r="F24" i="9"/>
  <c r="F20" i="9"/>
  <c r="F27" i="9"/>
  <c r="F33" i="9"/>
  <c r="F29" i="9"/>
  <c r="F25" i="9"/>
  <c r="F21" i="9"/>
  <c r="F17" i="9"/>
  <c r="F31" i="9"/>
  <c r="G35" i="9"/>
  <c r="G31" i="9"/>
  <c r="G27" i="9"/>
  <c r="G23" i="9"/>
  <c r="G19" i="9"/>
  <c r="G32" i="9"/>
  <c r="G24" i="9"/>
  <c r="G36" i="9"/>
  <c r="G20" i="9"/>
  <c r="G33" i="9"/>
  <c r="G29" i="9"/>
  <c r="G25" i="9"/>
  <c r="G21" i="9"/>
  <c r="G17" i="9"/>
  <c r="G28" i="9"/>
  <c r="G34" i="9"/>
  <c r="G30" i="9"/>
  <c r="G26" i="9"/>
  <c r="G22" i="9"/>
  <c r="G18" i="9"/>
  <c r="I9" i="7"/>
  <c r="I12" i="7"/>
  <c r="B38" i="6"/>
  <c r="M17" i="9"/>
  <c r="S17" i="9"/>
  <c r="M33" i="9"/>
  <c r="S33" i="9"/>
  <c r="M28" i="9"/>
  <c r="S28" i="9"/>
  <c r="S35" i="9"/>
  <c r="M35" i="9"/>
  <c r="M26" i="9"/>
  <c r="S26" i="9"/>
  <c r="M21" i="9"/>
  <c r="S21" i="9"/>
  <c r="S27" i="9"/>
  <c r="M27" i="9"/>
  <c r="M32" i="9"/>
  <c r="S32" i="9"/>
  <c r="S23" i="9"/>
  <c r="M23" i="9"/>
  <c r="M30" i="9"/>
  <c r="S30" i="9"/>
  <c r="M25" i="9"/>
  <c r="S25" i="9"/>
  <c r="M20" i="9"/>
  <c r="S20" i="9"/>
  <c r="M36" i="9"/>
  <c r="S36" i="9"/>
  <c r="M18" i="9"/>
  <c r="S18" i="9"/>
  <c r="M34" i="9"/>
  <c r="S34" i="9"/>
  <c r="S31" i="9"/>
  <c r="M31" i="9"/>
  <c r="S29" i="9"/>
  <c r="M29" i="9"/>
  <c r="M24" i="9"/>
  <c r="S24" i="9"/>
  <c r="S19" i="9"/>
  <c r="M19" i="9"/>
  <c r="M22" i="9"/>
  <c r="S22" i="9"/>
  <c r="G35" i="7"/>
  <c r="G31" i="7"/>
  <c r="G27" i="7"/>
  <c r="G23" i="7"/>
  <c r="G19" i="7"/>
  <c r="G28" i="7"/>
  <c r="G24" i="7"/>
  <c r="G20" i="7"/>
  <c r="G36" i="7"/>
  <c r="G32" i="7"/>
  <c r="G33" i="7"/>
  <c r="G29" i="7"/>
  <c r="G25" i="7"/>
  <c r="G21" i="7"/>
  <c r="G17" i="7"/>
  <c r="G30" i="7"/>
  <c r="G26" i="7"/>
  <c r="G22" i="7"/>
  <c r="G18" i="7"/>
  <c r="G34" i="7"/>
  <c r="F34" i="7"/>
  <c r="F30" i="7"/>
  <c r="F26" i="7"/>
  <c r="F22" i="7"/>
  <c r="F18" i="7"/>
  <c r="F27" i="7"/>
  <c r="F23" i="7"/>
  <c r="F19" i="7"/>
  <c r="F35" i="7"/>
  <c r="F31" i="7"/>
  <c r="F36" i="7"/>
  <c r="F32" i="7"/>
  <c r="F28" i="7"/>
  <c r="F24" i="7"/>
  <c r="F20" i="7"/>
  <c r="F29" i="7"/>
  <c r="F25" i="7"/>
  <c r="F21" i="7"/>
  <c r="F17" i="7"/>
  <c r="F33" i="7"/>
  <c r="L36" i="6"/>
  <c r="J36" i="6"/>
  <c r="K36" i="6"/>
  <c r="L35" i="6"/>
  <c r="J35" i="6"/>
  <c r="K35" i="6"/>
  <c r="L34" i="6"/>
  <c r="J34" i="6"/>
  <c r="K34" i="6"/>
  <c r="L33" i="6"/>
  <c r="J33" i="6"/>
  <c r="K33" i="6"/>
  <c r="L32" i="6"/>
  <c r="J32" i="6"/>
  <c r="K32" i="6"/>
  <c r="L31" i="6"/>
  <c r="J31" i="6"/>
  <c r="K31" i="6"/>
  <c r="L30" i="6"/>
  <c r="J30" i="6"/>
  <c r="K30" i="6"/>
  <c r="L29" i="6"/>
  <c r="J29" i="6"/>
  <c r="K29" i="6"/>
  <c r="L28" i="6"/>
  <c r="J28" i="6"/>
  <c r="K28" i="6"/>
  <c r="L27" i="6"/>
  <c r="J27" i="6"/>
  <c r="K27" i="6"/>
  <c r="L26" i="6"/>
  <c r="J26" i="6"/>
  <c r="K26" i="6"/>
  <c r="L25" i="6"/>
  <c r="J25" i="6"/>
  <c r="K25" i="6"/>
  <c r="L24" i="6"/>
  <c r="J24" i="6"/>
  <c r="K24" i="6"/>
  <c r="L23" i="6"/>
  <c r="J23" i="6"/>
  <c r="K23" i="6"/>
  <c r="L22" i="6"/>
  <c r="J22" i="6"/>
  <c r="K22" i="6"/>
  <c r="L21" i="6"/>
  <c r="J21" i="6"/>
  <c r="K21" i="6"/>
  <c r="L20" i="6"/>
  <c r="J20" i="6"/>
  <c r="K20" i="6"/>
  <c r="L19" i="6"/>
  <c r="J19" i="6"/>
  <c r="K19" i="6"/>
  <c r="L18" i="6"/>
  <c r="J18" i="6"/>
  <c r="K18" i="6"/>
  <c r="L17" i="6"/>
  <c r="J17" i="6"/>
  <c r="K17" i="6"/>
  <c r="F13" i="6"/>
  <c r="F12" i="6"/>
  <c r="F11" i="6"/>
  <c r="F10" i="6"/>
  <c r="F3" i="6"/>
  <c r="F4" i="6"/>
  <c r="F5" i="6"/>
  <c r="F6" i="6"/>
  <c r="F7" i="6"/>
  <c r="F8" i="6"/>
  <c r="F9" i="6"/>
  <c r="I9" i="6"/>
  <c r="I10" i="6"/>
  <c r="I13" i="6"/>
  <c r="N22" i="9"/>
  <c r="O22" i="9"/>
  <c r="T22" i="9"/>
  <c r="T24" i="9"/>
  <c r="N24" i="9"/>
  <c r="O24" i="9"/>
  <c r="N18" i="9"/>
  <c r="O18" i="9"/>
  <c r="T18" i="9"/>
  <c r="T20" i="9"/>
  <c r="N20" i="9"/>
  <c r="O20" i="9"/>
  <c r="N30" i="9"/>
  <c r="O30" i="9"/>
  <c r="T30" i="9"/>
  <c r="T32" i="9"/>
  <c r="N32" i="9"/>
  <c r="O32" i="9"/>
  <c r="N21" i="9"/>
  <c r="O21" i="9"/>
  <c r="T21" i="9"/>
  <c r="N33" i="9"/>
  <c r="O33" i="9"/>
  <c r="T33" i="9"/>
  <c r="N19" i="9"/>
  <c r="O19" i="9"/>
  <c r="T19" i="9"/>
  <c r="N29" i="9"/>
  <c r="O29" i="9"/>
  <c r="T29" i="9"/>
  <c r="N23" i="9"/>
  <c r="O23" i="9"/>
  <c r="T23" i="9"/>
  <c r="N27" i="9"/>
  <c r="O27" i="9"/>
  <c r="T27" i="9"/>
  <c r="N34" i="9"/>
  <c r="O34" i="9"/>
  <c r="T34" i="9"/>
  <c r="T36" i="9"/>
  <c r="N36" i="9"/>
  <c r="O36" i="9"/>
  <c r="N25" i="9"/>
  <c r="O25" i="9"/>
  <c r="T25" i="9"/>
  <c r="N26" i="9"/>
  <c r="O26" i="9"/>
  <c r="T26" i="9"/>
  <c r="T28" i="9"/>
  <c r="N28" i="9"/>
  <c r="O28" i="9"/>
  <c r="N17" i="9"/>
  <c r="O17" i="9"/>
  <c r="T17" i="9"/>
  <c r="N31" i="9"/>
  <c r="O31" i="9"/>
  <c r="T31" i="9"/>
  <c r="N35" i="9"/>
  <c r="O35" i="9"/>
  <c r="T35" i="9"/>
  <c r="M29" i="7"/>
  <c r="S29" i="7"/>
  <c r="M32" i="7"/>
  <c r="S32" i="7"/>
  <c r="M22" i="7"/>
  <c r="S22" i="7"/>
  <c r="M17" i="7"/>
  <c r="S17" i="7"/>
  <c r="M36" i="7"/>
  <c r="S36" i="7"/>
  <c r="M26" i="7"/>
  <c r="S26" i="7"/>
  <c r="M21" i="7"/>
  <c r="S21" i="7"/>
  <c r="M24" i="7"/>
  <c r="S24" i="7"/>
  <c r="S31" i="7"/>
  <c r="M31" i="7"/>
  <c r="S27" i="7"/>
  <c r="M27" i="7"/>
  <c r="M30" i="7"/>
  <c r="S30" i="7"/>
  <c r="M33" i="7"/>
  <c r="S33" i="7"/>
  <c r="S19" i="7"/>
  <c r="M19" i="7"/>
  <c r="M20" i="7"/>
  <c r="S20" i="7"/>
  <c r="S23" i="7"/>
  <c r="M23" i="7"/>
  <c r="M25" i="7"/>
  <c r="S25" i="7"/>
  <c r="M28" i="7"/>
  <c r="S28" i="7"/>
  <c r="S35" i="7"/>
  <c r="M35" i="7"/>
  <c r="M18" i="7"/>
  <c r="S18" i="7"/>
  <c r="M34" i="7"/>
  <c r="S34" i="7"/>
  <c r="F34" i="6"/>
  <c r="F29" i="6"/>
  <c r="F25" i="6"/>
  <c r="F33" i="6"/>
  <c r="I12" i="6"/>
  <c r="F20" i="6"/>
  <c r="F24" i="6"/>
  <c r="F28" i="6"/>
  <c r="F32" i="6"/>
  <c r="F36" i="6"/>
  <c r="F19" i="6"/>
  <c r="F23" i="6"/>
  <c r="F31" i="6"/>
  <c r="F35" i="6"/>
  <c r="F17" i="6"/>
  <c r="F21" i="6"/>
  <c r="F27" i="6"/>
  <c r="F18" i="6"/>
  <c r="F22" i="6"/>
  <c r="F26" i="6"/>
  <c r="F30" i="6"/>
  <c r="F13" i="5"/>
  <c r="N35" i="7"/>
  <c r="O35" i="7"/>
  <c r="T35" i="7"/>
  <c r="N27" i="7"/>
  <c r="O27" i="7"/>
  <c r="T27" i="7"/>
  <c r="N34" i="7"/>
  <c r="O34" i="7"/>
  <c r="T34" i="7"/>
  <c r="N25" i="7"/>
  <c r="O25" i="7"/>
  <c r="T25" i="7"/>
  <c r="T20" i="7"/>
  <c r="N20" i="7"/>
  <c r="O20" i="7"/>
  <c r="N33" i="7"/>
  <c r="O33" i="7"/>
  <c r="T33" i="7"/>
  <c r="T24" i="7"/>
  <c r="N24" i="7"/>
  <c r="O24" i="7"/>
  <c r="N26" i="7"/>
  <c r="O26" i="7"/>
  <c r="T26" i="7"/>
  <c r="N17" i="7"/>
  <c r="O17" i="7"/>
  <c r="T17" i="7"/>
  <c r="T32" i="7"/>
  <c r="N32" i="7"/>
  <c r="O32" i="7"/>
  <c r="N23" i="7"/>
  <c r="O23" i="7"/>
  <c r="T23" i="7"/>
  <c r="N19" i="7"/>
  <c r="O19" i="7"/>
  <c r="T19" i="7"/>
  <c r="N31" i="7"/>
  <c r="O31" i="7"/>
  <c r="T31" i="7"/>
  <c r="N18" i="7"/>
  <c r="O18" i="7"/>
  <c r="T18" i="7"/>
  <c r="T28" i="7"/>
  <c r="N28" i="7"/>
  <c r="O28" i="7"/>
  <c r="N30" i="7"/>
  <c r="O30" i="7"/>
  <c r="T30" i="7"/>
  <c r="N21" i="7"/>
  <c r="O21" i="7"/>
  <c r="T21" i="7"/>
  <c r="T36" i="7"/>
  <c r="N36" i="7"/>
  <c r="O36" i="7"/>
  <c r="N22" i="7"/>
  <c r="O22" i="7"/>
  <c r="T22" i="7"/>
  <c r="N29" i="7"/>
  <c r="O29" i="7"/>
  <c r="T29" i="7"/>
  <c r="M17" i="6"/>
  <c r="S17" i="6"/>
  <c r="S18" i="6"/>
  <c r="M18" i="6"/>
  <c r="S35" i="6"/>
  <c r="M35" i="6"/>
  <c r="M36" i="6"/>
  <c r="S36" i="6"/>
  <c r="M20" i="6"/>
  <c r="S20" i="6"/>
  <c r="M29" i="6"/>
  <c r="S29" i="6"/>
  <c r="M30" i="6"/>
  <c r="S30" i="6"/>
  <c r="S27" i="6"/>
  <c r="M27" i="6"/>
  <c r="S31" i="6"/>
  <c r="M31" i="6"/>
  <c r="M32" i="6"/>
  <c r="S32" i="6"/>
  <c r="G35" i="6"/>
  <c r="G31" i="6"/>
  <c r="G27" i="6"/>
  <c r="G23" i="6"/>
  <c r="G19" i="6"/>
  <c r="G28" i="6"/>
  <c r="G36" i="6"/>
  <c r="G32" i="6"/>
  <c r="G24" i="6"/>
  <c r="G20" i="6"/>
  <c r="G33" i="6"/>
  <c r="G29" i="6"/>
  <c r="G25" i="6"/>
  <c r="G21" i="6"/>
  <c r="G17" i="6"/>
  <c r="G34" i="6"/>
  <c r="G18" i="6"/>
  <c r="G30" i="6"/>
  <c r="G26" i="6"/>
  <c r="G22" i="6"/>
  <c r="M34" i="6"/>
  <c r="S34" i="6"/>
  <c r="M26" i="6"/>
  <c r="S26" i="6"/>
  <c r="M21" i="6"/>
  <c r="S21" i="6"/>
  <c r="S23" i="6"/>
  <c r="M23" i="6"/>
  <c r="M28" i="6"/>
  <c r="S28" i="6"/>
  <c r="M33" i="6"/>
  <c r="S33" i="6"/>
  <c r="M22" i="6"/>
  <c r="S22" i="6"/>
  <c r="S19" i="6"/>
  <c r="M19" i="6"/>
  <c r="M24" i="6"/>
  <c r="S24" i="6"/>
  <c r="M25" i="6"/>
  <c r="S25" i="6"/>
  <c r="L63" i="4"/>
  <c r="G63" i="4"/>
  <c r="H63" i="4"/>
  <c r="N25" i="6"/>
  <c r="O25" i="6"/>
  <c r="T25" i="6"/>
  <c r="N33" i="6"/>
  <c r="O33" i="6"/>
  <c r="T33" i="6"/>
  <c r="T32" i="6"/>
  <c r="N32" i="6"/>
  <c r="O32" i="6"/>
  <c r="N29" i="6"/>
  <c r="O29" i="6"/>
  <c r="T29" i="6"/>
  <c r="T36" i="6"/>
  <c r="N36" i="6"/>
  <c r="O36" i="6"/>
  <c r="N31" i="6"/>
  <c r="O31" i="6"/>
  <c r="T31" i="6"/>
  <c r="N35" i="6"/>
  <c r="O35" i="6"/>
  <c r="T35" i="6"/>
  <c r="T24" i="6"/>
  <c r="N24" i="6"/>
  <c r="O24" i="6"/>
  <c r="N22" i="6"/>
  <c r="O22" i="6"/>
  <c r="T22" i="6"/>
  <c r="T28" i="6"/>
  <c r="N28" i="6"/>
  <c r="O28" i="6"/>
  <c r="N21" i="6"/>
  <c r="O21" i="6"/>
  <c r="T21" i="6"/>
  <c r="N34" i="6"/>
  <c r="O34" i="6"/>
  <c r="T34" i="6"/>
  <c r="N30" i="6"/>
  <c r="O30" i="6"/>
  <c r="T30" i="6"/>
  <c r="T20" i="6"/>
  <c r="N20" i="6"/>
  <c r="O20" i="6"/>
  <c r="N17" i="6"/>
  <c r="O17" i="6"/>
  <c r="T17" i="6"/>
  <c r="T19" i="6"/>
  <c r="N19" i="6"/>
  <c r="O19" i="6"/>
  <c r="N23" i="6"/>
  <c r="O23" i="6"/>
  <c r="T23" i="6"/>
  <c r="N27" i="6"/>
  <c r="O27" i="6"/>
  <c r="T27" i="6"/>
  <c r="N18" i="6"/>
  <c r="O18" i="6"/>
  <c r="T18" i="6"/>
  <c r="N26" i="6"/>
  <c r="O26" i="6"/>
  <c r="T26" i="6"/>
  <c r="J18" i="5"/>
  <c r="K18" i="5"/>
  <c r="J19" i="5"/>
  <c r="K19" i="5"/>
  <c r="L19" i="5"/>
  <c r="J20" i="5"/>
  <c r="K20" i="5"/>
  <c r="J21" i="5"/>
  <c r="K21" i="5"/>
  <c r="J22" i="5"/>
  <c r="K22" i="5"/>
  <c r="J23" i="5"/>
  <c r="K23" i="5"/>
  <c r="J24" i="5"/>
  <c r="K24" i="5"/>
  <c r="J25" i="5"/>
  <c r="K25" i="5"/>
  <c r="L25" i="5"/>
  <c r="J26" i="5"/>
  <c r="K26" i="5"/>
  <c r="L26" i="5"/>
  <c r="J27" i="5"/>
  <c r="K27" i="5"/>
  <c r="J28" i="5"/>
  <c r="K28" i="5"/>
  <c r="J29" i="5"/>
  <c r="K29" i="5"/>
  <c r="J30" i="5"/>
  <c r="K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17" i="5"/>
  <c r="K17" i="5"/>
  <c r="F12" i="5"/>
  <c r="F11" i="5"/>
  <c r="F10" i="5"/>
  <c r="F9" i="5"/>
  <c r="F8" i="5"/>
  <c r="F7" i="5"/>
  <c r="F6" i="5"/>
  <c r="F5" i="5"/>
  <c r="F4" i="5"/>
  <c r="F3" i="5"/>
  <c r="L43" i="4"/>
  <c r="G43" i="4"/>
  <c r="H43" i="4"/>
  <c r="L44" i="4"/>
  <c r="G44" i="4"/>
  <c r="H44" i="4"/>
  <c r="L45" i="4"/>
  <c r="G45" i="4"/>
  <c r="H45" i="4"/>
  <c r="L46" i="4"/>
  <c r="G46" i="4"/>
  <c r="H46" i="4"/>
  <c r="L47" i="4"/>
  <c r="G47" i="4"/>
  <c r="H47" i="4"/>
  <c r="L48" i="4"/>
  <c r="G48" i="4"/>
  <c r="H48" i="4"/>
  <c r="L49" i="4"/>
  <c r="G49" i="4"/>
  <c r="H49" i="4"/>
  <c r="L50" i="4"/>
  <c r="G50" i="4"/>
  <c r="H50" i="4"/>
  <c r="L51" i="4"/>
  <c r="G51" i="4"/>
  <c r="H51" i="4"/>
  <c r="L52" i="4"/>
  <c r="G52" i="4"/>
  <c r="H52" i="4"/>
  <c r="L53" i="4"/>
  <c r="G53" i="4"/>
  <c r="H53" i="4"/>
  <c r="L54" i="4"/>
  <c r="G54" i="4"/>
  <c r="H54" i="4"/>
  <c r="L55" i="4"/>
  <c r="G55" i="4"/>
  <c r="H55" i="4"/>
  <c r="L56" i="4"/>
  <c r="G56" i="4"/>
  <c r="H56" i="4"/>
  <c r="L57" i="4"/>
  <c r="G57" i="4"/>
  <c r="H57" i="4"/>
  <c r="L58" i="4"/>
  <c r="G58" i="4"/>
  <c r="H58" i="4"/>
  <c r="L59" i="4"/>
  <c r="G59" i="4"/>
  <c r="H59" i="4"/>
  <c r="L60" i="4"/>
  <c r="G60" i="4"/>
  <c r="H60" i="4"/>
  <c r="L61" i="4"/>
  <c r="G61" i="4"/>
  <c r="H61" i="4"/>
  <c r="L62" i="4"/>
  <c r="G62" i="4"/>
  <c r="H62" i="4"/>
  <c r="L18" i="5"/>
  <c r="L20" i="5"/>
  <c r="L21" i="5"/>
  <c r="L22" i="5"/>
  <c r="L23" i="5"/>
  <c r="L24" i="5"/>
  <c r="L27" i="5"/>
  <c r="L28" i="5"/>
  <c r="L29" i="5"/>
  <c r="L30" i="5"/>
  <c r="L17" i="5"/>
  <c r="I9" i="5"/>
  <c r="I10" i="5"/>
  <c r="F22" i="5"/>
  <c r="S22" i="5"/>
  <c r="I13" i="5"/>
  <c r="I12" i="5"/>
  <c r="G20" i="5"/>
  <c r="G18" i="5"/>
  <c r="G22" i="5"/>
  <c r="G26" i="5"/>
  <c r="G30" i="5"/>
  <c r="G34" i="5"/>
  <c r="G19" i="5"/>
  <c r="G23" i="5"/>
  <c r="G27" i="5"/>
  <c r="G31" i="5"/>
  <c r="G35" i="5"/>
  <c r="F20" i="5"/>
  <c r="F24" i="5"/>
  <c r="F28" i="5"/>
  <c r="S28" i="5"/>
  <c r="F32" i="5"/>
  <c r="S32" i="5"/>
  <c r="F36" i="5"/>
  <c r="S36" i="5"/>
  <c r="F21" i="5"/>
  <c r="S21" i="5"/>
  <c r="F25" i="5"/>
  <c r="F29" i="5"/>
  <c r="S29" i="5"/>
  <c r="F33" i="5"/>
  <c r="G17" i="5"/>
  <c r="F17" i="5"/>
  <c r="M17" i="5"/>
  <c r="F31" i="5"/>
  <c r="S31" i="5"/>
  <c r="F23" i="5"/>
  <c r="M23" i="5"/>
  <c r="T23" i="5"/>
  <c r="F34" i="5"/>
  <c r="S34" i="5"/>
  <c r="F26" i="5"/>
  <c r="S26" i="5"/>
  <c r="F18" i="5"/>
  <c r="S18" i="5"/>
  <c r="G29" i="5"/>
  <c r="G21" i="5"/>
  <c r="G32" i="5"/>
  <c r="G24" i="5"/>
  <c r="F35" i="5"/>
  <c r="S35" i="5"/>
  <c r="F27" i="5"/>
  <c r="S27" i="5"/>
  <c r="F19" i="5"/>
  <c r="S19" i="5"/>
  <c r="F30" i="5"/>
  <c r="S30" i="5"/>
  <c r="G33" i="5"/>
  <c r="G25" i="5"/>
  <c r="G36" i="5"/>
  <c r="G28" i="5"/>
  <c r="M34" i="5"/>
  <c r="T34" i="5"/>
  <c r="M36" i="5"/>
  <c r="T36" i="5"/>
  <c r="M30" i="5"/>
  <c r="T30" i="5"/>
  <c r="M32" i="5"/>
  <c r="T32" i="5"/>
  <c r="M27" i="5"/>
  <c r="T27" i="5"/>
  <c r="M21" i="5"/>
  <c r="M29" i="5"/>
  <c r="M35" i="5"/>
  <c r="T35" i="5"/>
  <c r="M33" i="5"/>
  <c r="S33" i="5"/>
  <c r="M20" i="5"/>
  <c r="S20" i="5"/>
  <c r="S17" i="5"/>
  <c r="M19" i="5"/>
  <c r="M31" i="5"/>
  <c r="T31" i="5"/>
  <c r="M26" i="5"/>
  <c r="T26" i="5"/>
  <c r="M22" i="5"/>
  <c r="T22" i="5"/>
  <c r="M28" i="5"/>
  <c r="T28" i="5"/>
  <c r="M24" i="5"/>
  <c r="T24" i="5"/>
  <c r="S24" i="5"/>
  <c r="M25" i="5"/>
  <c r="S25" i="5"/>
  <c r="N28" i="5"/>
  <c r="O28" i="5"/>
  <c r="N36" i="5"/>
  <c r="O36" i="5"/>
  <c r="N17" i="5"/>
  <c r="O17" i="5"/>
  <c r="T17" i="5"/>
  <c r="N34" i="5"/>
  <c r="O34" i="5"/>
  <c r="S23" i="5"/>
  <c r="N19" i="5"/>
  <c r="O19" i="5"/>
  <c r="T19" i="5"/>
  <c r="N20" i="5"/>
  <c r="O20" i="5"/>
  <c r="T20" i="5"/>
  <c r="N29" i="5"/>
  <c r="O29" i="5"/>
  <c r="T29" i="5"/>
  <c r="N25" i="5"/>
  <c r="O25" i="5"/>
  <c r="T25" i="5"/>
  <c r="N21" i="5"/>
  <c r="O21" i="5"/>
  <c r="T21" i="5"/>
  <c r="N33" i="5"/>
  <c r="O33" i="5"/>
  <c r="T33" i="5"/>
  <c r="M18" i="5"/>
  <c r="N23" i="5"/>
  <c r="O23" i="5"/>
  <c r="N30" i="5"/>
  <c r="O30" i="5"/>
  <c r="N32" i="5"/>
  <c r="O32" i="5"/>
  <c r="N31" i="5"/>
  <c r="O31" i="5"/>
  <c r="N35" i="5"/>
  <c r="O35" i="5"/>
  <c r="N27" i="5"/>
  <c r="O27" i="5"/>
  <c r="N24" i="5"/>
  <c r="O24" i="5"/>
  <c r="N22" i="5"/>
  <c r="O22" i="5"/>
  <c r="N26" i="5"/>
  <c r="O26" i="5"/>
  <c r="T18" i="5"/>
  <c r="N18" i="5"/>
  <c r="O18" i="5"/>
  <c r="I13" i="12"/>
  <c r="I13" i="13"/>
  <c r="I12" i="13"/>
  <c r="G17" i="13"/>
  <c r="I9" i="13"/>
  <c r="F17" i="13"/>
  <c r="T17" i="13"/>
  <c r="U17" i="13"/>
  <c r="G18" i="13"/>
  <c r="F18" i="13"/>
  <c r="T18" i="13"/>
  <c r="U18" i="13"/>
  <c r="G19" i="13"/>
  <c r="F19" i="13"/>
  <c r="T19" i="13"/>
  <c r="U19" i="13"/>
  <c r="G20" i="13"/>
  <c r="F20" i="13"/>
  <c r="T20" i="13"/>
  <c r="U20" i="13"/>
  <c r="G21" i="13"/>
  <c r="F21" i="13"/>
  <c r="T21" i="13"/>
  <c r="U21" i="13"/>
  <c r="G22" i="13"/>
  <c r="F22" i="13"/>
  <c r="T22" i="13"/>
  <c r="U22" i="13"/>
  <c r="G23" i="13"/>
  <c r="F23" i="13"/>
  <c r="T23" i="13"/>
  <c r="U23" i="13"/>
  <c r="G24" i="13"/>
  <c r="F24" i="13"/>
  <c r="T24" i="13"/>
  <c r="U24" i="13"/>
  <c r="G25" i="13"/>
  <c r="F25" i="13"/>
  <c r="M25" i="13"/>
  <c r="N25" i="13"/>
  <c r="O25" i="13"/>
  <c r="T25" i="13"/>
  <c r="U25" i="13"/>
  <c r="G26" i="13"/>
  <c r="F26" i="13"/>
  <c r="M26" i="13"/>
  <c r="N26" i="13"/>
  <c r="O26" i="13"/>
  <c r="T26" i="13"/>
  <c r="U26" i="13"/>
  <c r="G27" i="13"/>
  <c r="F27" i="13"/>
  <c r="M27" i="13"/>
  <c r="N27" i="13"/>
  <c r="O27" i="13"/>
  <c r="T27" i="13"/>
  <c r="U27" i="13"/>
  <c r="G28" i="13"/>
  <c r="F28" i="13"/>
  <c r="M28" i="13"/>
  <c r="N28" i="13"/>
  <c r="O28" i="13"/>
  <c r="T28" i="13"/>
  <c r="U28" i="13"/>
  <c r="G29" i="13"/>
  <c r="F29" i="13"/>
  <c r="M29" i="13"/>
  <c r="N29" i="13"/>
  <c r="O29" i="13"/>
  <c r="T29" i="13"/>
  <c r="U29" i="13"/>
  <c r="G30" i="13"/>
  <c r="F30" i="13"/>
  <c r="M30" i="13"/>
  <c r="N30" i="13"/>
  <c r="O30" i="13"/>
  <c r="T30" i="13"/>
  <c r="U30" i="13"/>
  <c r="G31" i="13"/>
  <c r="F31" i="13"/>
  <c r="M31" i="13"/>
  <c r="N31" i="13"/>
  <c r="O31" i="13"/>
  <c r="T31" i="13"/>
  <c r="U31" i="13"/>
  <c r="G32" i="13"/>
  <c r="F32" i="13"/>
  <c r="M32" i="13"/>
  <c r="N32" i="13"/>
  <c r="O32" i="13"/>
  <c r="T32" i="13"/>
  <c r="U32" i="13"/>
  <c r="G33" i="13"/>
  <c r="F33" i="13"/>
  <c r="M33" i="13"/>
  <c r="N33" i="13"/>
  <c r="O33" i="13"/>
  <c r="T33" i="13"/>
  <c r="U33" i="13"/>
  <c r="G34" i="13"/>
  <c r="F34" i="13"/>
  <c r="M34" i="13"/>
  <c r="N34" i="13"/>
  <c r="O34" i="13"/>
  <c r="T34" i="13"/>
  <c r="U34" i="13"/>
  <c r="G35" i="13"/>
  <c r="F35" i="13"/>
  <c r="M35" i="13"/>
  <c r="N35" i="13"/>
  <c r="O35" i="13"/>
  <c r="T35" i="13"/>
  <c r="U35" i="13"/>
  <c r="G36" i="13"/>
  <c r="F36" i="13"/>
  <c r="T36" i="13"/>
  <c r="U36" i="13"/>
  <c r="G38" i="13"/>
  <c r="F38" i="13"/>
  <c r="M38" i="13"/>
  <c r="N38" i="13"/>
  <c r="O38" i="13"/>
  <c r="T38" i="13"/>
  <c r="U38" i="13"/>
  <c r="G39" i="13"/>
  <c r="F39" i="13"/>
  <c r="M39" i="13"/>
  <c r="N39" i="13"/>
  <c r="O39" i="13"/>
  <c r="T39" i="13"/>
  <c r="U39" i="13"/>
  <c r="G40" i="13"/>
  <c r="F40" i="13"/>
  <c r="M40" i="13"/>
  <c r="N40" i="13"/>
  <c r="O40" i="13"/>
  <c r="T40" i="13"/>
  <c r="U40" i="13"/>
  <c r="I9" i="12"/>
  <c r="F36" i="12"/>
  <c r="M36" i="12"/>
  <c r="V36" i="12"/>
  <c r="U36" i="12"/>
  <c r="N36" i="12"/>
  <c r="P36" i="12"/>
  <c r="I12" i="12"/>
  <c r="G36" i="12"/>
  <c r="F35" i="12"/>
  <c r="V35" i="12"/>
  <c r="U35" i="12"/>
  <c r="G35" i="12"/>
  <c r="F34" i="12"/>
  <c r="V34" i="12"/>
  <c r="U34" i="12"/>
  <c r="G34" i="12"/>
  <c r="F33" i="12"/>
  <c r="V33" i="12"/>
  <c r="U33" i="12"/>
  <c r="G33" i="12"/>
  <c r="F32" i="12"/>
  <c r="V32" i="12"/>
  <c r="U32" i="12"/>
  <c r="G32" i="12"/>
  <c r="F31" i="12"/>
  <c r="V31" i="12"/>
  <c r="U31" i="12"/>
  <c r="G31" i="12"/>
  <c r="F30" i="12"/>
  <c r="V30" i="12"/>
  <c r="U30" i="12"/>
  <c r="G30" i="12"/>
  <c r="F29" i="12"/>
  <c r="V29" i="12"/>
  <c r="U29" i="12"/>
  <c r="G29" i="12"/>
  <c r="F28" i="12"/>
  <c r="V28" i="12"/>
  <c r="U28" i="12"/>
  <c r="G28" i="12"/>
  <c r="F27" i="12"/>
  <c r="V27" i="12"/>
  <c r="U27" i="12"/>
  <c r="G27" i="12"/>
  <c r="F26" i="12"/>
  <c r="V26" i="12"/>
  <c r="U26" i="12"/>
  <c r="G26" i="12"/>
  <c r="F25" i="12"/>
  <c r="V25" i="12"/>
  <c r="U25" i="12"/>
  <c r="G25" i="12"/>
  <c r="F24" i="12"/>
  <c r="M24" i="12"/>
  <c r="V24" i="12"/>
  <c r="U24" i="12"/>
  <c r="N24" i="12"/>
  <c r="P24" i="12"/>
  <c r="G24" i="12"/>
  <c r="F23" i="12"/>
  <c r="M23" i="12"/>
  <c r="V23" i="12"/>
  <c r="U23" i="12"/>
  <c r="N23" i="12"/>
  <c r="P23" i="12"/>
  <c r="G23" i="12"/>
  <c r="F22" i="12"/>
  <c r="M22" i="12"/>
  <c r="V22" i="12"/>
  <c r="U22" i="12"/>
  <c r="N22" i="12"/>
  <c r="P22" i="12"/>
  <c r="G22" i="12"/>
  <c r="F21" i="12"/>
  <c r="M21" i="12"/>
  <c r="V21" i="12"/>
  <c r="U21" i="12"/>
  <c r="N21" i="12"/>
  <c r="P21" i="12"/>
  <c r="G21" i="12"/>
  <c r="F20" i="12"/>
  <c r="M20" i="12"/>
  <c r="V20" i="12"/>
  <c r="U20" i="12"/>
  <c r="N20" i="12"/>
  <c r="P20" i="12"/>
  <c r="G20" i="12"/>
  <c r="F19" i="12"/>
  <c r="M19" i="12"/>
  <c r="V19" i="12"/>
  <c r="U19" i="12"/>
  <c r="N19" i="12"/>
  <c r="P19" i="12"/>
  <c r="G19" i="12"/>
  <c r="F18" i="12"/>
  <c r="M18" i="12"/>
  <c r="V18" i="12"/>
  <c r="U18" i="12"/>
  <c r="N18" i="12"/>
  <c r="P18" i="12"/>
  <c r="G18" i="12"/>
  <c r="F17" i="12"/>
  <c r="M17" i="12"/>
  <c r="V17" i="12"/>
  <c r="U17" i="12"/>
  <c r="N17" i="12"/>
  <c r="P17" i="12"/>
  <c r="G17" i="12"/>
  <c r="G38" i="12"/>
  <c r="F38" i="12"/>
  <c r="M38" i="12"/>
  <c r="N38" i="12"/>
  <c r="P38" i="12"/>
  <c r="U38" i="12"/>
  <c r="V38" i="12"/>
  <c r="G39" i="12"/>
  <c r="F39" i="12"/>
  <c r="M39" i="12"/>
  <c r="N39" i="12"/>
  <c r="P39" i="12"/>
  <c r="U39" i="12"/>
  <c r="V39" i="12"/>
  <c r="G40" i="12"/>
  <c r="F40" i="12"/>
  <c r="M40" i="12"/>
  <c r="N40" i="12"/>
  <c r="P40" i="12"/>
  <c r="U40" i="12"/>
  <c r="V40" i="12"/>
  <c r="I13" i="14"/>
  <c r="I12" i="14"/>
  <c r="G17" i="14"/>
  <c r="I9" i="14"/>
  <c r="F17" i="14"/>
  <c r="U17" i="14"/>
  <c r="V17" i="14"/>
  <c r="G18" i="14"/>
  <c r="F18" i="14"/>
  <c r="U18" i="14"/>
  <c r="V18" i="14"/>
  <c r="G19" i="14"/>
  <c r="F19" i="14"/>
  <c r="U19" i="14"/>
  <c r="V19" i="14"/>
  <c r="G20" i="14"/>
  <c r="F20" i="14"/>
  <c r="U20" i="14"/>
  <c r="V20" i="14"/>
  <c r="G21" i="14"/>
  <c r="F21" i="14"/>
  <c r="U21" i="14"/>
  <c r="V21" i="14"/>
  <c r="G22" i="14"/>
  <c r="F22" i="14"/>
  <c r="U22" i="14"/>
  <c r="V22" i="14"/>
  <c r="G23" i="14"/>
  <c r="F23" i="14"/>
  <c r="U23" i="14"/>
  <c r="V23" i="14"/>
  <c r="G24" i="14"/>
  <c r="F24" i="14"/>
  <c r="U24" i="14"/>
  <c r="V24" i="14"/>
  <c r="G25" i="14"/>
  <c r="F25" i="14"/>
  <c r="U25" i="14"/>
  <c r="V25" i="14"/>
  <c r="G26" i="14"/>
  <c r="F26" i="14"/>
  <c r="U26" i="14"/>
  <c r="V26" i="14"/>
  <c r="G27" i="14"/>
  <c r="F27" i="14"/>
  <c r="U27" i="14"/>
  <c r="V27" i="14"/>
  <c r="G28" i="14"/>
  <c r="F28" i="14"/>
  <c r="U28" i="14"/>
  <c r="V28" i="14"/>
  <c r="G29" i="14"/>
  <c r="F29" i="14"/>
  <c r="U29" i="14"/>
  <c r="V29" i="14"/>
  <c r="G30" i="14"/>
  <c r="F30" i="14"/>
  <c r="U30" i="14"/>
  <c r="V30" i="14"/>
  <c r="G31" i="14"/>
  <c r="F31" i="14"/>
  <c r="U31" i="14"/>
  <c r="V31" i="14"/>
  <c r="G32" i="14"/>
  <c r="F32" i="14"/>
  <c r="U32" i="14"/>
  <c r="V32" i="14"/>
  <c r="G33" i="14"/>
  <c r="F33" i="14"/>
  <c r="U33" i="14"/>
  <c r="V33" i="14"/>
  <c r="G34" i="14"/>
  <c r="F34" i="14"/>
  <c r="U34" i="14"/>
  <c r="V34" i="14"/>
  <c r="G35" i="14"/>
  <c r="F35" i="14"/>
  <c r="U35" i="14"/>
  <c r="V35" i="14"/>
  <c r="G36" i="14"/>
  <c r="F36" i="14"/>
  <c r="U36" i="14"/>
  <c r="V36" i="14"/>
  <c r="G38" i="14"/>
  <c r="F38" i="14"/>
  <c r="U38" i="14"/>
  <c r="V38" i="14"/>
  <c r="G39" i="14"/>
  <c r="F39" i="14"/>
  <c r="U39" i="14"/>
  <c r="V39" i="14"/>
  <c r="G40" i="14"/>
  <c r="F40" i="14"/>
  <c r="U40" i="14"/>
  <c r="V40" i="14"/>
</calcChain>
</file>

<file path=xl/sharedStrings.xml><?xml version="1.0" encoding="utf-8"?>
<sst xmlns="http://schemas.openxmlformats.org/spreadsheetml/2006/main" count="1774" uniqueCount="184">
  <si>
    <t>Sample#</t>
  </si>
  <si>
    <t>Project</t>
  </si>
  <si>
    <t>Group</t>
  </si>
  <si>
    <t>SampleName</t>
  </si>
  <si>
    <t>Depth_i</t>
  </si>
  <si>
    <t>Depth_f</t>
  </si>
  <si>
    <t>Type</t>
  </si>
  <si>
    <t>ArcInc - 07.2018</t>
  </si>
  <si>
    <t>AG Schrumpf</t>
  </si>
  <si>
    <t>MA-1</t>
  </si>
  <si>
    <t>soil</t>
  </si>
  <si>
    <t>MA-2</t>
  </si>
  <si>
    <t>MA-3</t>
  </si>
  <si>
    <t>MB-1</t>
  </si>
  <si>
    <t>MB-2</t>
  </si>
  <si>
    <t>MB-3</t>
  </si>
  <si>
    <t>SA-1</t>
  </si>
  <si>
    <t>SA-2</t>
  </si>
  <si>
    <t>SA-3</t>
  </si>
  <si>
    <t>SB-1</t>
  </si>
  <si>
    <t>SB-2</t>
  </si>
  <si>
    <t>SB-3</t>
  </si>
  <si>
    <t>Du123-1</t>
  </si>
  <si>
    <t>Du120-1</t>
  </si>
  <si>
    <t>TVA 4E C-1</t>
  </si>
  <si>
    <t>TVA 6E C-1</t>
  </si>
  <si>
    <t>TVA 8E C-1</t>
  </si>
  <si>
    <t>TVA 2B C-1</t>
  </si>
  <si>
    <t>TVA 3B C-1</t>
  </si>
  <si>
    <t>TVA 5B C-1</t>
  </si>
  <si>
    <t>WB 4B C-1</t>
  </si>
  <si>
    <t>WB 5B C-1</t>
  </si>
  <si>
    <t>WB 8B C-1</t>
  </si>
  <si>
    <t>WB 3E C-1</t>
  </si>
  <si>
    <t>WB 6E C-1</t>
  </si>
  <si>
    <t>WB 7E C-1</t>
  </si>
  <si>
    <t>HEW26-1</t>
  </si>
  <si>
    <t>HEW26-2</t>
  </si>
  <si>
    <t>HEW47-1</t>
  </si>
  <si>
    <t>HEW47-2</t>
  </si>
  <si>
    <t>HEG20-1</t>
  </si>
  <si>
    <t>HEG20-2</t>
  </si>
  <si>
    <t>HEG20-3</t>
  </si>
  <si>
    <t>HEG33-1</t>
  </si>
  <si>
    <t>HEG33-2</t>
  </si>
  <si>
    <t>HEG33-3</t>
  </si>
  <si>
    <t>HEG6-1</t>
  </si>
  <si>
    <t>HEG6-2</t>
  </si>
  <si>
    <t>HEG6-3</t>
  </si>
  <si>
    <t>HEW49-1</t>
  </si>
  <si>
    <t>HEW49-2</t>
  </si>
  <si>
    <t>HEW49-3</t>
  </si>
  <si>
    <t>SEW43-1</t>
  </si>
  <si>
    <t>SEW43-2</t>
  </si>
  <si>
    <t>SEW43-3</t>
  </si>
  <si>
    <t>SEG38-1</t>
  </si>
  <si>
    <t>SEG38-2</t>
  </si>
  <si>
    <t>SEG38-3</t>
  </si>
  <si>
    <t>SEG40-1</t>
  </si>
  <si>
    <t>SEG40-2</t>
  </si>
  <si>
    <t>SEG40-3</t>
  </si>
  <si>
    <t>SEG46-1</t>
  </si>
  <si>
    <t>SEG46-2</t>
  </si>
  <si>
    <t>SEG46-3</t>
  </si>
  <si>
    <t>SEW11-1</t>
  </si>
  <si>
    <t>SEW11-2</t>
  </si>
  <si>
    <t>SEW11-3</t>
  </si>
  <si>
    <t>SEW34-1</t>
  </si>
  <si>
    <t>SEW34-2</t>
  </si>
  <si>
    <t>SEW34-3</t>
  </si>
  <si>
    <t>P_Jar</t>
  </si>
  <si>
    <t>Leakage</t>
  </si>
  <si>
    <t>Time</t>
  </si>
  <si>
    <t>#</t>
  </si>
  <si>
    <t>Sample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</si>
  <si>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</si>
  <si>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</si>
  <si>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</si>
  <si>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</si>
  <si>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</si>
  <si>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</si>
  <si>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</si>
  <si>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</si>
  <si>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</si>
  <si>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</si>
  <si>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</si>
  <si>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</si>
  <si>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</si>
  <si>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</si>
  <si>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</si>
  <si>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</si>
  <si>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</si>
  <si>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</si>
  <si>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</si>
  <si>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</si>
  <si>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</si>
  <si>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</si>
  <si>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</si>
  <si>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</si>
  <si>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[hPa]</t>
  </si>
  <si>
    <t>[ml]</t>
  </si>
  <si>
    <t>Start Date Incubation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</si>
  <si>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</si>
  <si>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</si>
  <si>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</si>
  <si>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</si>
  <si>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</si>
  <si>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</si>
  <si>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</si>
  <si>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</si>
  <si>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</si>
  <si>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</si>
  <si>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</si>
  <si>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</si>
  <si>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</si>
  <si>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</si>
  <si>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</si>
  <si>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</si>
  <si>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</si>
  <si>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</si>
  <si>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</si>
  <si>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</si>
  <si>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</si>
  <si>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</si>
  <si>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</si>
  <si>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/FW</t>
    </r>
  </si>
  <si>
    <r>
      <t>mg 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/g FW/d</t>
    </r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</si>
  <si>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</si>
  <si>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</si>
  <si>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</si>
  <si>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</si>
  <si>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</si>
  <si>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</si>
  <si>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CO2%</t>
  </si>
  <si>
    <t>CO2 ppm</t>
  </si>
  <si>
    <t>extra gauge tube</t>
  </si>
  <si>
    <t>27/07/2018 16:50</t>
  </si>
  <si>
    <t>27/07/2018 17:22</t>
  </si>
  <si>
    <t>27/07/2018 17:30</t>
  </si>
  <si>
    <t>27/07/2018 17:39</t>
  </si>
  <si>
    <t>Threshold CO2 (1 mgC)</t>
  </si>
  <si>
    <t>[mg CO2 jar-1]</t>
  </si>
  <si>
    <t>27/07/2018</t>
  </si>
  <si>
    <t>21/08/2018</t>
  </si>
  <si>
    <t>21/08/2018 14:29</t>
  </si>
  <si>
    <t>21/08/2018 15:49</t>
  </si>
  <si>
    <t>21/08/2018 15:55</t>
  </si>
  <si>
    <t>21/08/2018 16:01</t>
  </si>
  <si>
    <t>C retrieval</t>
  </si>
  <si>
    <t>1365mbar is the upper limit of the pressure sensor --&gt; if CO2 exceeds this value then there is more CO2 as the sensor could recognize</t>
  </si>
  <si>
    <t>CO2 partial pressure</t>
  </si>
  <si>
    <t>measured mbar in the volume between vent 15 and vent 17, as the upper limit was reached at sensor 1</t>
  </si>
  <si>
    <t>measured mbar in the volume between vent 15 and vent 18, as the upper limit was reached at sensor 1</t>
  </si>
  <si>
    <t>mbar</t>
  </si>
  <si>
    <t>accidentally frozen during extraction of other samples</t>
  </si>
  <si>
    <t>ppm</t>
  </si>
  <si>
    <t>%</t>
  </si>
  <si>
    <t>C/Container</t>
  </si>
  <si>
    <t>,05,07</t>
  </si>
  <si>
    <t>extraction on 05. Sept. two days after measurement with containers</t>
  </si>
  <si>
    <t>14-16 factor 2,8</t>
  </si>
  <si>
    <t>14-19 factor 4,26</t>
  </si>
  <si>
    <t>Factor check V13-V16 factor 4,78</t>
  </si>
  <si>
    <t>Days</t>
  </si>
  <si>
    <t>inc</t>
  </si>
  <si>
    <t>time_d_cmtv</t>
  </si>
  <si>
    <t>mgCO2_jar</t>
  </si>
  <si>
    <t>time_d</t>
  </si>
  <si>
    <t>Period</t>
  </si>
  <si>
    <t>measurement_date_dd.d</t>
  </si>
  <si>
    <t>measurement_month_mm</t>
  </si>
  <si>
    <t>measurement_date_yyyy</t>
  </si>
  <si>
    <t>measurement_date</t>
  </si>
  <si>
    <t>start_date_dd.d</t>
  </si>
  <si>
    <t>start_date_mm</t>
  </si>
  <si>
    <t>start_date_yyyy</t>
  </si>
  <si>
    <t>start_date</t>
  </si>
  <si>
    <t>formula_check</t>
  </si>
  <si>
    <t>timepoint_cmtv</t>
  </si>
  <si>
    <t>ID</t>
  </si>
  <si>
    <t>month</t>
  </si>
  <si>
    <t>day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</si>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</sst>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00"/>
    <numFmt numFmtId="167" formatCode="0.0"/>
    <numFmt numFmtId="168" formatCode="d/m/yy\ h:mm;@"/>
    <numFmt numFmtId="170" formatCode="[$-409]d\-mmm\-yyyy;@"/>
    <numFmt numFmtId="171" formatCode="m/d/yy\ h:mm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0A4F0F"/>
      <name val="Calibri"/>
      <scheme val="minor"/>
    </font>
    <font>
      <sz val="10"/>
      <name val="Courier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ECC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7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/>
    <xf numFmtId="0" fontId="20" fillId="0" borderId="10" xfId="0" applyFont="1" applyBorder="1" applyAlignment="1">
      <alignment horizontal="justify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21" fillId="0" borderId="10" xfId="0" applyFont="1" applyFill="1" applyBorder="1" applyAlignment="1">
      <alignment horizontal="center" vertical="center" wrapText="1"/>
    </xf>
    <xf numFmtId="2" fontId="23" fillId="33" borderId="0" xfId="42" applyNumberFormat="1" applyFont="1" applyFill="1" applyBorder="1" applyAlignment="1">
      <alignment horizontal="center"/>
    </xf>
    <xf numFmtId="1" fontId="23" fillId="33" borderId="12" xfId="42" applyNumberFormat="1" applyFont="1" applyFill="1" applyBorder="1" applyAlignment="1">
      <alignment horizontal="center"/>
    </xf>
    <xf numFmtId="2" fontId="23" fillId="34" borderId="0" xfId="42" applyNumberFormat="1" applyFont="1" applyFill="1" applyBorder="1" applyAlignment="1">
      <alignment horizontal="center"/>
    </xf>
    <xf numFmtId="2" fontId="23" fillId="34" borderId="12" xfId="42" applyNumberFormat="1" applyFont="1" applyFill="1" applyBorder="1" applyAlignment="1">
      <alignment horizontal="center"/>
    </xf>
    <xf numFmtId="0" fontId="24" fillId="33" borderId="13" xfId="42" applyFont="1" applyFill="1" applyBorder="1" applyAlignment="1">
      <alignment horizontal="center"/>
    </xf>
    <xf numFmtId="0" fontId="24" fillId="33" borderId="14" xfId="42" applyFont="1" applyFill="1" applyBorder="1" applyAlignment="1">
      <alignment horizontal="center"/>
    </xf>
    <xf numFmtId="0" fontId="24" fillId="34" borderId="13" xfId="42" applyFont="1" applyFill="1" applyBorder="1" applyAlignment="1">
      <alignment horizontal="center"/>
    </xf>
    <xf numFmtId="0" fontId="24" fillId="34" borderId="14" xfId="42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4" fillId="0" borderId="0" xfId="42" applyFont="1" applyFill="1" applyAlignment="1">
      <alignment horizontal="center"/>
    </xf>
    <xf numFmtId="2" fontId="24" fillId="0" borderId="0" xfId="42" applyNumberFormat="1" applyFont="1" applyFill="1" applyAlignment="1">
      <alignment horizontal="center"/>
    </xf>
    <xf numFmtId="1" fontId="24" fillId="0" borderId="12" xfId="42" applyNumberFormat="1" applyFont="1" applyFill="1" applyBorder="1" applyAlignment="1">
      <alignment horizontal="center"/>
    </xf>
    <xf numFmtId="2" fontId="24" fillId="0" borderId="12" xfId="42" applyNumberFormat="1" applyFont="1" applyFill="1" applyBorder="1" applyAlignment="1">
      <alignment horizontal="center"/>
    </xf>
    <xf numFmtId="0" fontId="23" fillId="36" borderId="17" xfId="42" applyFont="1" applyFill="1" applyBorder="1" applyAlignment="1">
      <alignment horizontal="center"/>
    </xf>
    <xf numFmtId="0" fontId="23" fillId="33" borderId="17" xfId="42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0" fontId="22" fillId="0" borderId="0" xfId="42"/>
    <xf numFmtId="0" fontId="24" fillId="0" borderId="0" xfId="42" applyFont="1"/>
    <xf numFmtId="0" fontId="25" fillId="0" borderId="0" xfId="42" applyFont="1" applyBorder="1" applyAlignment="1">
      <alignment horizontal="center"/>
    </xf>
    <xf numFmtId="14" fontId="24" fillId="0" borderId="0" xfId="42" applyNumberFormat="1" applyFont="1" applyAlignment="1">
      <alignment horizontal="center"/>
    </xf>
    <xf numFmtId="0" fontId="24" fillId="0" borderId="0" xfId="42" applyFont="1" applyAlignment="1">
      <alignment horizontal="center"/>
    </xf>
    <xf numFmtId="2" fontId="24" fillId="0" borderId="0" xfId="42" applyNumberFormat="1" applyFont="1" applyAlignment="1">
      <alignment horizontal="center"/>
    </xf>
    <xf numFmtId="164" fontId="24" fillId="0" borderId="0" xfId="42" applyNumberFormat="1" applyFont="1" applyAlignment="1">
      <alignment horizontal="center"/>
    </xf>
    <xf numFmtId="0" fontId="22" fillId="0" borderId="0" xfId="42" applyFill="1"/>
    <xf numFmtId="165" fontId="24" fillId="0" borderId="0" xfId="42" applyNumberFormat="1" applyFont="1" applyFill="1" applyAlignment="1">
      <alignment horizontal="center"/>
    </xf>
    <xf numFmtId="0" fontId="28" fillId="0" borderId="0" xfId="42" applyFont="1"/>
    <xf numFmtId="166" fontId="24" fillId="0" borderId="0" xfId="42" applyNumberFormat="1" applyFont="1" applyFill="1" applyAlignment="1">
      <alignment horizontal="right"/>
    </xf>
    <xf numFmtId="0" fontId="22" fillId="0" borderId="0" xfId="42" applyAlignment="1">
      <alignment horizontal="center"/>
    </xf>
    <xf numFmtId="0" fontId="29" fillId="0" borderId="0" xfId="42" applyFont="1"/>
    <xf numFmtId="166" fontId="22" fillId="0" borderId="0" xfId="42" applyNumberFormat="1" applyAlignment="1">
      <alignment horizontal="right"/>
    </xf>
    <xf numFmtId="0" fontId="30" fillId="0" borderId="0" xfId="42" applyFont="1"/>
    <xf numFmtId="0" fontId="23" fillId="37" borderId="17" xfId="42" applyFont="1" applyFill="1" applyBorder="1" applyAlignment="1">
      <alignment horizontal="center"/>
    </xf>
    <xf numFmtId="2" fontId="23" fillId="37" borderId="17" xfId="42" applyNumberFormat="1" applyFont="1" applyFill="1" applyBorder="1" applyAlignment="1">
      <alignment horizontal="center"/>
    </xf>
    <xf numFmtId="2" fontId="23" fillId="0" borderId="17" xfId="42" applyNumberFormat="1" applyFont="1" applyFill="1" applyBorder="1" applyAlignment="1">
      <alignment horizontal="center"/>
    </xf>
    <xf numFmtId="0" fontId="23" fillId="37" borderId="18" xfId="42" applyFont="1" applyFill="1" applyBorder="1" applyAlignment="1">
      <alignment horizontal="center"/>
    </xf>
    <xf numFmtId="0" fontId="25" fillId="0" borderId="0" xfId="42" applyFont="1" applyAlignment="1">
      <alignment horizontal="center"/>
    </xf>
    <xf numFmtId="2" fontId="25" fillId="0" borderId="0" xfId="42" applyNumberFormat="1" applyFont="1" applyAlignment="1">
      <alignment horizontal="center"/>
    </xf>
    <xf numFmtId="0" fontId="25" fillId="0" borderId="15" xfId="42" applyFont="1" applyBorder="1" applyAlignment="1">
      <alignment horizontal="center"/>
    </xf>
    <xf numFmtId="22" fontId="24" fillId="0" borderId="0" xfId="42" applyNumberFormat="1" applyFont="1" applyFill="1" applyBorder="1" applyAlignment="1">
      <alignment horizontal="center"/>
    </xf>
    <xf numFmtId="0" fontId="24" fillId="38" borderId="19" xfId="42" applyFont="1" applyFill="1" applyBorder="1" applyAlignment="1">
      <alignment horizontal="center"/>
    </xf>
    <xf numFmtId="0" fontId="24" fillId="38" borderId="20" xfId="42" applyFont="1" applyFill="1" applyBorder="1" applyAlignment="1">
      <alignment horizontal="center"/>
    </xf>
    <xf numFmtId="164" fontId="24" fillId="0" borderId="0" xfId="42" applyNumberFormat="1" applyFont="1" applyFill="1" applyAlignment="1">
      <alignment horizontal="center"/>
    </xf>
    <xf numFmtId="22" fontId="24" fillId="0" borderId="15" xfId="42" applyNumberFormat="1" applyFont="1" applyFill="1" applyBorder="1" applyAlignment="1">
      <alignment horizontal="center"/>
    </xf>
    <xf numFmtId="167" fontId="24" fillId="0" borderId="0" xfId="42" applyNumberFormat="1" applyFont="1" applyFill="1" applyBorder="1" applyAlignment="1">
      <alignment horizontal="center"/>
    </xf>
    <xf numFmtId="1" fontId="24" fillId="0" borderId="0" xfId="42" applyNumberFormat="1" applyFont="1" applyFill="1" applyBorder="1" applyAlignment="1">
      <alignment horizontal="center"/>
    </xf>
    <xf numFmtId="2" fontId="24" fillId="0" borderId="0" xfId="42" applyNumberFormat="1" applyFont="1" applyFill="1" applyBorder="1" applyAlignment="1">
      <alignment horizontal="center"/>
    </xf>
    <xf numFmtId="166" fontId="24" fillId="0" borderId="0" xfId="42" applyNumberFormat="1" applyFont="1" applyFill="1" applyBorder="1" applyAlignment="1">
      <alignment horizontal="center"/>
    </xf>
    <xf numFmtId="0" fontId="24" fillId="38" borderId="21" xfId="42" applyFont="1" applyFill="1" applyBorder="1" applyAlignment="1">
      <alignment horizontal="center"/>
    </xf>
    <xf numFmtId="0" fontId="24" fillId="38" borderId="22" xfId="42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3" xfId="0" applyBorder="1"/>
    <xf numFmtId="0" fontId="24" fillId="0" borderId="13" xfId="42" applyFont="1" applyFill="1" applyBorder="1" applyAlignment="1">
      <alignment horizontal="center"/>
    </xf>
    <xf numFmtId="2" fontId="24" fillId="0" borderId="13" xfId="42" applyNumberFormat="1" applyFont="1" applyFill="1" applyBorder="1" applyAlignment="1">
      <alignment horizontal="center"/>
    </xf>
    <xf numFmtId="1" fontId="24" fillId="0" borderId="14" xfId="42" applyNumberFormat="1" applyFont="1" applyFill="1" applyBorder="1" applyAlignment="1">
      <alignment horizontal="center"/>
    </xf>
    <xf numFmtId="2" fontId="24" fillId="0" borderId="14" xfId="42" applyNumberFormat="1" applyFont="1" applyFill="1" applyBorder="1" applyAlignment="1">
      <alignment horizontal="center"/>
    </xf>
    <xf numFmtId="0" fontId="23" fillId="37" borderId="0" xfId="42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24" fillId="0" borderId="0" xfId="42" applyNumberFormat="1" applyFont="1" applyFill="1" applyAlignment="1">
      <alignment horizontal="center"/>
    </xf>
    <xf numFmtId="167" fontId="0" fillId="0" borderId="0" xfId="0" applyNumberFormat="1"/>
    <xf numFmtId="2" fontId="0" fillId="0" borderId="0" xfId="0" applyNumberFormat="1"/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7" fillId="37" borderId="17" xfId="0" applyFont="1" applyFill="1" applyBorder="1" applyAlignment="1">
      <alignment horizontal="center"/>
    </xf>
    <xf numFmtId="166" fontId="24" fillId="33" borderId="0" xfId="42" applyNumberFormat="1" applyFont="1" applyFill="1" applyBorder="1" applyAlignment="1">
      <alignment horizontal="center"/>
    </xf>
    <xf numFmtId="0" fontId="0" fillId="33" borderId="0" xfId="0" applyFill="1"/>
    <xf numFmtId="166" fontId="24" fillId="39" borderId="0" xfId="42" applyNumberFormat="1" applyFont="1" applyFill="1" applyBorder="1" applyAlignment="1">
      <alignment horizontal="center"/>
    </xf>
    <xf numFmtId="0" fontId="0" fillId="39" borderId="0" xfId="0" applyFill="1"/>
    <xf numFmtId="14" fontId="0" fillId="0" borderId="0" xfId="0" applyNumberFormat="1"/>
    <xf numFmtId="0" fontId="23" fillId="33" borderId="0" xfId="42" applyFont="1" applyFill="1" applyBorder="1" applyAlignment="1"/>
    <xf numFmtId="0" fontId="24" fillId="33" borderId="13" xfId="42" applyFont="1" applyFill="1" applyBorder="1" applyAlignment="1"/>
    <xf numFmtId="14" fontId="24" fillId="0" borderId="0" xfId="42" applyNumberFormat="1" applyFont="1" applyFill="1" applyBorder="1" applyAlignment="1"/>
    <xf numFmtId="0" fontId="0" fillId="0" borderId="0" xfId="0" applyAlignment="1"/>
    <xf numFmtId="0" fontId="0" fillId="0" borderId="13" xfId="0" applyBorder="1" applyAlignment="1"/>
    <xf numFmtId="0" fontId="0" fillId="0" borderId="0" xfId="0" applyFill="1" applyBorder="1" applyAlignment="1"/>
    <xf numFmtId="168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40" borderId="0" xfId="0" applyFill="1"/>
    <xf numFmtId="1" fontId="0" fillId="0" borderId="0" xfId="0" applyNumberFormat="1"/>
    <xf numFmtId="0" fontId="25" fillId="0" borderId="0" xfId="42" applyFont="1" applyFill="1" applyAlignment="1">
      <alignment horizontal="center"/>
    </xf>
    <xf numFmtId="2" fontId="24" fillId="0" borderId="0" xfId="42" applyNumberFormat="1" applyFont="1" applyFill="1" applyBorder="1" applyAlignment="1">
      <alignment horizontal="center" vertical="center"/>
    </xf>
    <xf numFmtId="167" fontId="24" fillId="0" borderId="0" xfId="42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167" fontId="25" fillId="0" borderId="0" xfId="42" applyNumberFormat="1" applyFont="1" applyFill="1" applyBorder="1" applyAlignment="1">
      <alignment horizontal="center"/>
    </xf>
    <xf numFmtId="0" fontId="35" fillId="0" borderId="0" xfId="0" applyFont="1"/>
    <xf numFmtId="167" fontId="36" fillId="41" borderId="0" xfId="42" applyNumberFormat="1" applyFont="1" applyFill="1" applyBorder="1" applyAlignment="1">
      <alignment horizontal="center"/>
    </xf>
    <xf numFmtId="0" fontId="23" fillId="35" borderId="15" xfId="42" applyFont="1" applyFill="1" applyBorder="1" applyAlignment="1">
      <alignment horizontal="center" wrapText="1"/>
    </xf>
    <xf numFmtId="0" fontId="23" fillId="35" borderId="16" xfId="42" applyFont="1" applyFill="1" applyBorder="1" applyAlignment="1">
      <alignment horizontal="center" wrapText="1"/>
    </xf>
    <xf numFmtId="0" fontId="1" fillId="0" borderId="0" xfId="79"/>
    <xf numFmtId="2" fontId="1" fillId="0" borderId="0" xfId="79" applyNumberFormat="1"/>
    <xf numFmtId="22" fontId="1" fillId="0" borderId="0" xfId="79" applyNumberFormat="1"/>
    <xf numFmtId="0" fontId="24" fillId="39" borderId="0" xfId="42" applyFont="1" applyFill="1" applyBorder="1" applyAlignment="1">
      <alignment horizontal="center"/>
    </xf>
    <xf numFmtId="170" fontId="0" fillId="0" borderId="0" xfId="0" applyNumberFormat="1"/>
    <xf numFmtId="170" fontId="0" fillId="39" borderId="0" xfId="0" applyNumberFormat="1" applyFill="1"/>
    <xf numFmtId="171" fontId="0" fillId="0" borderId="0" xfId="0" applyNumberFormat="1"/>
  </cellXfs>
  <cellStyles count="9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79"/>
    <cellStyle name="Note" xfId="15" builtinId="10" customBuiltin="1"/>
    <cellStyle name="Output" xfId="10" builtinId="21" customBuiltin="1"/>
    <cellStyle name="Standard 3" xfId="42"/>
    <cellStyle name="Standard_Au_Dataimport2003" xfId="80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'30.07.18'!$D$3:$D$13</c:f>
              <c:numCache>
                <c:formatCode>0.00</c:formatCode>
                <c:ptCount val="11"/>
                <c:pt idx="0">
                  <c:v>1617.5</c:v>
                </c:pt>
                <c:pt idx="1">
                  <c:v>1445.3</c:v>
                </c:pt>
                <c:pt idx="2">
                  <c:v>1346.5</c:v>
                </c:pt>
                <c:pt idx="3">
                  <c:v>1150.9</c:v>
                </c:pt>
                <c:pt idx="4">
                  <c:v>1046.5</c:v>
                </c:pt>
                <c:pt idx="5">
                  <c:v>847.57</c:v>
                </c:pt>
                <c:pt idx="6">
                  <c:v>696.96</c:v>
                </c:pt>
                <c:pt idx="7">
                  <c:v>472.62</c:v>
                </c:pt>
                <c:pt idx="8">
                  <c:v>381.54</c:v>
                </c:pt>
                <c:pt idx="9" formatCode="General">
                  <c:v>131.87</c:v>
                </c:pt>
                <c:pt idx="10" formatCode="General">
                  <c:v>64.07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729384"/>
        <c:axId val="-2047723944"/>
      </c:scatterChart>
      <c:valAx>
        <c:axId val="-20477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723944"/>
        <c:crosses val="autoZero"/>
        <c:crossBetween val="midCat"/>
      </c:valAx>
      <c:valAx>
        <c:axId val="-204772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72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'13.08.18'!$E$3:$E$13</c:f>
              <c:numCache>
                <c:formatCode>0.00</c:formatCode>
                <c:ptCount val="11"/>
                <c:pt idx="0">
                  <c:v>354.03</c:v>
                </c:pt>
                <c:pt idx="1">
                  <c:v>325.07</c:v>
                </c:pt>
                <c:pt idx="2">
                  <c:v>296.04</c:v>
                </c:pt>
                <c:pt idx="3">
                  <c:v>269.52</c:v>
                </c:pt>
                <c:pt idx="4">
                  <c:v>231.03</c:v>
                </c:pt>
                <c:pt idx="5">
                  <c:v>193.45</c:v>
                </c:pt>
                <c:pt idx="6">
                  <c:v>163.28</c:v>
                </c:pt>
                <c:pt idx="7">
                  <c:v>124.84</c:v>
                </c:pt>
                <c:pt idx="8">
                  <c:v>88.422</c:v>
                </c:pt>
                <c:pt idx="9" formatCode="General">
                  <c:v>33.455</c:v>
                </c:pt>
                <c:pt idx="10" formatCode="General">
                  <c:v>19.198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128744"/>
        <c:axId val="-2047123240"/>
      </c:scatterChart>
      <c:valAx>
        <c:axId val="-204712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123240"/>
        <c:crosses val="autoZero"/>
        <c:crossBetween val="midCat"/>
      </c:valAx>
      <c:valAx>
        <c:axId val="-204712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12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'20.08.18'!$D$3:$D$13</c:f>
              <c:numCache>
                <c:formatCode>0.00</c:formatCode>
                <c:ptCount val="11"/>
                <c:pt idx="0">
                  <c:v>1649.0</c:v>
                </c:pt>
                <c:pt idx="1">
                  <c:v>1433.5</c:v>
                </c:pt>
                <c:pt idx="2">
                  <c:v>1312.3</c:v>
                </c:pt>
                <c:pt idx="3">
                  <c:v>1155.8</c:v>
                </c:pt>
                <c:pt idx="4">
                  <c:v>1007.1</c:v>
                </c:pt>
                <c:pt idx="5">
                  <c:v>830.23</c:v>
                </c:pt>
                <c:pt idx="6">
                  <c:v>711.28</c:v>
                </c:pt>
                <c:pt idx="7">
                  <c:v>500.16</c:v>
                </c:pt>
                <c:pt idx="8">
                  <c:v>254.65</c:v>
                </c:pt>
                <c:pt idx="9" formatCode="General">
                  <c:v>129.33</c:v>
                </c:pt>
                <c:pt idx="10" formatCode="General">
                  <c:v>65.045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860696"/>
        <c:axId val="-2016855256"/>
      </c:scatterChart>
      <c:valAx>
        <c:axId val="-20168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855256"/>
        <c:crosses val="autoZero"/>
        <c:crossBetween val="midCat"/>
      </c:valAx>
      <c:valAx>
        <c:axId val="-2016855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86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'20.08.18'!$E$3:$E$13</c:f>
              <c:numCache>
                <c:formatCode>0.00</c:formatCode>
                <c:ptCount val="11"/>
                <c:pt idx="0">
                  <c:v>402.37</c:v>
                </c:pt>
                <c:pt idx="1">
                  <c:v>345.67</c:v>
                </c:pt>
                <c:pt idx="2">
                  <c:v>309.63</c:v>
                </c:pt>
                <c:pt idx="3">
                  <c:v>282.03</c:v>
                </c:pt>
                <c:pt idx="4">
                  <c:v>252.59</c:v>
                </c:pt>
                <c:pt idx="5">
                  <c:v>201.23</c:v>
                </c:pt>
                <c:pt idx="6">
                  <c:v>177.42</c:v>
                </c:pt>
                <c:pt idx="7">
                  <c:v>123.1</c:v>
                </c:pt>
                <c:pt idx="8">
                  <c:v>63.069</c:v>
                </c:pt>
                <c:pt idx="9" formatCode="General">
                  <c:v>38.058</c:v>
                </c:pt>
                <c:pt idx="10" formatCode="General">
                  <c:v>20.077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822408"/>
        <c:axId val="-2016816904"/>
      </c:scatterChart>
      <c:valAx>
        <c:axId val="-20168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816904"/>
        <c:crosses val="autoZero"/>
        <c:crossBetween val="midCat"/>
      </c:valAx>
      <c:valAx>
        <c:axId val="-201681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82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'24.08.18'!$D$3:$D$13</c:f>
              <c:numCache>
                <c:formatCode>0.00</c:formatCode>
                <c:ptCount val="11"/>
                <c:pt idx="0">
                  <c:v>1614.4</c:v>
                </c:pt>
                <c:pt idx="1">
                  <c:v>1421.0</c:v>
                </c:pt>
                <c:pt idx="2">
                  <c:v>1315.2</c:v>
                </c:pt>
                <c:pt idx="3">
                  <c:v>1157.1</c:v>
                </c:pt>
                <c:pt idx="4">
                  <c:v>1050.1</c:v>
                </c:pt>
                <c:pt idx="5">
                  <c:v>827.66</c:v>
                </c:pt>
                <c:pt idx="6">
                  <c:v>696.62</c:v>
                </c:pt>
                <c:pt idx="7">
                  <c:v>504.98</c:v>
                </c:pt>
                <c:pt idx="8">
                  <c:v>360.33</c:v>
                </c:pt>
                <c:pt idx="9" formatCode="General">
                  <c:v>149.6</c:v>
                </c:pt>
                <c:pt idx="10" formatCode="General">
                  <c:v>70.907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764392"/>
        <c:axId val="-2016759144"/>
      </c:scatterChart>
      <c:valAx>
        <c:axId val="-20167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759144"/>
        <c:crosses val="autoZero"/>
        <c:crossBetween val="midCat"/>
      </c:valAx>
      <c:valAx>
        <c:axId val="-201675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76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'24.08.18'!$E$3:$E$13</c:f>
              <c:numCache>
                <c:formatCode>0.00</c:formatCode>
                <c:ptCount val="11"/>
                <c:pt idx="0">
                  <c:v>372.16</c:v>
                </c:pt>
                <c:pt idx="1">
                  <c:v>338.12</c:v>
                </c:pt>
                <c:pt idx="2">
                  <c:v>318.8</c:v>
                </c:pt>
                <c:pt idx="3">
                  <c:v>276.1</c:v>
                </c:pt>
                <c:pt idx="4">
                  <c:v>246.74</c:v>
                </c:pt>
                <c:pt idx="5">
                  <c:v>205.93</c:v>
                </c:pt>
                <c:pt idx="6">
                  <c:v>176.04</c:v>
                </c:pt>
                <c:pt idx="7">
                  <c:v>129.21</c:v>
                </c:pt>
                <c:pt idx="8">
                  <c:v>90.996</c:v>
                </c:pt>
                <c:pt idx="9" formatCode="General">
                  <c:v>39.541</c:v>
                </c:pt>
                <c:pt idx="10" formatCode="General">
                  <c:v>19.515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726744"/>
        <c:axId val="-2016721480"/>
      </c:scatterChart>
      <c:valAx>
        <c:axId val="-201672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721480"/>
        <c:crosses val="autoZero"/>
        <c:crossBetween val="midCat"/>
      </c:valAx>
      <c:valAx>
        <c:axId val="-201672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72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'27.08.18'!$D$3:$D$13</c:f>
              <c:numCache>
                <c:formatCode>0.00</c:formatCode>
                <c:ptCount val="11"/>
                <c:pt idx="0">
                  <c:v>1622.8</c:v>
                </c:pt>
                <c:pt idx="1">
                  <c:v>1396.4</c:v>
                </c:pt>
                <c:pt idx="2">
                  <c:v>1290.2</c:v>
                </c:pt>
                <c:pt idx="3">
                  <c:v>1128.5</c:v>
                </c:pt>
                <c:pt idx="4">
                  <c:v>1024.9</c:v>
                </c:pt>
                <c:pt idx="5">
                  <c:v>826.72</c:v>
                </c:pt>
                <c:pt idx="6">
                  <c:v>650.92</c:v>
                </c:pt>
                <c:pt idx="7">
                  <c:v>485.54</c:v>
                </c:pt>
                <c:pt idx="8">
                  <c:v>323.02</c:v>
                </c:pt>
                <c:pt idx="9" formatCode="General">
                  <c:v>119.84</c:v>
                </c:pt>
                <c:pt idx="10" formatCode="General">
                  <c:v>61.75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669240"/>
        <c:axId val="-2016663992"/>
      </c:scatterChart>
      <c:valAx>
        <c:axId val="-20166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663992"/>
        <c:crosses val="autoZero"/>
        <c:crossBetween val="midCat"/>
      </c:valAx>
      <c:valAx>
        <c:axId val="-201666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669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'27.08.18'!$E$3:$E$13</c:f>
              <c:numCache>
                <c:formatCode>0.00</c:formatCode>
                <c:ptCount val="11"/>
                <c:pt idx="0">
                  <c:v>373.33</c:v>
                </c:pt>
                <c:pt idx="1">
                  <c:v>325.75</c:v>
                </c:pt>
                <c:pt idx="2">
                  <c:v>292.92</c:v>
                </c:pt>
                <c:pt idx="3">
                  <c:v>260.46</c:v>
                </c:pt>
                <c:pt idx="4">
                  <c:v>242.44</c:v>
                </c:pt>
                <c:pt idx="5">
                  <c:v>195.5</c:v>
                </c:pt>
                <c:pt idx="6">
                  <c:v>165.27</c:v>
                </c:pt>
                <c:pt idx="7">
                  <c:v>114.85</c:v>
                </c:pt>
                <c:pt idx="8">
                  <c:v>85.851</c:v>
                </c:pt>
                <c:pt idx="9" formatCode="General">
                  <c:v>31.286</c:v>
                </c:pt>
                <c:pt idx="10" formatCode="General">
                  <c:v>18.688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631528"/>
        <c:axId val="-2016626248"/>
      </c:scatterChart>
      <c:valAx>
        <c:axId val="-201663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626248"/>
        <c:crosses val="autoZero"/>
        <c:crossBetween val="midCat"/>
      </c:valAx>
      <c:valAx>
        <c:axId val="-201662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631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'03.09.18'!$D$3:$D$13</c:f>
              <c:numCache>
                <c:formatCode>0.00</c:formatCode>
                <c:ptCount val="11"/>
                <c:pt idx="0">
                  <c:v>1593.5</c:v>
                </c:pt>
                <c:pt idx="1">
                  <c:v>1444.6</c:v>
                </c:pt>
                <c:pt idx="2">
                  <c:v>1312.3</c:v>
                </c:pt>
                <c:pt idx="3">
                  <c:v>1139.3</c:v>
                </c:pt>
                <c:pt idx="4">
                  <c:v>975.64</c:v>
                </c:pt>
                <c:pt idx="5">
                  <c:v>817.39</c:v>
                </c:pt>
                <c:pt idx="6">
                  <c:v>701.66</c:v>
                </c:pt>
                <c:pt idx="7">
                  <c:v>481.87</c:v>
                </c:pt>
                <c:pt idx="8">
                  <c:v>337.99</c:v>
                </c:pt>
                <c:pt idx="9" formatCode="General">
                  <c:v>135.51</c:v>
                </c:pt>
                <c:pt idx="10" formatCode="General">
                  <c:v>60.316</c:v>
                </c:pt>
              </c:numCache>
            </c:num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574216"/>
        <c:axId val="-2016568968"/>
      </c:scatterChart>
      <c:valAx>
        <c:axId val="-201657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568968"/>
        <c:crosses val="autoZero"/>
        <c:crossBetween val="midCat"/>
      </c:valAx>
      <c:valAx>
        <c:axId val="-201656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57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strRef>
              <c:f>'03.09.18'!$E$3:$E$13</c:f>
              <c:strCache>
                <c:ptCount val="11"/>
                <c:pt idx="0">
                  <c:v>368.54</c:v>
                </c:pt>
                <c:pt idx="1">
                  <c:v>321.00</c:v>
                </c:pt>
                <c:pt idx="2">
                  <c:v>,05,07</c:v>
                </c:pt>
                <c:pt idx="3">
                  <c:v>258.79</c:v>
                </c:pt>
                <c:pt idx="4">
                  <c:v>212.71</c:v>
                </c:pt>
                <c:pt idx="5">
                  <c:v>192.77</c:v>
                </c:pt>
                <c:pt idx="6">
                  <c:v>178.32</c:v>
                </c:pt>
                <c:pt idx="7">
                  <c:v>116.94</c:v>
                </c:pt>
                <c:pt idx="8">
                  <c:v>83.62</c:v>
                </c:pt>
                <c:pt idx="9">
                  <c:v>35.329</c:v>
                </c:pt>
                <c:pt idx="10">
                  <c:v>19.426</c:v>
                </c:pt>
              </c:strCache>
            </c:str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536360"/>
        <c:axId val="-2016531080"/>
      </c:scatterChart>
      <c:valAx>
        <c:axId val="-201653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531080"/>
        <c:crosses val="autoZero"/>
        <c:crossBetween val="midCat"/>
      </c:valAx>
      <c:valAx>
        <c:axId val="-201653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653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CO2_Summary!$B$3:$D$3</c:f>
              <c:numCache>
                <c:formatCode>0.0</c:formatCode>
                <c:ptCount val="3"/>
                <c:pt idx="0">
                  <c:v>14.75912082054334</c:v>
                </c:pt>
                <c:pt idx="1">
                  <c:v>24.74829145487263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CO2_Summary!$B$4:$D$4</c:f>
              <c:numCache>
                <c:formatCode>0.0</c:formatCode>
                <c:ptCount val="3"/>
                <c:pt idx="0">
                  <c:v>14.55944243428472</c:v>
                </c:pt>
                <c:pt idx="1">
                  <c:v>24.6346427842097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CO2_Summary!$B$5:$D$5</c:f>
              <c:numCache>
                <c:formatCode>0.0</c:formatCode>
                <c:ptCount val="3"/>
                <c:pt idx="0">
                  <c:v>15.30248727438215</c:v>
                </c:pt>
                <c:pt idx="1">
                  <c:v>26.46325913744746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CO2_Summary!$B$6:$H$6</c:f>
              <c:numCache>
                <c:formatCode>0.0</c:formatCode>
                <c:ptCount val="7"/>
                <c:pt idx="0">
                  <c:v>1.491646831600919</c:v>
                </c:pt>
                <c:pt idx="1">
                  <c:v>3.323050162442318</c:v>
                </c:pt>
                <c:pt idx="2">
                  <c:v>7.235211376450363</c:v>
                </c:pt>
                <c:pt idx="3">
                  <c:v>10.24185705358637</c:v>
                </c:pt>
                <c:pt idx="4">
                  <c:v>10.05999488099499</c:v>
                </c:pt>
                <c:pt idx="5">
                  <c:v>12.63780937641456</c:v>
                </c:pt>
                <c:pt idx="6">
                  <c:v>13.77626670240617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CO2_Summary!$B$7:$H$7</c:f>
              <c:numCache>
                <c:formatCode>0.0</c:formatCode>
                <c:ptCount val="7"/>
                <c:pt idx="0">
                  <c:v>1.4523582016071</c:v>
                </c:pt>
                <c:pt idx="1">
                  <c:v>3.107967546606138</c:v>
                </c:pt>
                <c:pt idx="2">
                  <c:v>7.301531778700447</c:v>
                </c:pt>
                <c:pt idx="3">
                  <c:v>9.945703781480617</c:v>
                </c:pt>
                <c:pt idx="4">
                  <c:v>11.28776305249821</c:v>
                </c:pt>
                <c:pt idx="5">
                  <c:v>13.06504638792583</c:v>
                </c:pt>
                <c:pt idx="6">
                  <c:v>13.78609674440759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CO2_Summary!$B$8:$H$8</c:f>
              <c:numCache>
                <c:formatCode>0.0</c:formatCode>
                <c:ptCount val="7"/>
                <c:pt idx="0">
                  <c:v>1.398047774342037</c:v>
                </c:pt>
                <c:pt idx="1">
                  <c:v>3.269521825655433</c:v>
                </c:pt>
                <c:pt idx="2">
                  <c:v>7.207625847162013</c:v>
                </c:pt>
                <c:pt idx="3">
                  <c:v>10.15365703866234</c:v>
                </c:pt>
                <c:pt idx="4">
                  <c:v>10.14699249918585</c:v>
                </c:pt>
                <c:pt idx="5">
                  <c:v>11.75572398588394</c:v>
                </c:pt>
                <c:pt idx="6">
                  <c:v>11.45036848860257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CO2_Summary!$B$9:$D$9</c:f>
              <c:numCache>
                <c:formatCode>0.0</c:formatCode>
                <c:ptCount val="3"/>
                <c:pt idx="0">
                  <c:v>26.60948925645635</c:v>
                </c:pt>
                <c:pt idx="1">
                  <c:v>39.84736041497766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CO2_Summary!$B$10:$D$10</c:f>
              <c:numCache>
                <c:formatCode>0.0</c:formatCode>
                <c:ptCount val="3"/>
                <c:pt idx="0">
                  <c:v>25.42986802089525</c:v>
                </c:pt>
                <c:pt idx="1">
                  <c:v>42.62171606937548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CO2_Summary!$B$11:$D$11</c:f>
              <c:numCache>
                <c:formatCode>0.0</c:formatCode>
                <c:ptCount val="3"/>
                <c:pt idx="0">
                  <c:v>26.56852324261309</c:v>
                </c:pt>
                <c:pt idx="1">
                  <c:v>44.45658711221156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CO2_Summary!$B$12:$G$12</c:f>
              <c:numCache>
                <c:formatCode>0.0</c:formatCode>
                <c:ptCount val="6"/>
                <c:pt idx="0">
                  <c:v>3.350278294243607</c:v>
                </c:pt>
                <c:pt idx="1">
                  <c:v>7.949708155453827</c:v>
                </c:pt>
                <c:pt idx="2">
                  <c:v>12.90230060554314</c:v>
                </c:pt>
                <c:pt idx="3">
                  <c:v>18.03631975767368</c:v>
                </c:pt>
                <c:pt idx="4">
                  <c:v>20.6410580062308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CO2_Summary!$B$13:$G$13</c:f>
              <c:numCache>
                <c:formatCode>0.0</c:formatCode>
                <c:ptCount val="6"/>
                <c:pt idx="0">
                  <c:v>3.050754382710935</c:v>
                </c:pt>
                <c:pt idx="1">
                  <c:v>8.01948419384845</c:v>
                </c:pt>
                <c:pt idx="2">
                  <c:v>13.43583037011988</c:v>
                </c:pt>
                <c:pt idx="3">
                  <c:v>17.78549351938387</c:v>
                </c:pt>
                <c:pt idx="4">
                  <c:v>20.85361946558946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CO2_Summary!$B$14:$G$14</c:f>
              <c:numCache>
                <c:formatCode>0.0</c:formatCode>
                <c:ptCount val="6"/>
                <c:pt idx="0">
                  <c:v>3.063838853388714</c:v>
                </c:pt>
                <c:pt idx="1">
                  <c:v>8.245937775551963</c:v>
                </c:pt>
                <c:pt idx="2">
                  <c:v>13.09373811689537</c:v>
                </c:pt>
                <c:pt idx="3">
                  <c:v>18.91371925817441</c:v>
                </c:pt>
                <c:pt idx="4">
                  <c:v>15.21154674012911</c:v>
                </c:pt>
              </c:numCache>
            </c:numRef>
          </c:yVal>
          <c:smooth val="0"/>
        </c:ser>
        <c:ser>
          <c:idx val="12"/>
          <c:order val="1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CO2_Summary!$B$15:$D$15</c:f>
              <c:numCache>
                <c:formatCode>0.0</c:formatCode>
                <c:ptCount val="3"/>
                <c:pt idx="0">
                  <c:v>26.85719628954603</c:v>
                </c:pt>
                <c:pt idx="1">
                  <c:v>68.28138864779163</c:v>
                </c:pt>
              </c:numCache>
            </c:numRef>
          </c:yVal>
          <c:smooth val="0"/>
        </c:ser>
        <c:ser>
          <c:idx val="13"/>
          <c:order val="13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CO2_Summary!$B$16:$G$16</c:f>
              <c:numCache>
                <c:formatCode>0.0</c:formatCode>
                <c:ptCount val="6"/>
                <c:pt idx="0">
                  <c:v>1.764211121428186</c:v>
                </c:pt>
                <c:pt idx="1">
                  <c:v>5.73919187579454</c:v>
                </c:pt>
                <c:pt idx="2">
                  <c:v>12.79401891977403</c:v>
                </c:pt>
                <c:pt idx="3">
                  <c:v>21.72127094613278</c:v>
                </c:pt>
                <c:pt idx="4">
                  <c:v>26.32379852622483</c:v>
                </c:pt>
              </c:numCache>
            </c:numRef>
          </c:yVal>
          <c:smooth val="0"/>
        </c:ser>
        <c:ser>
          <c:idx val="14"/>
          <c:order val="14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CO2_Summary!$B$17:$D$17</c:f>
              <c:numCache>
                <c:formatCode>0.0</c:formatCode>
                <c:ptCount val="3"/>
                <c:pt idx="0">
                  <c:v>3.978315469861359</c:v>
                </c:pt>
                <c:pt idx="1">
                  <c:v>43.66639217751296</c:v>
                </c:pt>
              </c:numCache>
            </c:numRef>
          </c:yVal>
          <c:smooth val="0"/>
        </c:ser>
        <c:ser>
          <c:idx val="15"/>
          <c:order val="15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CO2_Summary!$B$18:$D$18</c:f>
              <c:numCache>
                <c:formatCode>0.0</c:formatCode>
                <c:ptCount val="3"/>
                <c:pt idx="0">
                  <c:v>10.53660860037684</c:v>
                </c:pt>
                <c:pt idx="1">
                  <c:v>61.66354683392344</c:v>
                </c:pt>
              </c:numCache>
            </c:numRef>
          </c:yVal>
          <c:smooth val="0"/>
        </c:ser>
        <c:ser>
          <c:idx val="16"/>
          <c:order val="1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CO2_Summary!$B$19:$D$19</c:f>
              <c:numCache>
                <c:formatCode>0.0</c:formatCode>
                <c:ptCount val="3"/>
                <c:pt idx="0">
                  <c:v>2.699716179420121</c:v>
                </c:pt>
                <c:pt idx="1">
                  <c:v>13.40290930245901</c:v>
                </c:pt>
                <c:pt idx="2">
                  <c:v>70.77631948971</c:v>
                </c:pt>
              </c:numCache>
            </c:numRef>
          </c:yVal>
          <c:smooth val="0"/>
        </c:ser>
        <c:ser>
          <c:idx val="17"/>
          <c:order val="1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CO2_Summary!$B$20:$D$20</c:f>
              <c:numCache>
                <c:formatCode>0.0</c:formatCode>
                <c:ptCount val="3"/>
                <c:pt idx="0">
                  <c:v>3.24004196526535</c:v>
                </c:pt>
                <c:pt idx="1">
                  <c:v>49.73574448889232</c:v>
                </c:pt>
              </c:numCache>
            </c:numRef>
          </c:yVal>
          <c:smooth val="0"/>
        </c:ser>
        <c:ser>
          <c:idx val="18"/>
          <c:order val="1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CO2_Summary!$B$21:$D$21</c:f>
              <c:numCache>
                <c:formatCode>0.0</c:formatCode>
                <c:ptCount val="3"/>
                <c:pt idx="0">
                  <c:v>2.593820422777135</c:v>
                </c:pt>
                <c:pt idx="1">
                  <c:v>21.39410856524993</c:v>
                </c:pt>
              </c:numCache>
            </c:numRef>
          </c:yVal>
          <c:smooth val="0"/>
        </c:ser>
        <c:ser>
          <c:idx val="19"/>
          <c:order val="19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CO2_Summary!$B$22:$D$22</c:f>
              <c:numCache>
                <c:formatCode>0.0</c:formatCode>
                <c:ptCount val="3"/>
                <c:pt idx="0">
                  <c:v>7.918660107236526</c:v>
                </c:pt>
                <c:pt idx="1">
                  <c:v>61.83128184634215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999640"/>
        <c:axId val="-2017002600"/>
      </c:scatterChart>
      <c:valAx>
        <c:axId val="-2016999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-2017002600"/>
        <c:crosses val="autoZero"/>
        <c:crossBetween val="midCat"/>
      </c:valAx>
      <c:valAx>
        <c:axId val="-2017002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1699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'30.07.18'!$E$3:$E$13</c:f>
              <c:numCache>
                <c:formatCode>0.00</c:formatCode>
                <c:ptCount val="11"/>
                <c:pt idx="0">
                  <c:v>351.74</c:v>
                </c:pt>
                <c:pt idx="1">
                  <c:v>339.64</c:v>
                </c:pt>
                <c:pt idx="2">
                  <c:v>304.23</c:v>
                </c:pt>
                <c:pt idx="3">
                  <c:v>260.99</c:v>
                </c:pt>
                <c:pt idx="4">
                  <c:v>233.14</c:v>
                </c:pt>
                <c:pt idx="5">
                  <c:v>189.03</c:v>
                </c:pt>
                <c:pt idx="6">
                  <c:v>169.18</c:v>
                </c:pt>
                <c:pt idx="7">
                  <c:v>115.08</c:v>
                </c:pt>
                <c:pt idx="8">
                  <c:v>92.905</c:v>
                </c:pt>
                <c:pt idx="9" formatCode="General">
                  <c:v>35.519</c:v>
                </c:pt>
                <c:pt idx="10" formatCode="General">
                  <c:v>20.357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691560"/>
        <c:axId val="-2047686104"/>
      </c:scatterChart>
      <c:valAx>
        <c:axId val="-204769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686104"/>
        <c:crosses val="autoZero"/>
        <c:crossBetween val="midCat"/>
      </c:valAx>
      <c:valAx>
        <c:axId val="-204768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69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'02.08.18'!$D$3:$D$13</c:f>
              <c:numCache>
                <c:formatCode>0.00</c:formatCode>
                <c:ptCount val="11"/>
                <c:pt idx="0">
                  <c:v>1672.3</c:v>
                </c:pt>
                <c:pt idx="1">
                  <c:v>1481.7</c:v>
                </c:pt>
                <c:pt idx="2">
                  <c:v>1344.4</c:v>
                </c:pt>
                <c:pt idx="3">
                  <c:v>1165.4</c:v>
                </c:pt>
                <c:pt idx="4">
                  <c:v>1041.8</c:v>
                </c:pt>
                <c:pt idx="5">
                  <c:v>851.8</c:v>
                </c:pt>
                <c:pt idx="6">
                  <c:v>684.38</c:v>
                </c:pt>
                <c:pt idx="7">
                  <c:v>508.03</c:v>
                </c:pt>
                <c:pt idx="8">
                  <c:v>372.35</c:v>
                </c:pt>
                <c:pt idx="9" formatCode="General">
                  <c:v>134.65</c:v>
                </c:pt>
                <c:pt idx="10" formatCode="General">
                  <c:v>70.087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637736"/>
        <c:axId val="-2047632296"/>
      </c:scatterChart>
      <c:valAx>
        <c:axId val="-204763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632296"/>
        <c:crosses val="autoZero"/>
        <c:crossBetween val="midCat"/>
      </c:valAx>
      <c:valAx>
        <c:axId val="-204763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63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'02.08.18'!$E$3:$E$13</c:f>
              <c:numCache>
                <c:formatCode>0.00</c:formatCode>
                <c:ptCount val="11"/>
                <c:pt idx="0">
                  <c:v>413.59</c:v>
                </c:pt>
                <c:pt idx="1">
                  <c:v>344.46</c:v>
                </c:pt>
                <c:pt idx="2">
                  <c:v>321.94</c:v>
                </c:pt>
                <c:pt idx="3">
                  <c:v>279.78</c:v>
                </c:pt>
                <c:pt idx="4">
                  <c:v>245.98</c:v>
                </c:pt>
                <c:pt idx="5">
                  <c:v>220.69</c:v>
                </c:pt>
                <c:pt idx="6">
                  <c:v>177.23</c:v>
                </c:pt>
                <c:pt idx="7">
                  <c:v>126.78</c:v>
                </c:pt>
                <c:pt idx="8">
                  <c:v>98.191</c:v>
                </c:pt>
                <c:pt idx="9" formatCode="General">
                  <c:v>38.578</c:v>
                </c:pt>
                <c:pt idx="10" formatCode="General">
                  <c:v>22.059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599960"/>
        <c:axId val="-2047261192"/>
      </c:scatterChart>
      <c:valAx>
        <c:axId val="-204759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261192"/>
        <c:crosses val="autoZero"/>
        <c:crossBetween val="midCat"/>
      </c:valAx>
      <c:valAx>
        <c:axId val="-204726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59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'06.08.18'!$D$3:$D$13</c:f>
              <c:numCache>
                <c:formatCode>0.00</c:formatCode>
                <c:ptCount val="11"/>
                <c:pt idx="0">
                  <c:v>1675.0</c:v>
                </c:pt>
                <c:pt idx="1">
                  <c:v>1490.1</c:v>
                </c:pt>
                <c:pt idx="2">
                  <c:v>1368.8</c:v>
                </c:pt>
                <c:pt idx="3">
                  <c:v>1184.8</c:v>
                </c:pt>
                <c:pt idx="4">
                  <c:v>1053.4</c:v>
                </c:pt>
                <c:pt idx="5">
                  <c:v>859.8099999999999</c:v>
                </c:pt>
                <c:pt idx="6">
                  <c:v>714.4</c:v>
                </c:pt>
                <c:pt idx="7">
                  <c:v>516.16</c:v>
                </c:pt>
                <c:pt idx="8">
                  <c:v>348.2</c:v>
                </c:pt>
                <c:pt idx="9" formatCode="General">
                  <c:v>150.68</c:v>
                </c:pt>
                <c:pt idx="10" formatCode="General">
                  <c:v>69.012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91688"/>
        <c:axId val="-2047387912"/>
      </c:scatterChart>
      <c:valAx>
        <c:axId val="-205999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387912"/>
        <c:crosses val="autoZero"/>
        <c:crossBetween val="midCat"/>
      </c:valAx>
      <c:valAx>
        <c:axId val="-204738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5999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'06.08.18'!$E$3:$E$13</c:f>
              <c:numCache>
                <c:formatCode>0.00</c:formatCode>
                <c:ptCount val="11"/>
                <c:pt idx="0">
                  <c:v>391.51</c:v>
                </c:pt>
                <c:pt idx="1">
                  <c:v>362.39</c:v>
                </c:pt>
                <c:pt idx="2">
                  <c:v>322.7</c:v>
                </c:pt>
                <c:pt idx="3">
                  <c:v>283.6</c:v>
                </c:pt>
                <c:pt idx="4">
                  <c:v>256.16</c:v>
                </c:pt>
                <c:pt idx="5">
                  <c:v>205.34</c:v>
                </c:pt>
                <c:pt idx="6">
                  <c:v>171.24</c:v>
                </c:pt>
                <c:pt idx="7">
                  <c:v>132.07</c:v>
                </c:pt>
                <c:pt idx="8">
                  <c:v>94.94</c:v>
                </c:pt>
                <c:pt idx="9" formatCode="General">
                  <c:v>41.268</c:v>
                </c:pt>
                <c:pt idx="10" formatCode="General">
                  <c:v>22.614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88280"/>
        <c:axId val="-2059420584"/>
      </c:scatterChart>
      <c:valAx>
        <c:axId val="-206018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59420584"/>
        <c:crosses val="autoZero"/>
        <c:crossBetween val="midCat"/>
      </c:valAx>
      <c:valAx>
        <c:axId val="-205942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188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'09.08.18'!$D$3:$D$13</c:f>
              <c:numCache>
                <c:formatCode>0.00</c:formatCode>
                <c:ptCount val="11"/>
                <c:pt idx="0">
                  <c:v>1569.2</c:v>
                </c:pt>
                <c:pt idx="1">
                  <c:v>1333.4</c:v>
                </c:pt>
                <c:pt idx="2">
                  <c:v>1271.8</c:v>
                </c:pt>
                <c:pt idx="3">
                  <c:v>1014.8</c:v>
                </c:pt>
                <c:pt idx="4">
                  <c:v>915.91</c:v>
                </c:pt>
                <c:pt idx="5">
                  <c:v>772.39</c:v>
                </c:pt>
                <c:pt idx="6">
                  <c:v>651.5</c:v>
                </c:pt>
                <c:pt idx="7">
                  <c:v>417.83</c:v>
                </c:pt>
                <c:pt idx="8">
                  <c:v>231.67</c:v>
                </c:pt>
                <c:pt idx="9" formatCode="General">
                  <c:v>121.09</c:v>
                </c:pt>
                <c:pt idx="10" formatCode="General">
                  <c:v>62.399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777976"/>
        <c:axId val="-2047867416"/>
      </c:scatterChart>
      <c:valAx>
        <c:axId val="-204777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867416"/>
        <c:crosses val="autoZero"/>
        <c:crossBetween val="midCat"/>
      </c:valAx>
      <c:valAx>
        <c:axId val="-204786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777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'09.08.18'!$E$3:$E$13</c:f>
              <c:numCache>
                <c:formatCode>0.00</c:formatCode>
                <c:ptCount val="11"/>
                <c:pt idx="0">
                  <c:v>398.84</c:v>
                </c:pt>
                <c:pt idx="1">
                  <c:v>366.67</c:v>
                </c:pt>
                <c:pt idx="2">
                  <c:v>322.6</c:v>
                </c:pt>
                <c:pt idx="3">
                  <c:v>258.01</c:v>
                </c:pt>
                <c:pt idx="4">
                  <c:v>237.86</c:v>
                </c:pt>
                <c:pt idx="5">
                  <c:v>210.75</c:v>
                </c:pt>
                <c:pt idx="6">
                  <c:v>174.86</c:v>
                </c:pt>
                <c:pt idx="7">
                  <c:v>111.19</c:v>
                </c:pt>
                <c:pt idx="8">
                  <c:v>64.687</c:v>
                </c:pt>
                <c:pt idx="9" formatCode="General">
                  <c:v>34.875</c:v>
                </c:pt>
                <c:pt idx="10" formatCode="General">
                  <c:v>20.647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42872"/>
        <c:axId val="-2047335416"/>
      </c:scatterChart>
      <c:valAx>
        <c:axId val="-204734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335416"/>
        <c:crosses val="autoZero"/>
        <c:crossBetween val="midCat"/>
      </c:valAx>
      <c:valAx>
        <c:axId val="-204733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342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'13.08.18'!$D$3:$D$13</c:f>
              <c:numCache>
                <c:formatCode>0.00</c:formatCode>
                <c:ptCount val="11"/>
                <c:pt idx="0">
                  <c:v>1622.1</c:v>
                </c:pt>
                <c:pt idx="1">
                  <c:v>1448.6</c:v>
                </c:pt>
                <c:pt idx="2">
                  <c:v>1335.6</c:v>
                </c:pt>
                <c:pt idx="3">
                  <c:v>1134.4</c:v>
                </c:pt>
                <c:pt idx="4">
                  <c:v>1009.3</c:v>
                </c:pt>
                <c:pt idx="5">
                  <c:v>834.29</c:v>
                </c:pt>
                <c:pt idx="6">
                  <c:v>706.75</c:v>
                </c:pt>
                <c:pt idx="7">
                  <c:v>507.72</c:v>
                </c:pt>
                <c:pt idx="8">
                  <c:v>347.75</c:v>
                </c:pt>
                <c:pt idx="9" formatCode="General">
                  <c:v>129.61</c:v>
                </c:pt>
                <c:pt idx="10" formatCode="General">
                  <c:v>60.763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859560"/>
        <c:axId val="-2047161096"/>
      </c:scatterChart>
      <c:valAx>
        <c:axId val="-204685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7161096"/>
        <c:crosses val="autoZero"/>
        <c:crossBetween val="midCat"/>
      </c:valAx>
      <c:valAx>
        <c:axId val="-20471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6859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123824</xdr:rowOff>
    </xdr:from>
    <xdr:to>
      <xdr:col>24</xdr:col>
      <xdr:colOff>400050</xdr:colOff>
      <xdr:row>27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H23" sqref="H23"/>
    </sheetView>
  </sheetViews>
  <sheetFormatPr baseColWidth="10" defaultRowHeight="14" x14ac:dyDescent="0"/>
  <cols>
    <col min="2" max="2" width="14.5" bestFit="1" customWidth="1"/>
    <col min="3" max="3" width="12.5" bestFit="1" customWidth="1"/>
    <col min="4" max="4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>
        <v>5</v>
      </c>
      <c r="F2">
        <v>20</v>
      </c>
      <c r="G2" t="s">
        <v>10</v>
      </c>
    </row>
    <row r="3" spans="1:7">
      <c r="A3">
        <v>2</v>
      </c>
      <c r="B3" t="s">
        <v>7</v>
      </c>
      <c r="C3" t="s">
        <v>8</v>
      </c>
      <c r="D3" t="s">
        <v>11</v>
      </c>
      <c r="E3">
        <v>5</v>
      </c>
      <c r="F3">
        <v>20</v>
      </c>
      <c r="G3" t="s">
        <v>10</v>
      </c>
    </row>
    <row r="4" spans="1:7">
      <c r="A4">
        <v>3</v>
      </c>
      <c r="B4" t="s">
        <v>7</v>
      </c>
      <c r="C4" t="s">
        <v>8</v>
      </c>
      <c r="D4" t="s">
        <v>12</v>
      </c>
      <c r="E4">
        <v>5</v>
      </c>
      <c r="F4">
        <v>20</v>
      </c>
      <c r="G4" t="s">
        <v>10</v>
      </c>
    </row>
    <row r="5" spans="1:7">
      <c r="A5">
        <v>4</v>
      </c>
      <c r="B5" t="s">
        <v>7</v>
      </c>
      <c r="C5" t="s">
        <v>8</v>
      </c>
      <c r="D5" t="s">
        <v>13</v>
      </c>
      <c r="E5">
        <v>55</v>
      </c>
      <c r="F5">
        <v>70</v>
      </c>
      <c r="G5" t="s">
        <v>10</v>
      </c>
    </row>
    <row r="6" spans="1:7">
      <c r="A6">
        <v>5</v>
      </c>
      <c r="B6" t="s">
        <v>7</v>
      </c>
      <c r="C6" t="s">
        <v>8</v>
      </c>
      <c r="D6" t="s">
        <v>14</v>
      </c>
      <c r="E6">
        <v>55</v>
      </c>
      <c r="F6">
        <v>70</v>
      </c>
      <c r="G6" t="s">
        <v>10</v>
      </c>
    </row>
    <row r="7" spans="1:7">
      <c r="A7">
        <v>6</v>
      </c>
      <c r="B7" t="s">
        <v>7</v>
      </c>
      <c r="C7" t="s">
        <v>8</v>
      </c>
      <c r="D7" t="s">
        <v>15</v>
      </c>
      <c r="E7">
        <v>55</v>
      </c>
      <c r="F7">
        <v>70</v>
      </c>
      <c r="G7" t="s">
        <v>10</v>
      </c>
    </row>
    <row r="8" spans="1:7">
      <c r="A8">
        <v>7</v>
      </c>
      <c r="B8" t="s">
        <v>7</v>
      </c>
      <c r="C8" t="s">
        <v>8</v>
      </c>
      <c r="D8" t="s">
        <v>16</v>
      </c>
      <c r="E8">
        <v>5</v>
      </c>
      <c r="F8">
        <v>20</v>
      </c>
      <c r="G8" t="s">
        <v>10</v>
      </c>
    </row>
    <row r="9" spans="1:7">
      <c r="A9">
        <v>8</v>
      </c>
      <c r="B9" t="s">
        <v>7</v>
      </c>
      <c r="C9" t="s">
        <v>8</v>
      </c>
      <c r="D9" t="s">
        <v>17</v>
      </c>
      <c r="E9">
        <v>5</v>
      </c>
      <c r="F9">
        <v>20</v>
      </c>
      <c r="G9" t="s">
        <v>10</v>
      </c>
    </row>
    <row r="10" spans="1:7">
      <c r="A10">
        <v>9</v>
      </c>
      <c r="B10" t="s">
        <v>7</v>
      </c>
      <c r="C10" t="s">
        <v>8</v>
      </c>
      <c r="D10" t="s">
        <v>18</v>
      </c>
      <c r="E10">
        <v>5</v>
      </c>
      <c r="F10">
        <v>20</v>
      </c>
      <c r="G10" t="s">
        <v>10</v>
      </c>
    </row>
    <row r="11" spans="1:7">
      <c r="A11">
        <v>10</v>
      </c>
      <c r="B11" t="s">
        <v>7</v>
      </c>
      <c r="C11" t="s">
        <v>8</v>
      </c>
      <c r="D11" t="s">
        <v>19</v>
      </c>
      <c r="E11">
        <v>40</v>
      </c>
      <c r="F11">
        <v>60</v>
      </c>
      <c r="G11" t="s">
        <v>10</v>
      </c>
    </row>
    <row r="12" spans="1:7">
      <c r="A12">
        <v>11</v>
      </c>
      <c r="B12" t="s">
        <v>7</v>
      </c>
      <c r="C12" t="s">
        <v>8</v>
      </c>
      <c r="D12" t="s">
        <v>20</v>
      </c>
      <c r="E12">
        <v>40</v>
      </c>
      <c r="F12">
        <v>60</v>
      </c>
      <c r="G12" t="s">
        <v>10</v>
      </c>
    </row>
    <row r="13" spans="1:7">
      <c r="A13">
        <v>12</v>
      </c>
      <c r="B13" t="s">
        <v>7</v>
      </c>
      <c r="C13" t="s">
        <v>8</v>
      </c>
      <c r="D13" t="s">
        <v>21</v>
      </c>
      <c r="E13">
        <v>40</v>
      </c>
      <c r="F13">
        <v>60</v>
      </c>
      <c r="G13" t="s">
        <v>10</v>
      </c>
    </row>
    <row r="14" spans="1:7">
      <c r="A14">
        <v>13</v>
      </c>
      <c r="B14" t="s">
        <v>7</v>
      </c>
      <c r="C14" t="s">
        <v>8</v>
      </c>
      <c r="D14" t="s">
        <v>22</v>
      </c>
      <c r="E14">
        <v>0</v>
      </c>
      <c r="F14">
        <v>5</v>
      </c>
      <c r="G14" t="s">
        <v>10</v>
      </c>
    </row>
    <row r="15" spans="1:7">
      <c r="A15">
        <v>14</v>
      </c>
      <c r="B15" t="s">
        <v>7</v>
      </c>
      <c r="C15" t="s">
        <v>8</v>
      </c>
      <c r="D15" t="s">
        <v>23</v>
      </c>
      <c r="E15">
        <v>5</v>
      </c>
      <c r="F15">
        <v>15</v>
      </c>
      <c r="G15" t="s">
        <v>10</v>
      </c>
    </row>
    <row r="16" spans="1:7">
      <c r="A16">
        <v>15</v>
      </c>
      <c r="B16" t="s">
        <v>7</v>
      </c>
      <c r="C16" t="s">
        <v>8</v>
      </c>
      <c r="D16" t="s">
        <v>24</v>
      </c>
      <c r="E16">
        <v>0</v>
      </c>
      <c r="F16">
        <v>5</v>
      </c>
      <c r="G16" t="s">
        <v>10</v>
      </c>
    </row>
    <row r="17" spans="1:7">
      <c r="A17">
        <v>16</v>
      </c>
      <c r="B17" t="s">
        <v>7</v>
      </c>
      <c r="C17" t="s">
        <v>8</v>
      </c>
      <c r="D17" t="s">
        <v>25</v>
      </c>
      <c r="E17">
        <v>0</v>
      </c>
      <c r="F17">
        <v>5</v>
      </c>
      <c r="G17" t="s">
        <v>10</v>
      </c>
    </row>
    <row r="18" spans="1:7">
      <c r="A18">
        <v>17</v>
      </c>
      <c r="B18" t="s">
        <v>7</v>
      </c>
      <c r="C18" t="s">
        <v>8</v>
      </c>
      <c r="D18" t="s">
        <v>26</v>
      </c>
      <c r="E18">
        <v>0</v>
      </c>
      <c r="F18">
        <v>5</v>
      </c>
      <c r="G18" t="s">
        <v>10</v>
      </c>
    </row>
    <row r="19" spans="1:7">
      <c r="A19">
        <v>18</v>
      </c>
      <c r="B19" t="s">
        <v>7</v>
      </c>
      <c r="C19" t="s">
        <v>8</v>
      </c>
      <c r="D19" t="s">
        <v>27</v>
      </c>
      <c r="E19">
        <v>0</v>
      </c>
      <c r="F19">
        <v>5</v>
      </c>
      <c r="G19" t="s">
        <v>10</v>
      </c>
    </row>
    <row r="20" spans="1:7">
      <c r="A20">
        <v>19</v>
      </c>
      <c r="B20" t="s">
        <v>7</v>
      </c>
      <c r="C20" t="s">
        <v>8</v>
      </c>
      <c r="D20" t="s">
        <v>28</v>
      </c>
      <c r="E20">
        <v>0</v>
      </c>
      <c r="F20">
        <v>5</v>
      </c>
      <c r="G20" t="s">
        <v>10</v>
      </c>
    </row>
    <row r="21" spans="1:7">
      <c r="A21">
        <v>20</v>
      </c>
      <c r="B21" t="s">
        <v>7</v>
      </c>
      <c r="C21" t="s">
        <v>8</v>
      </c>
      <c r="D21" t="s">
        <v>29</v>
      </c>
      <c r="E21">
        <v>0</v>
      </c>
      <c r="F21">
        <v>5</v>
      </c>
      <c r="G21" t="s">
        <v>10</v>
      </c>
    </row>
    <row r="22" spans="1:7">
      <c r="A22">
        <v>21</v>
      </c>
      <c r="B22" t="s">
        <v>7</v>
      </c>
      <c r="C22" t="s">
        <v>8</v>
      </c>
      <c r="D22" t="s">
        <v>30</v>
      </c>
      <c r="E22">
        <v>0</v>
      </c>
      <c r="F22">
        <v>5</v>
      </c>
      <c r="G22" t="s">
        <v>10</v>
      </c>
    </row>
    <row r="23" spans="1:7">
      <c r="A23">
        <v>22</v>
      </c>
      <c r="B23" t="s">
        <v>7</v>
      </c>
      <c r="C23" t="s">
        <v>8</v>
      </c>
      <c r="D23" t="s">
        <v>31</v>
      </c>
      <c r="E23">
        <v>0</v>
      </c>
      <c r="F23">
        <v>5</v>
      </c>
      <c r="G23" t="s">
        <v>10</v>
      </c>
    </row>
    <row r="24" spans="1:7">
      <c r="A24">
        <v>23</v>
      </c>
      <c r="B24" t="s">
        <v>7</v>
      </c>
      <c r="C24" t="s">
        <v>8</v>
      </c>
      <c r="D24" t="s">
        <v>32</v>
      </c>
      <c r="E24">
        <v>0</v>
      </c>
      <c r="F24">
        <v>5</v>
      </c>
      <c r="G24" t="s">
        <v>10</v>
      </c>
    </row>
    <row r="25" spans="1:7">
      <c r="A25">
        <v>24</v>
      </c>
      <c r="B25" t="s">
        <v>7</v>
      </c>
      <c r="C25" t="s">
        <v>8</v>
      </c>
      <c r="D25" t="s">
        <v>33</v>
      </c>
      <c r="E25">
        <v>0</v>
      </c>
      <c r="F25">
        <v>5</v>
      </c>
      <c r="G25" t="s">
        <v>10</v>
      </c>
    </row>
    <row r="26" spans="1:7">
      <c r="A26">
        <v>25</v>
      </c>
      <c r="B26" t="s">
        <v>7</v>
      </c>
      <c r="C26" t="s">
        <v>8</v>
      </c>
      <c r="D26" t="s">
        <v>34</v>
      </c>
      <c r="E26">
        <v>0</v>
      </c>
      <c r="F26">
        <v>5</v>
      </c>
      <c r="G26" t="s">
        <v>10</v>
      </c>
    </row>
    <row r="27" spans="1:7">
      <c r="A27">
        <v>26</v>
      </c>
      <c r="B27" t="s">
        <v>7</v>
      </c>
      <c r="C27" t="s">
        <v>8</v>
      </c>
      <c r="D27" t="s">
        <v>35</v>
      </c>
      <c r="E27">
        <v>0</v>
      </c>
      <c r="F27">
        <v>5</v>
      </c>
      <c r="G27" t="s">
        <v>10</v>
      </c>
    </row>
    <row r="28" spans="1:7">
      <c r="A28">
        <v>27</v>
      </c>
      <c r="B28" t="s">
        <v>7</v>
      </c>
      <c r="C28" t="s">
        <v>8</v>
      </c>
      <c r="D28" t="s">
        <v>36</v>
      </c>
      <c r="E28">
        <v>0</v>
      </c>
      <c r="F28">
        <v>10</v>
      </c>
      <c r="G28" t="s">
        <v>10</v>
      </c>
    </row>
    <row r="29" spans="1:7">
      <c r="A29">
        <v>28</v>
      </c>
      <c r="B29" t="s">
        <v>7</v>
      </c>
      <c r="C29" t="s">
        <v>8</v>
      </c>
      <c r="D29" t="s">
        <v>37</v>
      </c>
      <c r="E29">
        <v>0</v>
      </c>
      <c r="F29">
        <v>10</v>
      </c>
      <c r="G29" t="s">
        <v>10</v>
      </c>
    </row>
    <row r="30" spans="1:7">
      <c r="A30">
        <v>29</v>
      </c>
      <c r="B30" t="s">
        <v>7</v>
      </c>
      <c r="C30" t="s">
        <v>8</v>
      </c>
      <c r="D30" t="s">
        <v>38</v>
      </c>
      <c r="E30">
        <v>0</v>
      </c>
      <c r="F30">
        <v>10</v>
      </c>
      <c r="G30" t="s">
        <v>10</v>
      </c>
    </row>
    <row r="31" spans="1:7">
      <c r="A31">
        <v>30</v>
      </c>
      <c r="B31" t="s">
        <v>7</v>
      </c>
      <c r="C31" t="s">
        <v>8</v>
      </c>
      <c r="D31" t="s">
        <v>39</v>
      </c>
      <c r="E31">
        <v>0</v>
      </c>
      <c r="F31">
        <v>10</v>
      </c>
      <c r="G31" t="s">
        <v>10</v>
      </c>
    </row>
    <row r="32" spans="1:7">
      <c r="A32">
        <v>31</v>
      </c>
      <c r="B32" t="s">
        <v>7</v>
      </c>
      <c r="C32" t="s">
        <v>8</v>
      </c>
      <c r="D32" t="s">
        <v>40</v>
      </c>
      <c r="E32">
        <v>0</v>
      </c>
      <c r="F32">
        <v>10</v>
      </c>
      <c r="G32" t="s">
        <v>10</v>
      </c>
    </row>
    <row r="33" spans="1:7">
      <c r="A33">
        <v>32</v>
      </c>
      <c r="B33" t="s">
        <v>7</v>
      </c>
      <c r="C33" t="s">
        <v>8</v>
      </c>
      <c r="D33" t="s">
        <v>41</v>
      </c>
      <c r="E33">
        <v>0</v>
      </c>
      <c r="F33">
        <v>10</v>
      </c>
      <c r="G33" t="s">
        <v>10</v>
      </c>
    </row>
    <row r="34" spans="1:7">
      <c r="A34">
        <v>33</v>
      </c>
      <c r="B34" t="s">
        <v>7</v>
      </c>
      <c r="C34" t="s">
        <v>8</v>
      </c>
      <c r="D34" t="s">
        <v>42</v>
      </c>
      <c r="E34">
        <v>0</v>
      </c>
      <c r="F34">
        <v>10</v>
      </c>
      <c r="G34" t="s">
        <v>10</v>
      </c>
    </row>
    <row r="35" spans="1:7">
      <c r="A35">
        <v>34</v>
      </c>
      <c r="B35" t="s">
        <v>7</v>
      </c>
      <c r="C35" t="s">
        <v>8</v>
      </c>
      <c r="D35" t="s">
        <v>43</v>
      </c>
      <c r="E35">
        <v>0</v>
      </c>
      <c r="F35">
        <v>10</v>
      </c>
      <c r="G35" t="s">
        <v>10</v>
      </c>
    </row>
    <row r="36" spans="1:7">
      <c r="A36">
        <v>35</v>
      </c>
      <c r="B36" t="s">
        <v>7</v>
      </c>
      <c r="C36" t="s">
        <v>8</v>
      </c>
      <c r="D36" t="s">
        <v>44</v>
      </c>
      <c r="E36">
        <v>0</v>
      </c>
      <c r="F36">
        <v>10</v>
      </c>
      <c r="G36" t="s">
        <v>10</v>
      </c>
    </row>
    <row r="37" spans="1:7">
      <c r="A37">
        <v>36</v>
      </c>
      <c r="B37" t="s">
        <v>7</v>
      </c>
      <c r="C37" t="s">
        <v>8</v>
      </c>
      <c r="D37" t="s">
        <v>45</v>
      </c>
      <c r="E37">
        <v>0</v>
      </c>
      <c r="F37">
        <v>10</v>
      </c>
      <c r="G37" t="s">
        <v>10</v>
      </c>
    </row>
    <row r="38" spans="1:7">
      <c r="A38">
        <v>37</v>
      </c>
      <c r="B38" t="s">
        <v>7</v>
      </c>
      <c r="C38" t="s">
        <v>8</v>
      </c>
      <c r="D38" t="s">
        <v>46</v>
      </c>
      <c r="E38">
        <v>0</v>
      </c>
      <c r="F38">
        <v>10</v>
      </c>
      <c r="G38" t="s">
        <v>10</v>
      </c>
    </row>
    <row r="39" spans="1:7">
      <c r="A39">
        <v>38</v>
      </c>
      <c r="B39" t="s">
        <v>7</v>
      </c>
      <c r="C39" t="s">
        <v>8</v>
      </c>
      <c r="D39" t="s">
        <v>47</v>
      </c>
      <c r="E39">
        <v>0</v>
      </c>
      <c r="F39">
        <v>10</v>
      </c>
      <c r="G39" t="s">
        <v>10</v>
      </c>
    </row>
    <row r="40" spans="1:7">
      <c r="A40">
        <v>39</v>
      </c>
      <c r="B40" t="s">
        <v>7</v>
      </c>
      <c r="C40" t="s">
        <v>8</v>
      </c>
      <c r="D40" t="s">
        <v>48</v>
      </c>
      <c r="E40">
        <v>0</v>
      </c>
      <c r="F40">
        <v>10</v>
      </c>
      <c r="G40" t="s">
        <v>10</v>
      </c>
    </row>
    <row r="41" spans="1:7">
      <c r="A41">
        <v>40</v>
      </c>
      <c r="B41" t="s">
        <v>7</v>
      </c>
      <c r="C41" t="s">
        <v>8</v>
      </c>
      <c r="D41" t="s">
        <v>49</v>
      </c>
      <c r="E41">
        <v>0</v>
      </c>
      <c r="F41">
        <v>10</v>
      </c>
      <c r="G41" t="s">
        <v>10</v>
      </c>
    </row>
    <row r="42" spans="1:7">
      <c r="A42">
        <v>41</v>
      </c>
      <c r="B42" t="s">
        <v>7</v>
      </c>
      <c r="C42" t="s">
        <v>8</v>
      </c>
      <c r="D42" t="s">
        <v>50</v>
      </c>
      <c r="E42">
        <v>0</v>
      </c>
      <c r="F42">
        <v>10</v>
      </c>
      <c r="G42" t="s">
        <v>10</v>
      </c>
    </row>
    <row r="43" spans="1:7">
      <c r="A43">
        <v>42</v>
      </c>
      <c r="B43" t="s">
        <v>7</v>
      </c>
      <c r="C43" t="s">
        <v>8</v>
      </c>
      <c r="D43" t="s">
        <v>51</v>
      </c>
      <c r="E43">
        <v>0</v>
      </c>
      <c r="F43">
        <v>10</v>
      </c>
      <c r="G43" t="s">
        <v>10</v>
      </c>
    </row>
    <row r="44" spans="1:7">
      <c r="A44">
        <v>43</v>
      </c>
      <c r="B44" t="s">
        <v>7</v>
      </c>
      <c r="C44" t="s">
        <v>8</v>
      </c>
      <c r="D44" t="s">
        <v>52</v>
      </c>
      <c r="E44">
        <v>0</v>
      </c>
      <c r="F44">
        <v>10</v>
      </c>
      <c r="G44" t="s">
        <v>10</v>
      </c>
    </row>
    <row r="45" spans="1:7">
      <c r="A45">
        <v>44</v>
      </c>
      <c r="B45" t="s">
        <v>7</v>
      </c>
      <c r="C45" t="s">
        <v>8</v>
      </c>
      <c r="D45" t="s">
        <v>53</v>
      </c>
      <c r="E45">
        <v>0</v>
      </c>
      <c r="F45">
        <v>10</v>
      </c>
      <c r="G45" t="s">
        <v>10</v>
      </c>
    </row>
    <row r="46" spans="1:7">
      <c r="A46">
        <v>45</v>
      </c>
      <c r="B46" t="s">
        <v>7</v>
      </c>
      <c r="C46" t="s">
        <v>8</v>
      </c>
      <c r="D46" t="s">
        <v>54</v>
      </c>
      <c r="E46">
        <v>0</v>
      </c>
      <c r="F46">
        <v>10</v>
      </c>
      <c r="G46" t="s">
        <v>10</v>
      </c>
    </row>
    <row r="47" spans="1:7">
      <c r="A47">
        <v>46</v>
      </c>
      <c r="B47" t="s">
        <v>7</v>
      </c>
      <c r="C47" t="s">
        <v>8</v>
      </c>
      <c r="D47" t="s">
        <v>55</v>
      </c>
      <c r="E47">
        <v>0</v>
      </c>
      <c r="F47">
        <v>10</v>
      </c>
      <c r="G47" t="s">
        <v>10</v>
      </c>
    </row>
    <row r="48" spans="1:7">
      <c r="A48">
        <v>47</v>
      </c>
      <c r="B48" t="s">
        <v>7</v>
      </c>
      <c r="C48" t="s">
        <v>8</v>
      </c>
      <c r="D48" t="s">
        <v>56</v>
      </c>
      <c r="E48">
        <v>0</v>
      </c>
      <c r="F48">
        <v>10</v>
      </c>
      <c r="G48" t="s">
        <v>10</v>
      </c>
    </row>
    <row r="49" spans="1:7">
      <c r="A49">
        <v>48</v>
      </c>
      <c r="B49" t="s">
        <v>7</v>
      </c>
      <c r="C49" t="s">
        <v>8</v>
      </c>
      <c r="D49" t="s">
        <v>57</v>
      </c>
      <c r="E49">
        <v>0</v>
      </c>
      <c r="F49">
        <v>10</v>
      </c>
      <c r="G49" t="s">
        <v>10</v>
      </c>
    </row>
    <row r="50" spans="1:7">
      <c r="A50">
        <v>49</v>
      </c>
      <c r="B50" t="s">
        <v>7</v>
      </c>
      <c r="C50" t="s">
        <v>8</v>
      </c>
      <c r="D50" t="s">
        <v>58</v>
      </c>
      <c r="E50">
        <v>0</v>
      </c>
      <c r="F50">
        <v>10</v>
      </c>
      <c r="G50" t="s">
        <v>10</v>
      </c>
    </row>
    <row r="51" spans="1:7">
      <c r="A51">
        <v>50</v>
      </c>
      <c r="B51" t="s">
        <v>7</v>
      </c>
      <c r="C51" t="s">
        <v>8</v>
      </c>
      <c r="D51" t="s">
        <v>59</v>
      </c>
      <c r="E51">
        <v>0</v>
      </c>
      <c r="F51">
        <v>10</v>
      </c>
      <c r="G51" t="s">
        <v>10</v>
      </c>
    </row>
    <row r="52" spans="1:7">
      <c r="A52">
        <v>51</v>
      </c>
      <c r="B52" t="s">
        <v>7</v>
      </c>
      <c r="C52" t="s">
        <v>8</v>
      </c>
      <c r="D52" t="s">
        <v>60</v>
      </c>
      <c r="E52">
        <v>0</v>
      </c>
      <c r="F52">
        <v>10</v>
      </c>
      <c r="G52" t="s">
        <v>10</v>
      </c>
    </row>
    <row r="53" spans="1:7">
      <c r="A53">
        <v>52</v>
      </c>
      <c r="B53" t="s">
        <v>7</v>
      </c>
      <c r="C53" t="s">
        <v>8</v>
      </c>
      <c r="D53" t="s">
        <v>61</v>
      </c>
      <c r="E53">
        <v>0</v>
      </c>
      <c r="F53">
        <v>10</v>
      </c>
      <c r="G53" t="s">
        <v>10</v>
      </c>
    </row>
    <row r="54" spans="1:7">
      <c r="A54">
        <v>53</v>
      </c>
      <c r="B54" t="s">
        <v>7</v>
      </c>
      <c r="C54" t="s">
        <v>8</v>
      </c>
      <c r="D54" t="s">
        <v>62</v>
      </c>
      <c r="E54">
        <v>0</v>
      </c>
      <c r="F54">
        <v>10</v>
      </c>
      <c r="G54" t="s">
        <v>10</v>
      </c>
    </row>
    <row r="55" spans="1:7">
      <c r="A55">
        <v>54</v>
      </c>
      <c r="B55" t="s">
        <v>7</v>
      </c>
      <c r="C55" t="s">
        <v>8</v>
      </c>
      <c r="D55" t="s">
        <v>63</v>
      </c>
      <c r="E55">
        <v>0</v>
      </c>
      <c r="F55">
        <v>10</v>
      </c>
      <c r="G55" t="s">
        <v>10</v>
      </c>
    </row>
    <row r="56" spans="1:7">
      <c r="A56">
        <v>55</v>
      </c>
      <c r="B56" t="s">
        <v>7</v>
      </c>
      <c r="C56" t="s">
        <v>8</v>
      </c>
      <c r="D56" t="s">
        <v>64</v>
      </c>
      <c r="E56">
        <v>0</v>
      </c>
      <c r="F56">
        <v>10</v>
      </c>
      <c r="G56" t="s">
        <v>10</v>
      </c>
    </row>
    <row r="57" spans="1:7">
      <c r="A57">
        <v>56</v>
      </c>
      <c r="B57" t="s">
        <v>7</v>
      </c>
      <c r="C57" t="s">
        <v>8</v>
      </c>
      <c r="D57" t="s">
        <v>65</v>
      </c>
      <c r="E57">
        <v>0</v>
      </c>
      <c r="F57">
        <v>10</v>
      </c>
      <c r="G57" t="s">
        <v>10</v>
      </c>
    </row>
    <row r="58" spans="1:7">
      <c r="A58">
        <v>57</v>
      </c>
      <c r="B58" t="s">
        <v>7</v>
      </c>
      <c r="C58" t="s">
        <v>8</v>
      </c>
      <c r="D58" t="s">
        <v>66</v>
      </c>
      <c r="E58">
        <v>0</v>
      </c>
      <c r="F58">
        <v>10</v>
      </c>
      <c r="G58" t="s">
        <v>10</v>
      </c>
    </row>
    <row r="59" spans="1:7">
      <c r="A59">
        <v>58</v>
      </c>
      <c r="B59" t="s">
        <v>7</v>
      </c>
      <c r="C59" t="s">
        <v>8</v>
      </c>
      <c r="D59" t="s">
        <v>67</v>
      </c>
      <c r="E59">
        <v>0</v>
      </c>
      <c r="F59">
        <v>10</v>
      </c>
      <c r="G59" t="s">
        <v>10</v>
      </c>
    </row>
    <row r="60" spans="1:7">
      <c r="A60">
        <v>59</v>
      </c>
      <c r="B60" t="s">
        <v>7</v>
      </c>
      <c r="C60" t="s">
        <v>8</v>
      </c>
      <c r="D60" t="s">
        <v>68</v>
      </c>
      <c r="E60">
        <v>0</v>
      </c>
      <c r="F60">
        <v>10</v>
      </c>
      <c r="G60" t="s">
        <v>10</v>
      </c>
    </row>
    <row r="61" spans="1:7">
      <c r="A61">
        <v>60</v>
      </c>
      <c r="B61" t="s">
        <v>7</v>
      </c>
      <c r="C61" t="s">
        <v>8</v>
      </c>
      <c r="D61" t="s">
        <v>69</v>
      </c>
      <c r="E61">
        <v>0</v>
      </c>
      <c r="F61">
        <v>10</v>
      </c>
      <c r="G61" t="s">
        <v>10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10" workbookViewId="0">
      <selection activeCell="I17" sqref="I17:I36"/>
    </sheetView>
  </sheetViews>
  <sheetFormatPr baseColWidth="10" defaultRowHeight="14" x14ac:dyDescent="0"/>
  <cols>
    <col min="1" max="1" width="11" bestFit="1" customWidth="1"/>
    <col min="2" max="2" width="19.83203125" bestFit="1" customWidth="1"/>
    <col min="9" max="9" width="15.6640625" bestFit="1" customWidth="1"/>
    <col min="16" max="16" width="21.33203125" bestFit="1" customWidth="1"/>
    <col min="17" max="17" width="10.1640625" bestFit="1" customWidth="1"/>
    <col min="19" max="19" width="19.6640625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43332</v>
      </c>
      <c r="C3" s="32">
        <v>3015</v>
      </c>
      <c r="D3" s="22">
        <v>1649</v>
      </c>
      <c r="E3" s="33">
        <v>402.37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43332</v>
      </c>
      <c r="C4" s="32">
        <v>3015</v>
      </c>
      <c r="D4" s="33">
        <v>1433.5</v>
      </c>
      <c r="E4" s="33">
        <v>345.67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43332</v>
      </c>
      <c r="C5" s="32">
        <v>3015</v>
      </c>
      <c r="D5" s="22">
        <v>1312.3</v>
      </c>
      <c r="E5" s="33">
        <v>309.63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43332</v>
      </c>
      <c r="C6" s="32">
        <v>3015</v>
      </c>
      <c r="D6" s="33">
        <v>1155.8</v>
      </c>
      <c r="E6" s="33">
        <v>282.02999999999997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43332</v>
      </c>
      <c r="C7" s="32">
        <v>3015</v>
      </c>
      <c r="D7" s="22">
        <v>1007.1</v>
      </c>
      <c r="E7" s="33">
        <v>252.59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43332</v>
      </c>
      <c r="C8" s="32">
        <v>3015</v>
      </c>
      <c r="D8" s="33">
        <v>830.23</v>
      </c>
      <c r="E8" s="33">
        <v>201.23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43332</v>
      </c>
      <c r="C9" s="32">
        <v>3015</v>
      </c>
      <c r="D9" s="22">
        <v>711.28</v>
      </c>
      <c r="E9" s="33">
        <v>177.42</v>
      </c>
      <c r="F9" s="34">
        <f t="shared" si="0"/>
        <v>6.03</v>
      </c>
      <c r="G9" s="37" t="s">
        <v>112</v>
      </c>
      <c r="H9" s="37"/>
      <c r="I9" s="38">
        <f>SLOPE(F3:F13,D3:D13)</f>
        <v>9.0548909917651035E-3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43332</v>
      </c>
      <c r="C10" s="32">
        <v>3015</v>
      </c>
      <c r="D10" s="22">
        <v>500.16</v>
      </c>
      <c r="E10" s="33">
        <v>123.1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6.8881476879640857E-3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43332</v>
      </c>
      <c r="C11" s="32">
        <v>3015</v>
      </c>
      <c r="D11" s="22">
        <v>254.65</v>
      </c>
      <c r="E11" s="33">
        <v>63.069000000000003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43332</v>
      </c>
      <c r="C12" s="32">
        <v>3015</v>
      </c>
      <c r="D12" s="39">
        <v>129.33000000000001</v>
      </c>
      <c r="E12" s="39">
        <v>38.058</v>
      </c>
      <c r="F12" s="34">
        <f t="shared" si="0"/>
        <v>1.206</v>
      </c>
      <c r="G12" s="40" t="s">
        <v>114</v>
      </c>
      <c r="H12" s="40"/>
      <c r="I12" s="41">
        <f>SLOPE(F3:F13,E3:E13)</f>
        <v>3.7863210197267023E-2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43332</v>
      </c>
      <c r="C13" s="32">
        <v>3015</v>
      </c>
      <c r="D13" s="39">
        <v>65.045000000000002</v>
      </c>
      <c r="E13" s="39">
        <v>20.077000000000002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-0.16984083729405342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68" t="s">
        <v>134</v>
      </c>
      <c r="U15" s="68" t="s">
        <v>133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</row>
    <row r="17" spans="1:22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5"/>
      <c r="R17" s="58"/>
      <c r="S17" s="58"/>
      <c r="T17" s="71" t="e">
        <f>F17*1000000</f>
        <v>#DIV/0!</v>
      </c>
      <c r="U17" s="72" t="e">
        <f>M17/L17*100</f>
        <v>#DIV/0!</v>
      </c>
    </row>
    <row r="18" spans="1:22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5"/>
      <c r="R18" s="58"/>
      <c r="S18" s="58"/>
      <c r="T18" s="71" t="e">
        <f t="shared" ref="T18:T36" si="8">F18*1000000</f>
        <v>#DIV/0!</v>
      </c>
      <c r="U18" s="72" t="e">
        <f t="shared" ref="U18:U36" si="9">M18/L18*100</f>
        <v>#DIV/0!</v>
      </c>
    </row>
    <row r="19" spans="1:22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5"/>
      <c r="R19" s="58"/>
      <c r="S19" s="58"/>
      <c r="T19" s="71" t="e">
        <f t="shared" si="8"/>
        <v>#DIV/0!</v>
      </c>
      <c r="U19" s="72" t="e">
        <f t="shared" si="9"/>
        <v>#DIV/0!</v>
      </c>
    </row>
    <row r="20" spans="1:22">
      <c r="A20" s="1" t="s">
        <v>13</v>
      </c>
      <c r="B20" s="50">
        <v>43332.416666666664</v>
      </c>
      <c r="C20" s="21">
        <v>2</v>
      </c>
      <c r="D20" s="59">
        <v>1205.0999999999999</v>
      </c>
      <c r="E20" s="60">
        <v>295.39</v>
      </c>
      <c r="F20" s="53">
        <f t="shared" si="2"/>
        <v>5.4594686409320447E-3</v>
      </c>
      <c r="G20" s="53">
        <f t="shared" si="3"/>
        <v>5.5072864114383254E-3</v>
      </c>
      <c r="H20" s="53"/>
      <c r="I20" s="54">
        <f>Jar_Information!Q6</f>
        <v>43308.701388888891</v>
      </c>
      <c r="J20" s="55">
        <f t="shared" si="1"/>
        <v>23.715277777773736</v>
      </c>
      <c r="K20" s="55">
        <f t="shared" si="4"/>
        <v>569.16666666656965</v>
      </c>
      <c r="L20" s="56">
        <f>Jar_Information!H6</f>
        <v>1006.9230769230769</v>
      </c>
      <c r="M20" s="55">
        <f t="shared" si="5"/>
        <v>5.4972649622923431</v>
      </c>
      <c r="N20" s="55">
        <f t="shared" si="6"/>
        <v>10.059994880994989</v>
      </c>
      <c r="O20" s="57">
        <f t="shared" si="7"/>
        <v>2.7436349675440876</v>
      </c>
      <c r="P20" s="55">
        <v>26.611591631551708</v>
      </c>
      <c r="Q20" s="55"/>
      <c r="R20" s="58"/>
      <c r="S20" s="58"/>
      <c r="T20" s="71">
        <f t="shared" si="8"/>
        <v>5459.4686409320448</v>
      </c>
      <c r="U20" s="72">
        <f t="shared" si="9"/>
        <v>0.54594686409320448</v>
      </c>
    </row>
    <row r="21" spans="1:22">
      <c r="A21" s="1" t="s">
        <v>14</v>
      </c>
      <c r="B21" s="50">
        <v>43332.416666666664</v>
      </c>
      <c r="C21" s="21">
        <v>2</v>
      </c>
      <c r="D21" s="59">
        <v>1327</v>
      </c>
      <c r="E21" s="60">
        <v>313.39</v>
      </c>
      <c r="F21" s="53">
        <f t="shared" si="2"/>
        <v>6.0113642468801274E-3</v>
      </c>
      <c r="G21" s="53">
        <f t="shared" si="3"/>
        <v>5.8480553032137289E-3</v>
      </c>
      <c r="H21" s="53"/>
      <c r="I21" s="54">
        <f>Jar_Information!Q7</f>
        <v>43308.701388888891</v>
      </c>
      <c r="J21" s="55">
        <f t="shared" si="1"/>
        <v>23.715277777773736</v>
      </c>
      <c r="K21" s="55">
        <f t="shared" si="4"/>
        <v>569.16666666656965</v>
      </c>
      <c r="L21" s="56">
        <f>Jar_Information!H7</f>
        <v>1026.0859728506789</v>
      </c>
      <c r="M21" s="55">
        <f t="shared" si="5"/>
        <v>6.1681765314197845</v>
      </c>
      <c r="N21" s="55">
        <f t="shared" si="6"/>
        <v>11.287763052498207</v>
      </c>
      <c r="O21" s="57">
        <f t="shared" si="7"/>
        <v>3.0784808324995105</v>
      </c>
      <c r="P21" s="55">
        <v>27.118040607238672</v>
      </c>
      <c r="Q21" s="55"/>
      <c r="R21" s="58"/>
      <c r="S21" s="58"/>
      <c r="T21" s="71">
        <f t="shared" si="8"/>
        <v>6011.3642468801272</v>
      </c>
      <c r="U21" s="72">
        <f t="shared" si="9"/>
        <v>0.60113642468801276</v>
      </c>
    </row>
    <row r="22" spans="1:22">
      <c r="A22" s="1" t="s">
        <v>15</v>
      </c>
      <c r="B22" s="50">
        <v>43332.416666666664</v>
      </c>
      <c r="C22" s="21">
        <v>2</v>
      </c>
      <c r="D22" s="59">
        <v>1221.3</v>
      </c>
      <c r="E22" s="60">
        <v>294.66000000000003</v>
      </c>
      <c r="F22" s="53">
        <f t="shared" si="2"/>
        <v>5.5328132579653428E-3</v>
      </c>
      <c r="G22" s="53">
        <f t="shared" si="3"/>
        <v>5.4934663397163243E-3</v>
      </c>
      <c r="H22" s="53"/>
      <c r="I22" s="54">
        <f>Jar_Information!Q8</f>
        <v>43308.701388888891</v>
      </c>
      <c r="J22" s="55">
        <f t="shared" si="1"/>
        <v>23.715277777773736</v>
      </c>
      <c r="K22" s="55">
        <f t="shared" si="4"/>
        <v>569.16666666656965</v>
      </c>
      <c r="L22" s="56">
        <f>Jar_Information!H8</f>
        <v>1002.1673217293657</v>
      </c>
      <c r="M22" s="55">
        <f t="shared" si="5"/>
        <v>5.5448046443638539</v>
      </c>
      <c r="N22" s="55">
        <f t="shared" si="6"/>
        <v>10.146992499185853</v>
      </c>
      <c r="O22" s="57">
        <f t="shared" si="7"/>
        <v>2.7673615906870506</v>
      </c>
      <c r="P22" s="55">
        <v>26.485903564592896</v>
      </c>
      <c r="Q22" s="55"/>
      <c r="R22" s="58"/>
      <c r="S22" s="58"/>
      <c r="T22" s="71">
        <f t="shared" si="8"/>
        <v>5532.8132579653429</v>
      </c>
      <c r="U22" s="72">
        <f t="shared" si="9"/>
        <v>0.55328132579653433</v>
      </c>
    </row>
    <row r="23" spans="1:22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5"/>
      <c r="R23" s="58"/>
      <c r="S23" s="58"/>
      <c r="T23" s="71" t="e">
        <f t="shared" si="8"/>
        <v>#DIV/0!</v>
      </c>
      <c r="U23" s="72" t="e">
        <f t="shared" si="9"/>
        <v>#DIV/0!</v>
      </c>
    </row>
    <row r="24" spans="1:22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5"/>
      <c r="R24" s="58"/>
      <c r="S24" s="58"/>
      <c r="T24" s="71" t="e">
        <f t="shared" si="8"/>
        <v>#DIV/0!</v>
      </c>
      <c r="U24" s="72" t="e">
        <f t="shared" si="9"/>
        <v>#DIV/0!</v>
      </c>
    </row>
    <row r="25" spans="1:22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R25" s="61"/>
      <c r="S25" s="61"/>
      <c r="T25" s="71" t="e">
        <f t="shared" si="8"/>
        <v>#DIV/0!</v>
      </c>
      <c r="U25" s="72" t="e">
        <f t="shared" si="9"/>
        <v>#DIV/0!</v>
      </c>
    </row>
    <row r="26" spans="1:22">
      <c r="A26" s="1" t="s">
        <v>19</v>
      </c>
      <c r="B26" s="50">
        <v>43332.416666666664</v>
      </c>
      <c r="C26" s="21">
        <v>1</v>
      </c>
      <c r="D26" s="59">
        <v>1242.2</v>
      </c>
      <c r="E26" s="60">
        <v>304.52999999999997</v>
      </c>
      <c r="F26" s="53">
        <f t="shared" si="2"/>
        <v>1.1254873737658577E-2</v>
      </c>
      <c r="G26" s="53">
        <f t="shared" si="3"/>
        <v>1.1360642564079673E-2</v>
      </c>
      <c r="H26" s="53"/>
      <c r="I26" s="54">
        <f>Jar_Information!Q12</f>
        <v>43308.723611111112</v>
      </c>
      <c r="J26" s="55">
        <f t="shared" si="1"/>
        <v>23.693055555551837</v>
      </c>
      <c r="K26" s="55">
        <f t="shared" si="4"/>
        <v>568.63333333324408</v>
      </c>
      <c r="L26" s="56">
        <f>Jar_Information!H12</f>
        <v>1002.1673217293657</v>
      </c>
      <c r="M26" s="55">
        <f t="shared" si="5"/>
        <v>11.279266670071472</v>
      </c>
      <c r="N26" s="55">
        <f t="shared" si="6"/>
        <v>20.641058006230793</v>
      </c>
      <c r="O26" s="57">
        <f t="shared" si="7"/>
        <v>5.6293794562447612</v>
      </c>
      <c r="P26" s="73">
        <v>26.485903564592896</v>
      </c>
      <c r="Q26" s="73">
        <f>R26/O26*100</f>
        <v>77.050486388098022</v>
      </c>
      <c r="R26" s="89">
        <f>1365/314.7</f>
        <v>4.3374642516682558</v>
      </c>
      <c r="S26" s="61">
        <v>1365</v>
      </c>
      <c r="T26" s="71">
        <f t="shared" si="8"/>
        <v>11254.873737658578</v>
      </c>
      <c r="U26" s="72">
        <f t="shared" si="9"/>
        <v>1.1254873737658577</v>
      </c>
      <c r="V26" s="61" t="s">
        <v>149</v>
      </c>
    </row>
    <row r="27" spans="1:22">
      <c r="A27" s="1" t="s">
        <v>20</v>
      </c>
      <c r="B27" s="50">
        <v>43332.416666666664</v>
      </c>
      <c r="C27" s="21">
        <v>1</v>
      </c>
      <c r="D27" s="59">
        <v>1255</v>
      </c>
      <c r="E27" s="60">
        <v>304.31</v>
      </c>
      <c r="F27" s="53">
        <f t="shared" si="2"/>
        <v>1.1370776342353167E-2</v>
      </c>
      <c r="G27" s="53">
        <f t="shared" si="3"/>
        <v>1.1352312657836273E-2</v>
      </c>
      <c r="H27" s="53"/>
      <c r="I27" s="54">
        <f>Jar_Information!Q13</f>
        <v>43308.723611111112</v>
      </c>
      <c r="J27" s="55">
        <f t="shared" si="1"/>
        <v>23.693055555551837</v>
      </c>
      <c r="K27" s="55">
        <f t="shared" si="4"/>
        <v>568.63333333324408</v>
      </c>
      <c r="L27" s="56">
        <f>Jar_Information!H13</f>
        <v>1002.1673217293657</v>
      </c>
      <c r="M27" s="55">
        <f t="shared" si="5"/>
        <v>11.395420472999707</v>
      </c>
      <c r="N27" s="55">
        <f t="shared" si="6"/>
        <v>20.853619465589464</v>
      </c>
      <c r="O27" s="57">
        <f t="shared" si="7"/>
        <v>5.6873507633425806</v>
      </c>
      <c r="P27" s="73">
        <v>26.485903564592896</v>
      </c>
      <c r="Q27" s="73">
        <f t="shared" ref="Q27:Q30" si="10">R27/O27*100</f>
        <v>78.560325483175461</v>
      </c>
      <c r="R27" s="89">
        <f>S27/314.7</f>
        <v>4.4680012710517953</v>
      </c>
      <c r="S27" s="61">
        <f>1098.5*1.28</f>
        <v>1406.08</v>
      </c>
      <c r="T27" s="71">
        <f t="shared" si="8"/>
        <v>11370.776342353167</v>
      </c>
      <c r="U27" s="72">
        <f t="shared" si="9"/>
        <v>1.1370776342353168</v>
      </c>
      <c r="V27" t="s">
        <v>151</v>
      </c>
    </row>
    <row r="28" spans="1:22">
      <c r="A28" s="1" t="s">
        <v>21</v>
      </c>
      <c r="B28" s="50">
        <v>43332.416666666664</v>
      </c>
      <c r="C28" s="21">
        <v>1</v>
      </c>
      <c r="D28" s="59">
        <v>910.92</v>
      </c>
      <c r="E28" s="60">
        <v>213.86</v>
      </c>
      <c r="F28" s="53">
        <f t="shared" si="2"/>
        <v>8.2551694499066307E-3</v>
      </c>
      <c r="G28" s="53">
        <f t="shared" si="3"/>
        <v>7.9275852954934726E-3</v>
      </c>
      <c r="H28" s="53"/>
      <c r="I28" s="54">
        <f>Jar_Information!Q14</f>
        <v>43308.729166666664</v>
      </c>
      <c r="J28" s="55">
        <f t="shared" si="1"/>
        <v>23.6875</v>
      </c>
      <c r="K28" s="55">
        <f t="shared" si="4"/>
        <v>568.5</v>
      </c>
      <c r="L28" s="56">
        <f>Jar_Information!H14</f>
        <v>1006.9230769230769</v>
      </c>
      <c r="M28" s="55">
        <f t="shared" si="5"/>
        <v>8.3123206230213693</v>
      </c>
      <c r="N28" s="55">
        <f t="shared" si="6"/>
        <v>15.211546740129107</v>
      </c>
      <c r="O28" s="57">
        <f t="shared" si="7"/>
        <v>4.1486036563988469</v>
      </c>
      <c r="P28" s="73">
        <v>26.611591631551708</v>
      </c>
      <c r="Q28" s="73"/>
      <c r="R28" s="89"/>
      <c r="S28" s="61"/>
      <c r="T28" s="71">
        <f t="shared" si="8"/>
        <v>8255.1694499066307</v>
      </c>
      <c r="U28" s="72">
        <f t="shared" si="9"/>
        <v>0.82551694499066308</v>
      </c>
    </row>
    <row r="29" spans="1:22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8"/>
        <v>#DIV/0!</v>
      </c>
      <c r="U29" s="72" t="e">
        <f t="shared" si="9"/>
        <v>#DIV/0!</v>
      </c>
    </row>
    <row r="30" spans="1:22">
      <c r="A30" s="1" t="s">
        <v>23</v>
      </c>
      <c r="B30" s="50">
        <v>43332.416666666664</v>
      </c>
      <c r="C30" s="21">
        <v>1</v>
      </c>
      <c r="D30" s="59">
        <v>1555.3</v>
      </c>
      <c r="E30" s="60">
        <v>386.09</v>
      </c>
      <c r="F30" s="53">
        <f t="shared" si="2"/>
        <v>1.4089960107180229E-2</v>
      </c>
      <c r="G30" s="53">
        <f t="shared" si="3"/>
        <v>1.4448765987768772E-2</v>
      </c>
      <c r="H30" s="53"/>
      <c r="I30" s="54">
        <f>Jar_Information!Q16</f>
        <v>43308.729166666664</v>
      </c>
      <c r="J30" s="55">
        <f t="shared" si="1"/>
        <v>23.6875</v>
      </c>
      <c r="K30" s="55">
        <f t="shared" si="4"/>
        <v>568.5</v>
      </c>
      <c r="L30" s="56">
        <f>Jar_Information!H16</f>
        <v>1020.9105809506466</v>
      </c>
      <c r="M30" s="55">
        <f t="shared" si="5"/>
        <v>14.384589358592802</v>
      </c>
      <c r="N30" s="55">
        <f t="shared" si="6"/>
        <v>26.323798526224827</v>
      </c>
      <c r="O30" s="57">
        <f t="shared" si="7"/>
        <v>7.1792177798794974</v>
      </c>
      <c r="P30" s="73">
        <v>26.855607956200881</v>
      </c>
      <c r="Q30" s="73">
        <f t="shared" si="10"/>
        <v>83.499541340251398</v>
      </c>
      <c r="R30" s="89">
        <f>S30/314.7</f>
        <v>5.9946139180171594</v>
      </c>
      <c r="S30" s="61">
        <f>1217.1*1.55</f>
        <v>1886.5049999999999</v>
      </c>
      <c r="T30" s="71">
        <f t="shared" si="8"/>
        <v>14089.960107180228</v>
      </c>
      <c r="U30" s="72">
        <f t="shared" si="9"/>
        <v>1.4089960107180228</v>
      </c>
      <c r="V30" t="s">
        <v>152</v>
      </c>
    </row>
    <row r="31" spans="1:22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8"/>
        <v>#DIV/0!</v>
      </c>
      <c r="U31" s="72" t="e">
        <f t="shared" si="9"/>
        <v>#DIV/0!</v>
      </c>
    </row>
    <row r="32" spans="1:22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8"/>
        <v>#DIV/0!</v>
      </c>
      <c r="U32" s="72" t="e">
        <f t="shared" si="9"/>
        <v>#DIV/0!</v>
      </c>
    </row>
    <row r="33" spans="1:21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Jar_Information!Q19</f>
        <v>43308.73541666667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8"/>
        <v>#DIV/0!</v>
      </c>
      <c r="U33" s="72" t="e">
        <f t="shared" si="9"/>
        <v>#DIV/0!</v>
      </c>
    </row>
    <row r="34" spans="1:21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8"/>
        <v>#DIV/0!</v>
      </c>
      <c r="U34" s="72" t="e">
        <f t="shared" si="9"/>
        <v>#DIV/0!</v>
      </c>
    </row>
    <row r="35" spans="1:21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T35" s="71" t="e">
        <f t="shared" si="8"/>
        <v>#DIV/0!</v>
      </c>
      <c r="U35" s="72" t="e">
        <f t="shared" si="9"/>
        <v>#DIV/0!</v>
      </c>
    </row>
    <row r="36" spans="1:21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74"/>
      <c r="R36" s="61"/>
      <c r="T36" s="71" t="e">
        <f t="shared" si="8"/>
        <v>#DIV/0!</v>
      </c>
      <c r="U36" s="72" t="e">
        <f t="shared" si="9"/>
        <v>#DIV/0!</v>
      </c>
    </row>
    <row r="37" spans="1:21">
      <c r="A37" s="62"/>
      <c r="B37" s="50"/>
    </row>
  </sheetData>
  <conditionalFormatting sqref="N17:N36">
    <cfRule type="cellIs" dxfId="13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5" workbookViewId="0">
      <selection activeCell="K45" sqref="K45"/>
    </sheetView>
  </sheetViews>
  <sheetFormatPr baseColWidth="10" defaultRowHeight="14" x14ac:dyDescent="0"/>
  <cols>
    <col min="1" max="1" width="11" bestFit="1" customWidth="1"/>
    <col min="2" max="2" width="5" customWidth="1"/>
    <col min="8" max="8" width="3" customWidth="1"/>
    <col min="9" max="9" width="14.83203125" bestFit="1" customWidth="1"/>
    <col min="23" max="23" width="14.332031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43336</v>
      </c>
      <c r="C3" s="32">
        <v>3015</v>
      </c>
      <c r="D3" s="22">
        <v>1614.4</v>
      </c>
      <c r="E3" s="33">
        <v>372.16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43336</v>
      </c>
      <c r="C4" s="32">
        <v>3015</v>
      </c>
      <c r="D4" s="33">
        <v>1421</v>
      </c>
      <c r="E4" s="33">
        <v>338.12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43336</v>
      </c>
      <c r="C5" s="32">
        <v>3015</v>
      </c>
      <c r="D5" s="22">
        <v>1315.2</v>
      </c>
      <c r="E5" s="33">
        <v>318.8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43336</v>
      </c>
      <c r="C6" s="32">
        <v>3015</v>
      </c>
      <c r="D6" s="33">
        <v>1157.0999999999999</v>
      </c>
      <c r="E6" s="33">
        <v>276.10000000000002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43336</v>
      </c>
      <c r="C7" s="32">
        <v>3015</v>
      </c>
      <c r="D7" s="22">
        <v>1050.0999999999999</v>
      </c>
      <c r="E7" s="33">
        <v>246.74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43336</v>
      </c>
      <c r="C8" s="32">
        <v>3015</v>
      </c>
      <c r="D8" s="33">
        <v>827.66</v>
      </c>
      <c r="E8" s="33">
        <v>205.93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43336</v>
      </c>
      <c r="C9" s="32">
        <v>3015</v>
      </c>
      <c r="D9" s="22">
        <v>696.62</v>
      </c>
      <c r="E9" s="33">
        <v>176.04</v>
      </c>
      <c r="F9" s="34">
        <f t="shared" si="0"/>
        <v>6.03</v>
      </c>
      <c r="G9" s="37" t="s">
        <v>112</v>
      </c>
      <c r="H9" s="37"/>
      <c r="I9" s="38">
        <f>SLOPE(F3:F13,D3:D13)</f>
        <v>9.3812761787956094E-3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43336</v>
      </c>
      <c r="C10" s="32">
        <v>3015</v>
      </c>
      <c r="D10" s="22">
        <v>504.98</v>
      </c>
      <c r="E10" s="33">
        <v>129.21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-0.36350670325015777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43336</v>
      </c>
      <c r="C11" s="32">
        <v>3015</v>
      </c>
      <c r="D11" s="22">
        <v>360.33</v>
      </c>
      <c r="E11" s="33">
        <v>90.995999999999995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43336</v>
      </c>
      <c r="C12" s="32">
        <v>3015</v>
      </c>
      <c r="D12" s="39">
        <v>149.6</v>
      </c>
      <c r="E12" s="39">
        <v>39.540999999999997</v>
      </c>
      <c r="F12" s="34">
        <f t="shared" si="0"/>
        <v>1.206</v>
      </c>
      <c r="G12" s="40" t="s">
        <v>114</v>
      </c>
      <c r="H12" s="40"/>
      <c r="I12" s="41">
        <f>SLOPE(F3:F13,E3:E13)</f>
        <v>4.0472156408123829E-2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43336</v>
      </c>
      <c r="C13" s="32">
        <v>3015</v>
      </c>
      <c r="D13" s="39">
        <v>70.906999999999996</v>
      </c>
      <c r="E13" s="39">
        <v>19.515000000000001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-0.68754853626836976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76" t="s">
        <v>140</v>
      </c>
      <c r="P15" s="43" t="s">
        <v>124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68" t="s">
        <v>134</v>
      </c>
      <c r="V15" s="68" t="s">
        <v>133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75" t="s">
        <v>141</v>
      </c>
      <c r="P16" s="47" t="s">
        <v>132</v>
      </c>
      <c r="Q16" s="47"/>
      <c r="R16" s="47" t="s">
        <v>156</v>
      </c>
      <c r="S16" s="47" t="s">
        <v>132</v>
      </c>
      <c r="T16" s="47" t="s">
        <v>153</v>
      </c>
    </row>
    <row r="17" spans="1:25">
      <c r="A17" s="1" t="s">
        <v>30</v>
      </c>
      <c r="B17" s="50">
        <v>43336.630555555559</v>
      </c>
      <c r="C17" s="21">
        <v>2</v>
      </c>
      <c r="D17" s="51">
        <v>1110.2</v>
      </c>
      <c r="E17" s="52">
        <v>266.49</v>
      </c>
      <c r="F17" s="53">
        <f>((I$9*D17)+I$10)/C17/1000</f>
        <v>5.0257930552243639E-3</v>
      </c>
      <c r="G17" s="53">
        <f>((I$12*E17)+I$13)/C17/1000</f>
        <v>5.0489382124662748E-3</v>
      </c>
      <c r="H17" s="53"/>
      <c r="I17" s="54">
        <f>Jar_Information!Q23</f>
        <v>43333.603472222225</v>
      </c>
      <c r="J17" s="55">
        <f t="shared" ref="J17:J36" si="1">B17-I17</f>
        <v>3.0270833333343035</v>
      </c>
      <c r="K17" s="55">
        <f>J17*24</f>
        <v>72.650000000023283</v>
      </c>
      <c r="L17" s="56">
        <f>Jar_Information!H23</f>
        <v>1021.6154823015972</v>
      </c>
      <c r="M17" s="55">
        <f>F17*L17</f>
        <v>5.1344279960610564</v>
      </c>
      <c r="N17" s="55">
        <f>M17*1.83</f>
        <v>9.3960032327917329</v>
      </c>
      <c r="O17" s="55">
        <v>27.373506019753322</v>
      </c>
      <c r="P17" s="57">
        <f>N17*(12/(12+(16*2)))</f>
        <v>2.5625463362159269</v>
      </c>
      <c r="Q17" s="93"/>
      <c r="R17" s="57"/>
      <c r="S17" s="58"/>
      <c r="T17" s="56"/>
      <c r="U17" s="71">
        <f t="shared" ref="U17:U36" si="2">F17*1000000</f>
        <v>5025.7930552243643</v>
      </c>
      <c r="V17" s="72">
        <f t="shared" ref="V17:V36" si="3">M17/L17*100</f>
        <v>0.50257930552243635</v>
      </c>
    </row>
    <row r="18" spans="1:25">
      <c r="A18" s="1" t="s">
        <v>31</v>
      </c>
      <c r="B18" s="50">
        <v>43336.631944444445</v>
      </c>
      <c r="C18" s="21">
        <v>2</v>
      </c>
      <c r="D18" s="59">
        <v>690.38</v>
      </c>
      <c r="E18" s="60">
        <v>170.24</v>
      </c>
      <c r="F18" s="53">
        <f t="shared" ref="F18:F36" si="4">((I$9*D18)+I$10)/C18/1000</f>
        <v>3.0565693725333777E-3</v>
      </c>
      <c r="G18" s="53">
        <f t="shared" ref="G18:G36" si="5">((I$12*E18)+I$13)/C18/1000</f>
        <v>3.1012156853253156E-3</v>
      </c>
      <c r="H18" s="53"/>
      <c r="I18" s="54">
        <f>Jar_Information!Q24</f>
        <v>43333.603472222225</v>
      </c>
      <c r="J18" s="55">
        <f t="shared" si="1"/>
        <v>3.0284722222204437</v>
      </c>
      <c r="K18" s="55">
        <f t="shared" ref="K18:K36" si="6">J18*24</f>
        <v>72.683333333290648</v>
      </c>
      <c r="L18" s="56">
        <f>Jar_Information!H24</f>
        <v>1040.8668117949733</v>
      </c>
      <c r="M18" s="55">
        <f t="shared" ref="M18:M36" si="7">F18*L18</f>
        <v>3.1814816178189789</v>
      </c>
      <c r="N18" s="55">
        <f t="shared" ref="N18:N36" si="8">M18*1.83</f>
        <v>5.8221113606087318</v>
      </c>
      <c r="O18" s="55">
        <v>26.611591631551708</v>
      </c>
      <c r="P18" s="57">
        <f t="shared" ref="P18:P36" si="9">N18*(12/(12+(16*2)))</f>
        <v>1.5878485528932904</v>
      </c>
      <c r="Q18" s="93"/>
      <c r="R18" s="57"/>
      <c r="S18" s="58"/>
      <c r="T18" s="56"/>
      <c r="U18" s="71">
        <f t="shared" si="2"/>
        <v>3056.5693725333776</v>
      </c>
      <c r="V18" s="72">
        <f t="shared" si="3"/>
        <v>0.30565693725333776</v>
      </c>
    </row>
    <row r="19" spans="1:25">
      <c r="A19" s="1" t="s">
        <v>32</v>
      </c>
      <c r="B19" s="50">
        <v>43336.633333333331</v>
      </c>
      <c r="C19" s="21">
        <v>2</v>
      </c>
      <c r="D19" s="59">
        <v>365.12</v>
      </c>
      <c r="E19" s="60">
        <v>95.185000000000002</v>
      </c>
      <c r="F19" s="53">
        <f t="shared" si="4"/>
        <v>1.5308924275758476E-3</v>
      </c>
      <c r="G19" s="53">
        <f t="shared" si="5"/>
        <v>1.5823968357194485E-3</v>
      </c>
      <c r="H19" s="53"/>
      <c r="I19" s="54">
        <f>Jar_Information!Q25</f>
        <v>43333.603472222225</v>
      </c>
      <c r="J19" s="55">
        <f t="shared" si="1"/>
        <v>3.0298611111065838</v>
      </c>
      <c r="K19" s="55">
        <f t="shared" si="6"/>
        <v>72.716666666558012</v>
      </c>
      <c r="L19" s="56">
        <f>Jar_Information!H25</f>
        <v>1031.2130018297275</v>
      </c>
      <c r="M19" s="55">
        <f t="shared" si="7"/>
        <v>1.5786761757188885</v>
      </c>
      <c r="N19" s="55">
        <f t="shared" si="8"/>
        <v>2.8889774015655663</v>
      </c>
      <c r="O19" s="55">
        <v>27.373506019753343</v>
      </c>
      <c r="P19" s="57">
        <f t="shared" si="9"/>
        <v>0.78790292769969983</v>
      </c>
      <c r="Q19" s="93"/>
      <c r="R19" s="57"/>
      <c r="S19" s="58"/>
      <c r="T19" s="56"/>
      <c r="U19" s="71">
        <f t="shared" si="2"/>
        <v>1530.8924275758477</v>
      </c>
      <c r="V19" s="72">
        <f t="shared" si="3"/>
        <v>0.15308924275758476</v>
      </c>
    </row>
    <row r="20" spans="1:25">
      <c r="A20" s="1" t="s">
        <v>33</v>
      </c>
      <c r="B20" s="50">
        <v>43336.634722222225</v>
      </c>
      <c r="C20" s="21">
        <v>3</v>
      </c>
      <c r="D20" s="59">
        <v>540.11</v>
      </c>
      <c r="E20" s="60">
        <v>139.77000000000001</v>
      </c>
      <c r="F20" s="53">
        <f t="shared" si="4"/>
        <v>1.5678047912263795E-3</v>
      </c>
      <c r="G20" s="53">
        <f t="shared" si="5"/>
        <v>1.6564149216316995E-3</v>
      </c>
      <c r="H20" s="53"/>
      <c r="I20" s="54">
        <f>Jar_Information!Q26</f>
        <v>43333.65902777778</v>
      </c>
      <c r="J20" s="55">
        <f t="shared" si="1"/>
        <v>2.9756944444452529</v>
      </c>
      <c r="K20" s="55">
        <f t="shared" si="6"/>
        <v>71.416666666686069</v>
      </c>
      <c r="L20" s="56">
        <f>Jar_Information!H26</f>
        <v>1016.8376778203445</v>
      </c>
      <c r="M20" s="55">
        <f t="shared" si="7"/>
        <v>1.5942029831862417</v>
      </c>
      <c r="N20" s="55">
        <f t="shared" si="8"/>
        <v>2.9173914592308225</v>
      </c>
      <c r="O20" s="55">
        <v>26.611591631551708</v>
      </c>
      <c r="P20" s="57">
        <f t="shared" si="9"/>
        <v>0.79565221615386061</v>
      </c>
      <c r="Q20" s="93"/>
      <c r="R20" s="57"/>
      <c r="S20" s="58"/>
      <c r="T20" s="56"/>
      <c r="U20" s="71">
        <f t="shared" si="2"/>
        <v>1567.8047912263794</v>
      </c>
      <c r="V20" s="72">
        <f t="shared" si="3"/>
        <v>0.15678047912263793</v>
      </c>
    </row>
    <row r="21" spans="1:25">
      <c r="A21" s="1" t="s">
        <v>34</v>
      </c>
      <c r="B21" s="50">
        <v>43336.635416666664</v>
      </c>
      <c r="C21" s="21">
        <v>3</v>
      </c>
      <c r="D21" s="59">
        <v>426.05</v>
      </c>
      <c r="E21" s="60">
        <v>101.87</v>
      </c>
      <c r="F21" s="53">
        <f t="shared" si="4"/>
        <v>1.2111286709085708E-3</v>
      </c>
      <c r="G21" s="53">
        <f t="shared" si="5"/>
        <v>1.1451166790090684E-3</v>
      </c>
      <c r="H21" s="53"/>
      <c r="I21" s="54">
        <f>Jar_Information!Q27</f>
        <v>43333.603472222225</v>
      </c>
      <c r="J21" s="55">
        <f t="shared" si="1"/>
        <v>3.0319444444394321</v>
      </c>
      <c r="K21" s="55">
        <f t="shared" si="6"/>
        <v>72.766666666546371</v>
      </c>
      <c r="L21" s="56">
        <f>Jar_Information!H27</f>
        <v>1026.4072365769557</v>
      </c>
      <c r="M21" s="55">
        <f t="shared" si="7"/>
        <v>1.2431112322463873</v>
      </c>
      <c r="N21" s="55">
        <f t="shared" si="8"/>
        <v>2.2748935550108889</v>
      </c>
      <c r="O21" s="55">
        <v>27.118040607238672</v>
      </c>
      <c r="P21" s="57">
        <f t="shared" si="9"/>
        <v>0.62042551500296961</v>
      </c>
      <c r="Q21" s="93"/>
      <c r="R21" s="57"/>
      <c r="S21" s="58"/>
      <c r="T21" s="91"/>
      <c r="U21" s="71">
        <f t="shared" si="2"/>
        <v>1211.1286709085707</v>
      </c>
      <c r="V21" s="72">
        <f t="shared" si="3"/>
        <v>0.12111286709085708</v>
      </c>
    </row>
    <row r="22" spans="1:25">
      <c r="A22" s="1" t="s">
        <v>35</v>
      </c>
      <c r="B22" s="50">
        <v>43336.636805555558</v>
      </c>
      <c r="C22" s="21">
        <v>3</v>
      </c>
      <c r="D22" s="59">
        <v>463.34</v>
      </c>
      <c r="E22" s="60">
        <v>11058</v>
      </c>
      <c r="F22" s="53">
        <f t="shared" si="4"/>
        <v>1.3277379338109999E-3</v>
      </c>
      <c r="G22" s="53">
        <f t="shared" si="5"/>
        <v>0.14895118567492166</v>
      </c>
      <c r="H22" s="53"/>
      <c r="I22" s="54">
        <f>Jar_Information!Q28</f>
        <v>43333.65902777778</v>
      </c>
      <c r="J22" s="55">
        <f t="shared" si="1"/>
        <v>2.9777777777781012</v>
      </c>
      <c r="K22" s="55">
        <f t="shared" si="6"/>
        <v>71.466666666674428</v>
      </c>
      <c r="L22" s="56">
        <f>Jar_Information!H28</f>
        <v>1007.3236752829298</v>
      </c>
      <c r="M22" s="55">
        <f t="shared" si="7"/>
        <v>1.3374618552990598</v>
      </c>
      <c r="N22" s="55">
        <f t="shared" si="8"/>
        <v>2.4475551951972796</v>
      </c>
      <c r="O22" s="55">
        <v>26.485903564592896</v>
      </c>
      <c r="P22" s="57">
        <f t="shared" si="9"/>
        <v>0.66751505323562166</v>
      </c>
      <c r="Q22" s="93"/>
      <c r="R22" s="57"/>
      <c r="S22" s="58"/>
      <c r="T22" s="56"/>
      <c r="U22" s="71">
        <f t="shared" si="2"/>
        <v>1327.7379338109999</v>
      </c>
      <c r="V22" s="72">
        <f t="shared" si="3"/>
        <v>0.13277379338109999</v>
      </c>
    </row>
    <row r="23" spans="1:25">
      <c r="A23" s="1" t="s">
        <v>36</v>
      </c>
      <c r="B23" s="50">
        <v>43336.637499999997</v>
      </c>
      <c r="C23" s="21">
        <v>1</v>
      </c>
      <c r="D23" s="59">
        <v>920.36</v>
      </c>
      <c r="E23" s="60">
        <v>215.53</v>
      </c>
      <c r="F23" s="53">
        <f t="shared" si="4"/>
        <v>8.27064464066617E-3</v>
      </c>
      <c r="G23" s="53">
        <f t="shared" si="5"/>
        <v>8.0354153343745582E-3</v>
      </c>
      <c r="H23" s="53"/>
      <c r="I23" s="54">
        <f>Jar_Information!Q29</f>
        <v>43333.65902777778</v>
      </c>
      <c r="J23" s="55">
        <f t="shared" si="1"/>
        <v>2.9784722222175333</v>
      </c>
      <c r="K23" s="55">
        <f t="shared" si="6"/>
        <v>71.483333333220799</v>
      </c>
      <c r="L23" s="56">
        <f>Jar_Information!H29</f>
        <v>1036.0328396015414</v>
      </c>
      <c r="M23" s="55">
        <f t="shared" si="7"/>
        <v>8.568659452404642</v>
      </c>
      <c r="N23" s="55">
        <f t="shared" si="8"/>
        <v>15.680646797900495</v>
      </c>
      <c r="O23" s="55">
        <v>27.501804749819797</v>
      </c>
      <c r="P23" s="57">
        <f t="shared" si="9"/>
        <v>4.2765400357910437</v>
      </c>
      <c r="Q23" s="93"/>
      <c r="R23" s="57"/>
      <c r="S23" s="58"/>
      <c r="T23" s="56"/>
      <c r="U23" s="71">
        <f t="shared" si="2"/>
        <v>8270.6446406661707</v>
      </c>
      <c r="V23" s="72">
        <f t="shared" si="3"/>
        <v>0.82706446406661704</v>
      </c>
    </row>
    <row r="24" spans="1:25">
      <c r="A24" s="1" t="s">
        <v>37</v>
      </c>
      <c r="B24" s="50">
        <v>43336.63958333333</v>
      </c>
      <c r="C24" s="21">
        <v>1</v>
      </c>
      <c r="D24" s="59">
        <v>856.54</v>
      </c>
      <c r="E24" s="60">
        <v>198.43</v>
      </c>
      <c r="F24" s="53">
        <f t="shared" si="4"/>
        <v>7.6719315949354333E-3</v>
      </c>
      <c r="G24" s="53">
        <f t="shared" si="5"/>
        <v>7.3433414597956423E-3</v>
      </c>
      <c r="H24" s="53"/>
      <c r="I24" s="54">
        <f>Jar_Information!Q30</f>
        <v>43333.65902777778</v>
      </c>
      <c r="J24" s="55">
        <f t="shared" si="1"/>
        <v>2.9805555555503815</v>
      </c>
      <c r="K24" s="55">
        <f t="shared" si="6"/>
        <v>71.533333333209157</v>
      </c>
      <c r="L24" s="56">
        <f>Jar_Information!H30</f>
        <v>1036.0328396015414</v>
      </c>
      <c r="M24" s="55">
        <f t="shared" si="7"/>
        <v>7.948373075529739</v>
      </c>
      <c r="N24" s="55">
        <f t="shared" si="8"/>
        <v>14.545522728219423</v>
      </c>
      <c r="O24" s="55">
        <v>27.118040607238672</v>
      </c>
      <c r="P24" s="57">
        <f t="shared" si="9"/>
        <v>3.9669607440598424</v>
      </c>
      <c r="Q24" s="93"/>
      <c r="R24" s="57"/>
      <c r="S24" s="58"/>
      <c r="T24" s="56"/>
      <c r="U24" s="71">
        <f t="shared" si="2"/>
        <v>7671.9315949354332</v>
      </c>
      <c r="V24" s="72">
        <f t="shared" si="3"/>
        <v>0.76719315949354328</v>
      </c>
    </row>
    <row r="25" spans="1:25">
      <c r="A25" s="1" t="s">
        <v>38</v>
      </c>
      <c r="B25" s="50">
        <v>43336.640972222223</v>
      </c>
      <c r="C25" s="21">
        <v>1</v>
      </c>
      <c r="D25" s="59">
        <v>1580.7</v>
      </c>
      <c r="E25" s="60">
        <v>383.2</v>
      </c>
      <c r="F25" s="53">
        <f t="shared" si="4"/>
        <v>1.4465476552572062E-2</v>
      </c>
      <c r="G25" s="53">
        <f t="shared" si="5"/>
        <v>1.4821381799324681E-2</v>
      </c>
      <c r="H25" s="53"/>
      <c r="I25" s="54">
        <f>Jar_Information!Q31</f>
        <v>43333.65902777778</v>
      </c>
      <c r="J25" s="55">
        <f t="shared" si="1"/>
        <v>2.9819444444437977</v>
      </c>
      <c r="K25" s="55">
        <f t="shared" si="6"/>
        <v>71.566666666651145</v>
      </c>
      <c r="L25" s="56">
        <f>Jar_Information!H31</f>
        <v>1036.0328396015414</v>
      </c>
      <c r="M25" s="55">
        <f t="shared" si="7"/>
        <v>14.986708748950749</v>
      </c>
      <c r="N25" s="55">
        <f t="shared" si="8"/>
        <v>27.425677010579872</v>
      </c>
      <c r="O25" s="73">
        <v>27.245585194635542</v>
      </c>
      <c r="P25" s="57">
        <f t="shared" si="9"/>
        <v>7.4797300937945099</v>
      </c>
      <c r="Q25" s="93">
        <f t="shared" ref="Q25:Q35" si="10">P25*(400/(400+L25))</f>
        <v>2.0834426309832645</v>
      </c>
      <c r="R25" s="57">
        <f>S25/Q25*100</f>
        <v>47.875467343131788</v>
      </c>
      <c r="S25" s="89">
        <f>T25/314.7</f>
        <v>0.99745789640927862</v>
      </c>
      <c r="T25" s="61">
        <v>313.89999999999998</v>
      </c>
      <c r="U25" s="71">
        <f t="shared" si="2"/>
        <v>14465.476552572063</v>
      </c>
      <c r="V25" s="72">
        <f t="shared" si="3"/>
        <v>1.4465476552572063</v>
      </c>
    </row>
    <row r="26" spans="1:25">
      <c r="A26" s="1" t="s">
        <v>39</v>
      </c>
      <c r="B26" s="50">
        <v>43336.64166666667</v>
      </c>
      <c r="C26" s="21">
        <v>1</v>
      </c>
      <c r="D26" s="59">
        <v>1503.6</v>
      </c>
      <c r="E26" s="60">
        <v>337.53</v>
      </c>
      <c r="F26" s="53">
        <f t="shared" si="4"/>
        <v>1.3742180159186919E-2</v>
      </c>
      <c r="G26" s="53">
        <f t="shared" si="5"/>
        <v>1.2973018416165666E-2</v>
      </c>
      <c r="H26" s="53"/>
      <c r="I26" s="54">
        <f>Jar_Information!Q32</f>
        <v>43333.663194444445</v>
      </c>
      <c r="J26" s="55">
        <f t="shared" si="1"/>
        <v>2.9784722222248092</v>
      </c>
      <c r="K26" s="55">
        <f t="shared" si="6"/>
        <v>71.483333333395422</v>
      </c>
      <c r="L26" s="56">
        <f>Jar_Information!H32</f>
        <v>1036.0328396015414</v>
      </c>
      <c r="M26" s="55">
        <f t="shared" si="7"/>
        <v>14.237349932638384</v>
      </c>
      <c r="N26" s="55">
        <f t="shared" si="8"/>
        <v>26.054350376728244</v>
      </c>
      <c r="O26" s="73">
        <v>26.485903564592896</v>
      </c>
      <c r="P26" s="57">
        <f t="shared" si="9"/>
        <v>7.1057319209258845</v>
      </c>
      <c r="Q26" s="93">
        <f t="shared" si="10"/>
        <v>1.9792672493193191</v>
      </c>
      <c r="R26" s="57">
        <f t="shared" ref="R26:R35" si="11">S26/Q26*100</f>
        <v>99.474147904522013</v>
      </c>
      <c r="S26" s="89">
        <f>T26/314.7</f>
        <v>1.9688592310136639</v>
      </c>
      <c r="T26" s="61">
        <v>619.6</v>
      </c>
      <c r="U26" s="71">
        <f t="shared" si="2"/>
        <v>13742.180159186919</v>
      </c>
      <c r="V26" s="72">
        <f t="shared" si="3"/>
        <v>1.3742180159186919</v>
      </c>
      <c r="Y26" t="s">
        <v>162</v>
      </c>
    </row>
    <row r="27" spans="1:25">
      <c r="A27" s="1" t="s">
        <v>40</v>
      </c>
      <c r="B27" s="50">
        <v>43336.656944444447</v>
      </c>
      <c r="C27" s="21">
        <v>0.2</v>
      </c>
      <c r="D27" s="59">
        <v>1122.3</v>
      </c>
      <c r="E27" s="60">
        <v>258.14999999999998</v>
      </c>
      <c r="F27" s="53">
        <f t="shared" si="4"/>
        <v>5.0825497761060774E-2</v>
      </c>
      <c r="G27" s="53">
        <f t="shared" si="5"/>
        <v>4.8801693202443971E-2</v>
      </c>
      <c r="H27" s="53"/>
      <c r="I27" s="54">
        <f>Jar_Information!Q33</f>
        <v>43333.663194444445</v>
      </c>
      <c r="J27" s="55">
        <f t="shared" si="1"/>
        <v>2.9937500000014552</v>
      </c>
      <c r="K27" s="55">
        <f t="shared" si="6"/>
        <v>71.850000000034925</v>
      </c>
      <c r="L27" s="56">
        <f>Jar_Information!H33</f>
        <v>1012.0737623056069</v>
      </c>
      <c r="M27" s="55">
        <f t="shared" si="7"/>
        <v>51.439152740091977</v>
      </c>
      <c r="N27" s="55">
        <f t="shared" si="8"/>
        <v>94.133649514368315</v>
      </c>
      <c r="O27" s="73">
        <v>26.485903564592896</v>
      </c>
      <c r="P27" s="57">
        <f t="shared" si="9"/>
        <v>25.672813503918629</v>
      </c>
      <c r="Q27" s="93">
        <f t="shared" si="10"/>
        <v>7.2723717950825888</v>
      </c>
      <c r="R27" s="57">
        <f t="shared" si="11"/>
        <v>54.395334308761001</v>
      </c>
      <c r="S27" s="89">
        <f t="shared" ref="S27:S35" si="12">T27/314.7</f>
        <v>3.9558309501112174</v>
      </c>
      <c r="T27" s="61">
        <v>1244.9000000000001</v>
      </c>
      <c r="U27" s="71">
        <f t="shared" si="2"/>
        <v>50825.497761060775</v>
      </c>
      <c r="V27" s="72">
        <f t="shared" si="3"/>
        <v>5.0825497761060774</v>
      </c>
      <c r="X27">
        <v>261</v>
      </c>
      <c r="Y27" s="71">
        <f>X27*4.78</f>
        <v>1247.5800000000002</v>
      </c>
    </row>
    <row r="28" spans="1:25">
      <c r="A28" s="1" t="s">
        <v>41</v>
      </c>
      <c r="B28" s="50">
        <v>43336.658333333333</v>
      </c>
      <c r="C28" s="21">
        <v>0.2</v>
      </c>
      <c r="D28" s="59">
        <v>1065.0999999999999</v>
      </c>
      <c r="E28" s="60">
        <v>242.4</v>
      </c>
      <c r="F28" s="53">
        <f t="shared" si="4"/>
        <v>4.8142452773925232E-2</v>
      </c>
      <c r="G28" s="53">
        <f t="shared" si="5"/>
        <v>4.561451088530423E-2</v>
      </c>
      <c r="H28" s="53"/>
      <c r="I28" s="54">
        <f>Jar_Information!Q34</f>
        <v>43333.663194444445</v>
      </c>
      <c r="J28" s="55">
        <f t="shared" si="1"/>
        <v>2.9951388888875954</v>
      </c>
      <c r="K28" s="55">
        <f t="shared" si="6"/>
        <v>71.883333333302289</v>
      </c>
      <c r="L28" s="56">
        <f>Jar_Information!H34</f>
        <v>1026.4072365769557</v>
      </c>
      <c r="M28" s="55">
        <f t="shared" si="7"/>
        <v>49.413761913721196</v>
      </c>
      <c r="N28" s="55">
        <f t="shared" si="8"/>
        <v>90.427184302109794</v>
      </c>
      <c r="O28" s="73">
        <v>26.611591631551708</v>
      </c>
      <c r="P28" s="57">
        <f t="shared" si="9"/>
        <v>24.66195935512085</v>
      </c>
      <c r="Q28" s="93">
        <f t="shared" si="10"/>
        <v>6.9158256415759061</v>
      </c>
      <c r="R28" s="57">
        <f t="shared" si="11"/>
        <v>65.934257920610477</v>
      </c>
      <c r="S28" s="89">
        <f t="shared" si="12"/>
        <v>4.5598983158563717</v>
      </c>
      <c r="T28" s="61">
        <f>512.5*2.8</f>
        <v>1435</v>
      </c>
      <c r="U28" s="71">
        <f t="shared" si="2"/>
        <v>48142.45277392523</v>
      </c>
      <c r="V28" s="72">
        <f t="shared" si="3"/>
        <v>4.8142452773925228</v>
      </c>
      <c r="W28" t="s">
        <v>160</v>
      </c>
      <c r="X28">
        <v>300.02</v>
      </c>
      <c r="Y28" s="71">
        <f t="shared" ref="Y28:Y35" si="13">X28*4.78</f>
        <v>1434.0955999999999</v>
      </c>
    </row>
    <row r="29" spans="1:25">
      <c r="A29" s="1" t="s">
        <v>42</v>
      </c>
      <c r="B29" s="50">
        <v>43336.660416666666</v>
      </c>
      <c r="C29" s="21">
        <v>0.2</v>
      </c>
      <c r="D29" s="59">
        <v>1132.3</v>
      </c>
      <c r="E29" s="60">
        <v>253.86</v>
      </c>
      <c r="F29" s="53">
        <f t="shared" si="4"/>
        <v>5.1294561570000549E-2</v>
      </c>
      <c r="G29" s="53">
        <f t="shared" si="5"/>
        <v>4.793356544748973E-2</v>
      </c>
      <c r="H29" s="53"/>
      <c r="I29" s="54">
        <f>Jar_Information!Q35</f>
        <v>43333.663194444445</v>
      </c>
      <c r="J29" s="55">
        <f t="shared" si="1"/>
        <v>2.9972222222204437</v>
      </c>
      <c r="K29" s="55">
        <f t="shared" si="6"/>
        <v>71.933333333290648</v>
      </c>
      <c r="L29" s="56">
        <f>Jar_Information!H35</f>
        <v>1021.6154823015972</v>
      </c>
      <c r="M29" s="55">
        <f t="shared" si="7"/>
        <v>52.403318257785088</v>
      </c>
      <c r="N29" s="55">
        <f t="shared" si="8"/>
        <v>95.89807241174671</v>
      </c>
      <c r="O29" s="73">
        <v>27.366497554966767</v>
      </c>
      <c r="P29" s="57">
        <f t="shared" si="9"/>
        <v>26.154019748658193</v>
      </c>
      <c r="Q29" s="93">
        <f t="shared" si="10"/>
        <v>7.3589574886494074</v>
      </c>
      <c r="R29" s="57">
        <f t="shared" si="11"/>
        <v>51.600613870877091</v>
      </c>
      <c r="S29" s="89">
        <f t="shared" si="12"/>
        <v>3.7972672386399746</v>
      </c>
      <c r="T29" s="61">
        <v>1195</v>
      </c>
      <c r="U29" s="71">
        <f t="shared" si="2"/>
        <v>51294.561570000551</v>
      </c>
      <c r="V29" s="72">
        <f t="shared" si="3"/>
        <v>5.129456157000055</v>
      </c>
      <c r="X29">
        <v>251.85</v>
      </c>
      <c r="Y29" s="71">
        <f t="shared" si="13"/>
        <v>1203.8430000000001</v>
      </c>
    </row>
    <row r="30" spans="1:25">
      <c r="A30" s="1" t="s">
        <v>43</v>
      </c>
      <c r="B30" s="50">
        <v>43336.661805555559</v>
      </c>
      <c r="C30" s="21">
        <v>0.2</v>
      </c>
      <c r="D30" s="59">
        <v>1053</v>
      </c>
      <c r="E30" s="60">
        <v>253.29</v>
      </c>
      <c r="F30" s="53">
        <f t="shared" si="4"/>
        <v>4.757488556510809E-2</v>
      </c>
      <c r="G30" s="53">
        <f t="shared" si="5"/>
        <v>4.7818219801726569E-2</v>
      </c>
      <c r="H30" s="53"/>
      <c r="I30" s="54">
        <f>Jar_Information!Q36</f>
        <v>43333.663194444445</v>
      </c>
      <c r="J30" s="55">
        <f t="shared" si="1"/>
        <v>2.9986111111138598</v>
      </c>
      <c r="K30" s="55">
        <f t="shared" si="6"/>
        <v>71.966666666732635</v>
      </c>
      <c r="L30" s="56">
        <f>Jar_Information!H36</f>
        <v>1016.8376778203445</v>
      </c>
      <c r="M30" s="55">
        <f t="shared" si="7"/>
        <v>48.375936160593142</v>
      </c>
      <c r="N30" s="55">
        <f t="shared" si="8"/>
        <v>88.527963173885453</v>
      </c>
      <c r="O30" s="73">
        <v>26.855607956200881</v>
      </c>
      <c r="P30" s="57">
        <f t="shared" si="9"/>
        <v>24.143989956514211</v>
      </c>
      <c r="Q30" s="93">
        <f t="shared" si="10"/>
        <v>6.8163037543318845</v>
      </c>
      <c r="R30" s="57">
        <f t="shared" si="11"/>
        <v>66.596714958105736</v>
      </c>
      <c r="S30" s="89">
        <f t="shared" si="12"/>
        <v>4.5394343819510645</v>
      </c>
      <c r="T30" s="61">
        <f>510.2*2.8</f>
        <v>1428.56</v>
      </c>
      <c r="U30" s="71">
        <f t="shared" si="2"/>
        <v>47574.885565108088</v>
      </c>
      <c r="V30" s="72">
        <f t="shared" si="3"/>
        <v>4.7574885565108094</v>
      </c>
      <c r="W30" t="s">
        <v>160</v>
      </c>
      <c r="X30">
        <v>297.77999999999997</v>
      </c>
      <c r="Y30" s="71">
        <f t="shared" si="13"/>
        <v>1423.3884</v>
      </c>
    </row>
    <row r="31" spans="1:25">
      <c r="A31" s="1" t="s">
        <v>44</v>
      </c>
      <c r="B31" s="50">
        <v>43336.662499999999</v>
      </c>
      <c r="C31" s="21">
        <v>0.2</v>
      </c>
      <c r="D31" s="59">
        <v>1126.5</v>
      </c>
      <c r="E31" s="60">
        <v>255.92</v>
      </c>
      <c r="F31" s="53">
        <f t="shared" si="4"/>
        <v>5.1022504560815481E-2</v>
      </c>
      <c r="G31" s="53">
        <f t="shared" si="5"/>
        <v>4.83504286584934E-2</v>
      </c>
      <c r="H31" s="53"/>
      <c r="I31" s="54">
        <f>Jar_Information!Q37</f>
        <v>43333.663194444445</v>
      </c>
      <c r="J31" s="55">
        <f t="shared" si="1"/>
        <v>2.9993055555532919</v>
      </c>
      <c r="K31" s="55">
        <f t="shared" si="6"/>
        <v>71.983333333279006</v>
      </c>
      <c r="L31" s="56">
        <f>Jar_Information!H37</f>
        <v>997.86474656628161</v>
      </c>
      <c r="M31" s="55">
        <f t="shared" si="7"/>
        <v>50.913558582755087</v>
      </c>
      <c r="N31" s="55">
        <f t="shared" si="8"/>
        <v>93.171812206441814</v>
      </c>
      <c r="O31" s="73">
        <v>27.110299231101873</v>
      </c>
      <c r="P31" s="57">
        <f t="shared" si="9"/>
        <v>25.410494238120492</v>
      </c>
      <c r="Q31" s="93">
        <f t="shared" si="10"/>
        <v>7.2712311546704047</v>
      </c>
      <c r="R31" s="57">
        <f t="shared" si="11"/>
        <v>76.709933640309643</v>
      </c>
      <c r="S31" s="89">
        <f t="shared" si="12"/>
        <v>5.5777565935811886</v>
      </c>
      <c r="T31" s="61">
        <f>626.9*2.8</f>
        <v>1755.32</v>
      </c>
      <c r="U31" s="71">
        <f t="shared" si="2"/>
        <v>51022.504560815483</v>
      </c>
      <c r="V31" s="72">
        <f t="shared" si="3"/>
        <v>5.1022504560815483</v>
      </c>
      <c r="W31" t="s">
        <v>160</v>
      </c>
      <c r="X31">
        <v>368.5</v>
      </c>
      <c r="Y31" s="71">
        <f t="shared" si="13"/>
        <v>1761.43</v>
      </c>
    </row>
    <row r="32" spans="1:25">
      <c r="A32" s="1" t="s">
        <v>45</v>
      </c>
      <c r="B32" s="50">
        <v>43336.663888888892</v>
      </c>
      <c r="C32" s="21">
        <v>0.2</v>
      </c>
      <c r="D32" s="59">
        <v>1153.2</v>
      </c>
      <c r="E32" s="60">
        <v>260.22000000000003</v>
      </c>
      <c r="F32" s="53">
        <f t="shared" si="4"/>
        <v>5.22749049306847E-2</v>
      </c>
      <c r="G32" s="53">
        <f t="shared" si="5"/>
        <v>4.9220580021268071E-2</v>
      </c>
      <c r="H32" s="53"/>
      <c r="I32" s="54">
        <f>Jar_Information!Q38</f>
        <v>43333.667361111111</v>
      </c>
      <c r="J32" s="55">
        <f t="shared" si="1"/>
        <v>2.9965277777810115</v>
      </c>
      <c r="K32" s="55">
        <f t="shared" si="6"/>
        <v>71.916666666744277</v>
      </c>
      <c r="L32" s="56">
        <f>Jar_Information!H38</f>
        <v>1026.4072365769557</v>
      </c>
      <c r="M32" s="55">
        <f t="shared" si="7"/>
        <v>53.655340712227158</v>
      </c>
      <c r="N32" s="55">
        <f t="shared" si="8"/>
        <v>98.189273503375702</v>
      </c>
      <c r="O32" s="73">
        <v>26.982766044848059</v>
      </c>
      <c r="P32" s="57">
        <f t="shared" si="9"/>
        <v>26.778892773647918</v>
      </c>
      <c r="Q32" s="93">
        <f t="shared" si="10"/>
        <v>7.5094663254544356</v>
      </c>
      <c r="R32" s="57">
        <f t="shared" si="11"/>
        <v>72.544131856324839</v>
      </c>
      <c r="S32" s="89">
        <f t="shared" si="12"/>
        <v>5.447677152843978</v>
      </c>
      <c r="T32" s="61">
        <f>612.28*2.8</f>
        <v>1714.3839999999998</v>
      </c>
      <c r="U32" s="71">
        <f t="shared" si="2"/>
        <v>52274.904930684701</v>
      </c>
      <c r="V32" s="72">
        <f t="shared" si="3"/>
        <v>5.22749049306847</v>
      </c>
      <c r="W32" t="s">
        <v>160</v>
      </c>
      <c r="X32">
        <v>360.6</v>
      </c>
      <c r="Y32" s="71">
        <f t="shared" si="13"/>
        <v>1723.6680000000001</v>
      </c>
    </row>
    <row r="33" spans="1:25">
      <c r="A33" s="1" t="s">
        <v>46</v>
      </c>
      <c r="B33" s="50">
        <v>43336.664583333331</v>
      </c>
      <c r="C33" s="21">
        <v>0.2</v>
      </c>
      <c r="D33" s="59">
        <v>1046.4000000000001</v>
      </c>
      <c r="E33" s="60">
        <v>239.21</v>
      </c>
      <c r="F33" s="53">
        <f t="shared" si="4"/>
        <v>4.7265303451207843E-2</v>
      </c>
      <c r="G33" s="53">
        <f t="shared" si="5"/>
        <v>4.4968979990594654E-2</v>
      </c>
      <c r="H33" s="61"/>
      <c r="I33" s="54">
        <f>Jar_Information!Q39</f>
        <v>43333.667361111111</v>
      </c>
      <c r="J33" s="55">
        <f t="shared" si="1"/>
        <v>2.9972222222204437</v>
      </c>
      <c r="K33" s="55">
        <f t="shared" si="6"/>
        <v>71.933333333290648</v>
      </c>
      <c r="L33" s="56">
        <f>Jar_Information!H39</f>
        <v>1021.6154823015972</v>
      </c>
      <c r="M33" s="55">
        <f t="shared" si="7"/>
        <v>48.286965781437047</v>
      </c>
      <c r="N33" s="55">
        <f t="shared" si="8"/>
        <v>88.365147380029796</v>
      </c>
      <c r="O33" s="73">
        <v>27.110299231101873</v>
      </c>
      <c r="P33" s="57">
        <f t="shared" si="9"/>
        <v>24.099585649099033</v>
      </c>
      <c r="Q33" s="93">
        <f t="shared" si="10"/>
        <v>6.7809012912779414</v>
      </c>
      <c r="R33" s="57">
        <f t="shared" si="11"/>
        <v>68.571440256315356</v>
      </c>
      <c r="S33" s="89">
        <f t="shared" si="12"/>
        <v>4.6497616777883701</v>
      </c>
      <c r="T33" s="61">
        <f>522.6*2.8</f>
        <v>1463.28</v>
      </c>
      <c r="U33" s="71">
        <f t="shared" si="2"/>
        <v>47265.303451207845</v>
      </c>
      <c r="V33" s="72">
        <f t="shared" si="3"/>
        <v>4.7265303451207847</v>
      </c>
      <c r="W33" t="s">
        <v>160</v>
      </c>
      <c r="X33">
        <v>305.7</v>
      </c>
      <c r="Y33" s="71">
        <f t="shared" si="13"/>
        <v>1461.2460000000001</v>
      </c>
    </row>
    <row r="34" spans="1:25">
      <c r="A34" s="1" t="s">
        <v>47</v>
      </c>
      <c r="B34" s="50">
        <v>43336.667361111111</v>
      </c>
      <c r="C34" s="21">
        <v>0.2</v>
      </c>
      <c r="D34" s="59">
        <v>834.16</v>
      </c>
      <c r="E34" s="60">
        <v>204.62</v>
      </c>
      <c r="F34" s="53">
        <f t="shared" si="4"/>
        <v>3.7309893170269941E-2</v>
      </c>
      <c r="G34" s="53">
        <f t="shared" si="5"/>
        <v>3.7969320539809635E-2</v>
      </c>
      <c r="H34" s="61"/>
      <c r="I34" s="54">
        <f>Jar_Information!Q40</f>
        <v>43333.667361111111</v>
      </c>
      <c r="J34" s="55">
        <f t="shared" si="1"/>
        <v>3</v>
      </c>
      <c r="K34" s="55">
        <f t="shared" si="6"/>
        <v>72</v>
      </c>
      <c r="L34" s="56">
        <f>Jar_Information!H40</f>
        <v>1002.5873566284342</v>
      </c>
      <c r="M34" s="55">
        <f t="shared" si="7"/>
        <v>37.406427169670209</v>
      </c>
      <c r="N34" s="55">
        <f t="shared" si="8"/>
        <v>68.453761720496487</v>
      </c>
      <c r="O34" s="73">
        <v>27.366497554966767</v>
      </c>
      <c r="P34" s="57">
        <f t="shared" si="9"/>
        <v>18.669207741953585</v>
      </c>
      <c r="Q34" s="93">
        <f t="shared" si="10"/>
        <v>5.324219601360439</v>
      </c>
      <c r="R34" s="57">
        <f t="shared" si="11"/>
        <v>67.059301841265068</v>
      </c>
      <c r="S34" s="89">
        <f t="shared" si="12"/>
        <v>3.5703844931680964</v>
      </c>
      <c r="T34" s="61">
        <v>1123.5999999999999</v>
      </c>
      <c r="U34" s="71">
        <f t="shared" si="2"/>
        <v>37309.893170269941</v>
      </c>
      <c r="V34" s="72">
        <f t="shared" si="3"/>
        <v>3.7309893170269941</v>
      </c>
      <c r="X34">
        <v>235.5</v>
      </c>
      <c r="Y34" s="71">
        <f t="shared" si="13"/>
        <v>1125.69</v>
      </c>
    </row>
    <row r="35" spans="1:25">
      <c r="A35" s="1" t="s">
        <v>48</v>
      </c>
      <c r="B35" s="50">
        <v>43336.668749999997</v>
      </c>
      <c r="C35" s="21">
        <v>0.2</v>
      </c>
      <c r="D35" s="59">
        <v>780.73</v>
      </c>
      <c r="E35" s="60">
        <v>190.3</v>
      </c>
      <c r="F35" s="53">
        <f t="shared" si="4"/>
        <v>3.4803685239104688E-2</v>
      </c>
      <c r="G35" s="53">
        <f t="shared" si="5"/>
        <v>3.5071514140987976E-2</v>
      </c>
      <c r="H35" s="61"/>
      <c r="I35" s="54">
        <f>Jar_Information!Q41</f>
        <v>43333.667361111111</v>
      </c>
      <c r="J35" s="55">
        <f t="shared" si="1"/>
        <v>3.0013888888861402</v>
      </c>
      <c r="K35" s="55">
        <f t="shared" si="6"/>
        <v>72.033333333267365</v>
      </c>
      <c r="L35" s="56">
        <f>Jar_Information!H41</f>
        <v>993.15578566615829</v>
      </c>
      <c r="M35" s="55">
        <f t="shared" si="7"/>
        <v>34.565481357720692</v>
      </c>
      <c r="N35" s="55">
        <f t="shared" si="8"/>
        <v>63.254830884628866</v>
      </c>
      <c r="O35" s="74">
        <v>27.753650148385191</v>
      </c>
      <c r="P35" s="57">
        <f t="shared" si="9"/>
        <v>17.25131751398969</v>
      </c>
      <c r="Q35" s="93">
        <f t="shared" si="10"/>
        <v>4.9531625081657928</v>
      </c>
      <c r="R35" s="57">
        <f t="shared" si="11"/>
        <v>98.095907213116675</v>
      </c>
      <c r="S35" s="89">
        <f t="shared" si="12"/>
        <v>4.8588496981251987</v>
      </c>
      <c r="T35" s="61">
        <f>546.1*2.8</f>
        <v>1529.08</v>
      </c>
      <c r="U35" s="71">
        <f t="shared" si="2"/>
        <v>34803.685239104685</v>
      </c>
      <c r="V35" s="72">
        <f t="shared" si="3"/>
        <v>3.4803685239104687</v>
      </c>
      <c r="W35" t="s">
        <v>160</v>
      </c>
      <c r="X35">
        <v>319.10000000000002</v>
      </c>
      <c r="Y35" s="71">
        <f t="shared" si="13"/>
        <v>1525.2980000000002</v>
      </c>
    </row>
    <row r="36" spans="1:25">
      <c r="A36" s="1" t="s">
        <v>49</v>
      </c>
      <c r="B36" s="50">
        <v>43336.670138888891</v>
      </c>
      <c r="C36" s="21">
        <v>2</v>
      </c>
      <c r="D36" s="59">
        <v>1078.3</v>
      </c>
      <c r="E36" s="60">
        <v>254.61</v>
      </c>
      <c r="F36" s="53">
        <f t="shared" si="4"/>
        <v>4.8761617001725739E-3</v>
      </c>
      <c r="G36" s="53">
        <f t="shared" si="5"/>
        <v>4.8085336034020196E-3</v>
      </c>
      <c r="H36" s="61"/>
      <c r="I36" s="54">
        <f>Jar_Information!Q42</f>
        <v>43333.667361111111</v>
      </c>
      <c r="J36" s="55">
        <f t="shared" si="1"/>
        <v>3.0027777777795563</v>
      </c>
      <c r="K36" s="55">
        <f t="shared" si="6"/>
        <v>72.066666666709352</v>
      </c>
      <c r="L36" s="56">
        <f>Jar_Information!H42</f>
        <v>1026.4072365769557</v>
      </c>
      <c r="M36" s="55">
        <f t="shared" si="7"/>
        <v>5.0049276557765214</v>
      </c>
      <c r="N36" s="55">
        <f t="shared" si="8"/>
        <v>9.1590176100710341</v>
      </c>
      <c r="O36" s="74">
        <v>27.110299231101873</v>
      </c>
      <c r="P36" s="57">
        <f t="shared" si="9"/>
        <v>2.4979138936557366</v>
      </c>
      <c r="Q36" s="57"/>
      <c r="R36" s="57"/>
      <c r="S36" s="61"/>
      <c r="T36" s="61"/>
      <c r="U36" s="71">
        <f t="shared" si="2"/>
        <v>4876.1617001725735</v>
      </c>
      <c r="V36" s="72">
        <f t="shared" si="3"/>
        <v>0.48761617001725738</v>
      </c>
    </row>
    <row r="37" spans="1:25">
      <c r="A37" s="62"/>
      <c r="B37" s="50"/>
      <c r="S37" s="61"/>
      <c r="T37" s="61"/>
    </row>
    <row r="38" spans="1:25">
      <c r="A38" s="1" t="s">
        <v>13</v>
      </c>
      <c r="B38" s="50">
        <v>43336.626388888886</v>
      </c>
      <c r="C38" s="21">
        <v>2</v>
      </c>
      <c r="D38" s="59">
        <v>1500.9</v>
      </c>
      <c r="E38" s="60">
        <v>368.75</v>
      </c>
      <c r="F38" s="53">
        <f t="shared" ref="F38:F40" si="14">((I$9*D38)+I$10)/C38/1000</f>
        <v>6.8584253567520867E-3</v>
      </c>
      <c r="G38" s="53">
        <f t="shared" ref="G38:G40" si="15">((I$12*E38)+I$13)/C38/1000</f>
        <v>7.1182795696136461E-3</v>
      </c>
      <c r="H38" s="53"/>
      <c r="I38" s="54">
        <f>Jar_Information!Q6</f>
        <v>43308.701388888891</v>
      </c>
      <c r="J38" s="55">
        <f t="shared" ref="J38:J40" si="16">B38-I38</f>
        <v>27.924999999995634</v>
      </c>
      <c r="K38" s="55">
        <f t="shared" ref="K38:K40" si="17">J38*24</f>
        <v>670.19999999989523</v>
      </c>
      <c r="L38" s="56">
        <f>Jar_Information!H6</f>
        <v>1006.9230769230769</v>
      </c>
      <c r="M38" s="55">
        <f t="shared" ref="M38:M40" si="18">F38*L38</f>
        <v>6.9059067630680628</v>
      </c>
      <c r="N38" s="55">
        <f t="shared" ref="N38:N40" si="19">M38*1.83</f>
        <v>12.637809376414555</v>
      </c>
      <c r="O38" s="55">
        <v>26.611591631551708</v>
      </c>
      <c r="P38" s="57">
        <f t="shared" ref="P38:P40" si="20">N38*(12/(12+(16*2)))</f>
        <v>3.4466752844766968</v>
      </c>
      <c r="Q38" s="57"/>
      <c r="R38" s="57"/>
      <c r="S38" s="58"/>
      <c r="T38" s="58"/>
      <c r="U38" s="71">
        <f>F38*1000000</f>
        <v>6858.4253567520864</v>
      </c>
      <c r="V38" s="72">
        <f>M38/L38*100</f>
        <v>0.6858425356752087</v>
      </c>
    </row>
    <row r="39" spans="1:25">
      <c r="A39" s="1" t="s">
        <v>14</v>
      </c>
      <c r="B39" s="50">
        <v>43336.62777777778</v>
      </c>
      <c r="C39" s="21">
        <v>2</v>
      </c>
      <c r="D39" s="59">
        <v>1522.1</v>
      </c>
      <c r="E39" s="60">
        <v>354.83</v>
      </c>
      <c r="F39" s="53">
        <f t="shared" si="14"/>
        <v>6.9578668842473186E-3</v>
      </c>
      <c r="G39" s="53">
        <f t="shared" si="15"/>
        <v>6.8365933610131033E-3</v>
      </c>
      <c r="H39" s="53"/>
      <c r="I39" s="54">
        <f>Jar_Information!Q7</f>
        <v>43308.701388888891</v>
      </c>
      <c r="J39" s="55">
        <f t="shared" si="16"/>
        <v>27.926388888889051</v>
      </c>
      <c r="K39" s="55">
        <f t="shared" si="17"/>
        <v>670.23333333333721</v>
      </c>
      <c r="L39" s="56">
        <f>Jar_Information!H7</f>
        <v>1026.0859728506789</v>
      </c>
      <c r="M39" s="55">
        <f t="shared" si="18"/>
        <v>7.1393696108884317</v>
      </c>
      <c r="N39" s="55">
        <f t="shared" si="19"/>
        <v>13.065046387925831</v>
      </c>
      <c r="O39" s="55">
        <v>27.118040607238672</v>
      </c>
      <c r="P39" s="57">
        <f t="shared" si="20"/>
        <v>3.5631944694343174</v>
      </c>
      <c r="Q39" s="57"/>
      <c r="R39" s="57"/>
      <c r="S39" s="58"/>
      <c r="T39" s="58"/>
      <c r="U39" s="71">
        <f>F39*1000000</f>
        <v>6957.8668842473189</v>
      </c>
      <c r="V39" s="72">
        <f>M39/L39*100</f>
        <v>0.6957866884247319</v>
      </c>
    </row>
    <row r="40" spans="1:25">
      <c r="A40" s="1" t="s">
        <v>15</v>
      </c>
      <c r="B40" s="50">
        <v>43336.629166666666</v>
      </c>
      <c r="C40" s="21">
        <v>2</v>
      </c>
      <c r="D40" s="59">
        <v>1405.3</v>
      </c>
      <c r="E40" s="60">
        <v>322.45</v>
      </c>
      <c r="F40" s="53">
        <f t="shared" si="14"/>
        <v>6.4100003554056562E-3</v>
      </c>
      <c r="G40" s="53">
        <f t="shared" si="15"/>
        <v>6.1813491487655798E-3</v>
      </c>
      <c r="H40" s="53"/>
      <c r="I40" s="54">
        <f>Jar_Information!Q8</f>
        <v>43308.701388888891</v>
      </c>
      <c r="J40" s="55">
        <f t="shared" si="16"/>
        <v>27.927777777775191</v>
      </c>
      <c r="K40" s="55">
        <f t="shared" si="17"/>
        <v>670.26666666660458</v>
      </c>
      <c r="L40" s="56">
        <f>Jar_Information!H8</f>
        <v>1002.1673217293657</v>
      </c>
      <c r="M40" s="55">
        <f t="shared" si="18"/>
        <v>6.4238928884611681</v>
      </c>
      <c r="N40" s="55">
        <f t="shared" si="19"/>
        <v>11.755723985883938</v>
      </c>
      <c r="O40" s="55">
        <v>26.485903564592896</v>
      </c>
      <c r="P40" s="57">
        <f t="shared" si="20"/>
        <v>3.2061065416047101</v>
      </c>
      <c r="Q40" s="57"/>
      <c r="R40" s="57"/>
      <c r="S40" s="58"/>
      <c r="T40" s="58"/>
      <c r="U40" s="71">
        <f>F40*1000000</f>
        <v>6410.0003554056566</v>
      </c>
      <c r="V40" s="72">
        <f>M40/L40*100</f>
        <v>0.64100003554056562</v>
      </c>
    </row>
  </sheetData>
  <conditionalFormatting sqref="N17:N36">
    <cfRule type="cellIs" dxfId="12" priority="2" operator="greaterThan">
      <formula>26</formula>
    </cfRule>
  </conditionalFormatting>
  <conditionalFormatting sqref="N38:N40">
    <cfRule type="cellIs" dxfId="11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3" workbookViewId="0">
      <selection activeCell="N17" sqref="A17:N17"/>
    </sheetView>
  </sheetViews>
  <sheetFormatPr baseColWidth="10" defaultRowHeight="14" x14ac:dyDescent="0"/>
  <cols>
    <col min="2" max="2" width="19.83203125" bestFit="1" customWidth="1"/>
    <col min="9" max="9" width="15.6640625" bestFit="1" customWidth="1"/>
    <col min="19" max="19" width="19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43339</v>
      </c>
      <c r="C3" s="32">
        <v>3015</v>
      </c>
      <c r="D3" s="22">
        <v>1622.8</v>
      </c>
      <c r="E3" s="33">
        <v>373.33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43339</v>
      </c>
      <c r="C4" s="32">
        <v>3015</v>
      </c>
      <c r="D4" s="33">
        <v>1396.4</v>
      </c>
      <c r="E4" s="33">
        <v>325.75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43339</v>
      </c>
      <c r="C5" s="32">
        <v>3015</v>
      </c>
      <c r="D5" s="22">
        <v>1290.2</v>
      </c>
      <c r="E5" s="33">
        <v>292.92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43339</v>
      </c>
      <c r="C6" s="32">
        <v>3015</v>
      </c>
      <c r="D6" s="33">
        <v>1128.5</v>
      </c>
      <c r="E6" s="33">
        <v>260.45999999999998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43339</v>
      </c>
      <c r="C7" s="32">
        <v>3015</v>
      </c>
      <c r="D7" s="22">
        <v>1024.9000000000001</v>
      </c>
      <c r="E7" s="33">
        <v>242.44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43339</v>
      </c>
      <c r="C8" s="32">
        <v>3015</v>
      </c>
      <c r="D8" s="33">
        <v>826.72</v>
      </c>
      <c r="E8" s="33">
        <v>195.5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43339</v>
      </c>
      <c r="C9" s="32">
        <v>3015</v>
      </c>
      <c r="D9" s="22">
        <v>650.91999999999996</v>
      </c>
      <c r="E9" s="33">
        <v>165.27</v>
      </c>
      <c r="F9" s="34">
        <f t="shared" si="0"/>
        <v>6.03</v>
      </c>
      <c r="G9" s="37" t="s">
        <v>112</v>
      </c>
      <c r="H9" s="37"/>
      <c r="I9" s="38">
        <f>SLOPE(F3:F13,D3:D13)</f>
        <v>9.3003063724118439E-3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43339</v>
      </c>
      <c r="C10" s="32">
        <v>3015</v>
      </c>
      <c r="D10" s="22">
        <v>485.54</v>
      </c>
      <c r="E10" s="33">
        <v>114.85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-9.5383916945225522E-2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43339</v>
      </c>
      <c r="C11" s="32">
        <v>3015</v>
      </c>
      <c r="D11" s="22">
        <v>323.02</v>
      </c>
      <c r="E11" s="33">
        <v>85.850999999999999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43339</v>
      </c>
      <c r="C12" s="32">
        <v>3015</v>
      </c>
      <c r="D12" s="39">
        <v>119.84</v>
      </c>
      <c r="E12" s="39">
        <v>31.286000000000001</v>
      </c>
      <c r="F12" s="34">
        <f t="shared" si="0"/>
        <v>1.206</v>
      </c>
      <c r="G12" s="40" t="s">
        <v>114</v>
      </c>
      <c r="H12" s="40"/>
      <c r="I12" s="41">
        <f>SLOPE(F3:F13,E3:E13)</f>
        <v>4.1165320547071095E-2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43339</v>
      </c>
      <c r="C13" s="32">
        <v>3015</v>
      </c>
      <c r="D13" s="39">
        <v>61.75</v>
      </c>
      <c r="E13" s="39">
        <v>18.687999999999999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-0.42730610070185993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43" t="s">
        <v>122</v>
      </c>
      <c r="U15" s="43" t="s">
        <v>122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  <c r="T16" s="92" t="s">
        <v>155</v>
      </c>
      <c r="U16" s="92" t="s">
        <v>156</v>
      </c>
    </row>
    <row r="17" spans="1:22">
      <c r="A17" s="1" t="s">
        <v>30</v>
      </c>
      <c r="B17" s="50">
        <v>43339.677083333336</v>
      </c>
      <c r="C17" s="21">
        <v>0.2</v>
      </c>
      <c r="D17" s="51">
        <v>970.68</v>
      </c>
      <c r="E17" s="52">
        <v>224.19</v>
      </c>
      <c r="F17" s="53">
        <f>((I$9*D17)+I$10)/C17/1000</f>
        <v>4.4661187363137504E-2</v>
      </c>
      <c r="G17" s="53">
        <f>((I$12*E17)+I$13)/C17/1000</f>
        <v>4.4007735563730034E-2</v>
      </c>
      <c r="H17" s="53"/>
      <c r="I17" s="54">
        <f>Jar_Information!Q23</f>
        <v>43333.603472222225</v>
      </c>
      <c r="J17" s="55">
        <f t="shared" ref="J17:J36" si="1">B17-I17</f>
        <v>6.0736111111109494</v>
      </c>
      <c r="K17" s="55">
        <f>J17*24</f>
        <v>145.76666666666279</v>
      </c>
      <c r="L17" s="56">
        <f>Jar_Information!H23</f>
        <v>1021.6154823015972</v>
      </c>
      <c r="M17" s="55">
        <f>F17*L17</f>
        <v>45.62656046815372</v>
      </c>
      <c r="N17" s="55">
        <f>M17*1.83</f>
        <v>83.496605656721314</v>
      </c>
      <c r="O17" s="57">
        <f>N17*(12/(12+(16*2)))</f>
        <v>22.771801542742175</v>
      </c>
      <c r="P17" s="55">
        <v>27.373506019753322</v>
      </c>
      <c r="Q17" s="55">
        <f>R17/O17*100</f>
        <v>72.641812503563045</v>
      </c>
      <c r="R17" s="58">
        <f>S17/314.7</f>
        <v>16.541849380362248</v>
      </c>
      <c r="S17" s="56">
        <f>1222*4.26</f>
        <v>5205.7199999999993</v>
      </c>
      <c r="T17" s="71">
        <f>F17*1000000</f>
        <v>44661.187363137506</v>
      </c>
      <c r="U17" s="72">
        <f>M17/L17*100</f>
        <v>4.4661187363137502</v>
      </c>
      <c r="V17" t="s">
        <v>161</v>
      </c>
    </row>
    <row r="18" spans="1:22">
      <c r="A18" s="1" t="s">
        <v>31</v>
      </c>
      <c r="B18" s="50">
        <v>43339.678472222222</v>
      </c>
      <c r="C18" s="21">
        <v>0.2</v>
      </c>
      <c r="D18" s="59">
        <v>735.37</v>
      </c>
      <c r="E18" s="60">
        <v>167.56</v>
      </c>
      <c r="F18" s="53">
        <f t="shared" ref="F18:F36" si="2">((I$9*D18)+I$10)/C18/1000</f>
        <v>3.3718911900676357E-2</v>
      </c>
      <c r="G18" s="53">
        <f t="shared" ref="G18:G36" si="3">((I$12*E18)+I$13)/C18/1000</f>
        <v>3.2351775050826863E-2</v>
      </c>
      <c r="H18" s="53"/>
      <c r="I18" s="54">
        <f>Jar_Information!Q24</f>
        <v>43333.603472222225</v>
      </c>
      <c r="J18" s="55">
        <f t="shared" si="1"/>
        <v>6.0749999999970896</v>
      </c>
      <c r="K18" s="55">
        <f t="shared" ref="K18:K36" si="4">J18*24</f>
        <v>145.79999999993015</v>
      </c>
      <c r="L18" s="56">
        <f>Jar_Information!H24</f>
        <v>1040.8668117949733</v>
      </c>
      <c r="M18" s="55">
        <f t="shared" ref="M18:M36" si="5">F18*L18</f>
        <v>35.09689632725258</v>
      </c>
      <c r="N18" s="55">
        <f t="shared" ref="N18:N36" si="6">M18*1.83</f>
        <v>64.227320278872227</v>
      </c>
      <c r="O18" s="57">
        <f t="shared" ref="O18:O36" si="7">N18*(12/(12+(16*2)))</f>
        <v>17.516541894237879</v>
      </c>
      <c r="P18" s="55">
        <v>26.611591631551708</v>
      </c>
      <c r="Q18" s="55">
        <f t="shared" ref="Q18:Q24" si="8">R18/O18*100</f>
        <v>86.707635045815422</v>
      </c>
      <c r="R18" s="58">
        <f t="shared" ref="R18:R24" si="9">S18/314.7</f>
        <v>15.188179218303144</v>
      </c>
      <c r="S18" s="56">
        <f>1122*4.26</f>
        <v>4779.7199999999993</v>
      </c>
      <c r="T18" s="71">
        <f t="shared" ref="T18:T36" si="10">F18*1000000</f>
        <v>33718.911900676358</v>
      </c>
      <c r="U18" s="72">
        <f t="shared" ref="U18:U36" si="11">M18/L18*100</f>
        <v>3.3718911900676356</v>
      </c>
      <c r="V18" t="s">
        <v>161</v>
      </c>
    </row>
    <row r="19" spans="1:22">
      <c r="A19" s="1" t="s">
        <v>32</v>
      </c>
      <c r="B19" s="50">
        <v>43339.679861111108</v>
      </c>
      <c r="C19" s="21">
        <v>0.2</v>
      </c>
      <c r="D19" s="59">
        <v>542.89</v>
      </c>
      <c r="E19" s="60">
        <v>135.74</v>
      </c>
      <c r="F19" s="53">
        <f t="shared" si="2"/>
        <v>2.4768297047867201E-2</v>
      </c>
      <c r="G19" s="53">
        <f t="shared" si="3"/>
        <v>2.5802372551787855E-2</v>
      </c>
      <c r="H19" s="53"/>
      <c r="I19" s="54">
        <f>Jar_Information!Q25</f>
        <v>43333.603472222225</v>
      </c>
      <c r="J19" s="55">
        <f t="shared" si="1"/>
        <v>6.0763888888832298</v>
      </c>
      <c r="K19" s="55">
        <f t="shared" si="4"/>
        <v>145.83333333319752</v>
      </c>
      <c r="L19" s="56">
        <f>Jar_Information!H25</f>
        <v>1031.2130018297275</v>
      </c>
      <c r="M19" s="55">
        <f t="shared" si="5"/>
        <v>25.541389948941514</v>
      </c>
      <c r="N19" s="55">
        <f t="shared" si="6"/>
        <v>46.740743606562972</v>
      </c>
      <c r="O19" s="57">
        <f t="shared" si="7"/>
        <v>12.747475529062628</v>
      </c>
      <c r="P19" s="55">
        <v>27.373506019753343</v>
      </c>
      <c r="Q19" s="55">
        <f t="shared" si="8"/>
        <v>93.388460234395509</v>
      </c>
      <c r="R19" s="58">
        <f t="shared" si="9"/>
        <v>11.90467111534795</v>
      </c>
      <c r="S19" s="56">
        <f>1338*2.8</f>
        <v>3746.3999999999996</v>
      </c>
      <c r="T19" s="71">
        <f t="shared" si="10"/>
        <v>24768.297047867203</v>
      </c>
      <c r="U19" s="72">
        <f t="shared" si="11"/>
        <v>2.47682970478672</v>
      </c>
      <c r="V19" t="s">
        <v>160</v>
      </c>
    </row>
    <row r="20" spans="1:22">
      <c r="A20" s="1" t="s">
        <v>33</v>
      </c>
      <c r="B20" s="50">
        <v>43339.681250000001</v>
      </c>
      <c r="C20" s="21">
        <v>1</v>
      </c>
      <c r="D20" s="59">
        <v>1409.4</v>
      </c>
      <c r="E20" s="60">
        <v>314.94</v>
      </c>
      <c r="F20" s="53">
        <f t="shared" si="2"/>
        <v>1.3012467884332029E-2</v>
      </c>
      <c r="G20" s="53">
        <f t="shared" si="3"/>
        <v>1.2537299952392712E-2</v>
      </c>
      <c r="H20" s="53"/>
      <c r="I20" s="54">
        <f>Jar_Information!Q26</f>
        <v>43333.65902777778</v>
      </c>
      <c r="J20" s="55">
        <f t="shared" si="1"/>
        <v>6.0222222222218988</v>
      </c>
      <c r="K20" s="55">
        <f t="shared" si="4"/>
        <v>144.53333333332557</v>
      </c>
      <c r="L20" s="56">
        <f>Jar_Information!H26</f>
        <v>1016.8376778203445</v>
      </c>
      <c r="M20" s="55">
        <f t="shared" si="5"/>
        <v>13.231567626215993</v>
      </c>
      <c r="N20" s="55">
        <f t="shared" si="6"/>
        <v>24.213768755975266</v>
      </c>
      <c r="O20" s="57">
        <f t="shared" si="7"/>
        <v>6.6037551152659812</v>
      </c>
      <c r="P20" s="55">
        <v>26.611591631551708</v>
      </c>
      <c r="Q20" s="55">
        <f t="shared" si="8"/>
        <v>135.54025833329618</v>
      </c>
      <c r="R20" s="58">
        <f t="shared" si="9"/>
        <v>8.9507467429297733</v>
      </c>
      <c r="S20" s="56">
        <f>1006*2.8</f>
        <v>2816.7999999999997</v>
      </c>
      <c r="T20" s="71">
        <f t="shared" si="10"/>
        <v>13012.467884332029</v>
      </c>
      <c r="U20" s="72">
        <f t="shared" si="11"/>
        <v>1.3012467884332029</v>
      </c>
      <c r="V20" t="s">
        <v>160</v>
      </c>
    </row>
    <row r="21" spans="1:22">
      <c r="A21" s="1" t="s">
        <v>34</v>
      </c>
      <c r="B21" s="50">
        <v>43339.682638888888</v>
      </c>
      <c r="C21" s="21">
        <v>1</v>
      </c>
      <c r="D21" s="59">
        <v>861.27</v>
      </c>
      <c r="E21" s="60">
        <v>208.87</v>
      </c>
      <c r="F21" s="53">
        <f t="shared" si="2"/>
        <v>7.9146909524219228E-3</v>
      </c>
      <c r="G21" s="53">
        <f t="shared" si="3"/>
        <v>8.1708944019648795E-3</v>
      </c>
      <c r="H21" s="53"/>
      <c r="I21" s="54">
        <f>Jar_Information!Q27</f>
        <v>43333.603472222225</v>
      </c>
      <c r="J21" s="55">
        <f t="shared" si="1"/>
        <v>6.0791666666627862</v>
      </c>
      <c r="K21" s="55">
        <f t="shared" si="4"/>
        <v>145.89999999990687</v>
      </c>
      <c r="L21" s="56">
        <f>Jar_Information!H27</f>
        <v>1026.4072365769557</v>
      </c>
      <c r="M21" s="55">
        <f t="shared" si="5"/>
        <v>8.1236960688360202</v>
      </c>
      <c r="N21" s="55">
        <f t="shared" si="6"/>
        <v>14.866363805969918</v>
      </c>
      <c r="O21" s="57">
        <f t="shared" si="7"/>
        <v>4.0544628561736138</v>
      </c>
      <c r="P21" s="55">
        <v>27.118040607238672</v>
      </c>
      <c r="Q21" s="55">
        <f t="shared" si="8"/>
        <v>0</v>
      </c>
      <c r="R21" s="58"/>
      <c r="S21" s="91"/>
      <c r="T21" s="71">
        <f t="shared" si="10"/>
        <v>7914.6909524219227</v>
      </c>
      <c r="U21" s="72">
        <f t="shared" si="11"/>
        <v>0.79146909524219233</v>
      </c>
      <c r="V21" s="90" t="s">
        <v>154</v>
      </c>
    </row>
    <row r="22" spans="1:22">
      <c r="A22" s="1" t="s">
        <v>35</v>
      </c>
      <c r="B22" s="50">
        <v>43339.684027777781</v>
      </c>
      <c r="C22" s="21">
        <v>0.4</v>
      </c>
      <c r="D22" s="59">
        <v>846.64</v>
      </c>
      <c r="E22" s="60">
        <v>193.23</v>
      </c>
      <c r="F22" s="53">
        <f t="shared" si="2"/>
        <v>1.9446568675483843E-2</v>
      </c>
      <c r="G22" s="53">
        <f t="shared" si="3"/>
        <v>1.8817671971521718E-2</v>
      </c>
      <c r="H22" s="53"/>
      <c r="I22" s="54">
        <f>Jar_Information!Q28</f>
        <v>43333.65902777778</v>
      </c>
      <c r="J22" s="55">
        <f t="shared" si="1"/>
        <v>6.0250000000014552</v>
      </c>
      <c r="K22" s="55">
        <f t="shared" si="4"/>
        <v>144.60000000003492</v>
      </c>
      <c r="L22" s="56">
        <f>Jar_Information!H28</f>
        <v>1007.3236752829298</v>
      </c>
      <c r="M22" s="55">
        <f t="shared" si="5"/>
        <v>19.58898902983028</v>
      </c>
      <c r="N22" s="55">
        <f t="shared" si="6"/>
        <v>35.847849924589411</v>
      </c>
      <c r="O22" s="57">
        <f t="shared" si="7"/>
        <v>9.776686343069839</v>
      </c>
      <c r="P22" s="55">
        <v>26.485903564592896</v>
      </c>
      <c r="Q22" s="55">
        <f t="shared" si="8"/>
        <v>93.190053863223696</v>
      </c>
      <c r="R22" s="58">
        <f t="shared" si="9"/>
        <v>9.110899269145218</v>
      </c>
      <c r="S22" s="56">
        <f>1024*2.8</f>
        <v>2867.2</v>
      </c>
      <c r="T22" s="71">
        <f t="shared" si="10"/>
        <v>19446.568675483843</v>
      </c>
      <c r="U22" s="72">
        <f t="shared" si="11"/>
        <v>1.9446568675483844</v>
      </c>
      <c r="V22" t="s">
        <v>160</v>
      </c>
    </row>
    <row r="23" spans="1:22">
      <c r="A23" s="1" t="s">
        <v>36</v>
      </c>
      <c r="B23" s="50">
        <v>43339.670138888891</v>
      </c>
      <c r="C23" s="21">
        <v>0.4</v>
      </c>
      <c r="D23" s="59">
        <v>741.8</v>
      </c>
      <c r="E23" s="60">
        <v>176.12</v>
      </c>
      <c r="F23" s="53">
        <f t="shared" si="2"/>
        <v>1.7008958375274698E-2</v>
      </c>
      <c r="G23" s="53">
        <f t="shared" si="3"/>
        <v>1.7056825385120752E-2</v>
      </c>
      <c r="H23" s="53"/>
      <c r="I23" s="54">
        <f>Jar_Information!Q29</f>
        <v>43333.65902777778</v>
      </c>
      <c r="J23" s="55">
        <f t="shared" si="1"/>
        <v>6.0111111111109494</v>
      </c>
      <c r="K23" s="55">
        <f t="shared" si="4"/>
        <v>144.26666666666279</v>
      </c>
      <c r="L23" s="56">
        <f>Jar_Information!H29</f>
        <v>1036.0328396015414</v>
      </c>
      <c r="M23" s="55">
        <f t="shared" si="5"/>
        <v>17.621839444200265</v>
      </c>
      <c r="N23" s="55">
        <f t="shared" si="6"/>
        <v>32.247966182886486</v>
      </c>
      <c r="O23" s="57">
        <f t="shared" si="7"/>
        <v>8.7948998680599502</v>
      </c>
      <c r="P23" s="55">
        <v>27.501804749819797</v>
      </c>
      <c r="Q23" s="55">
        <f t="shared" si="8"/>
        <v>82.752989680604443</v>
      </c>
      <c r="R23" s="58">
        <f t="shared" si="9"/>
        <v>7.2780425802351436</v>
      </c>
      <c r="S23" s="56">
        <f>818*2.8</f>
        <v>2290.3999999999996</v>
      </c>
      <c r="T23" s="71">
        <f t="shared" si="10"/>
        <v>17008.958375274698</v>
      </c>
      <c r="U23" s="72">
        <f t="shared" si="11"/>
        <v>1.7008958375274699</v>
      </c>
      <c r="V23" t="s">
        <v>160</v>
      </c>
    </row>
    <row r="24" spans="1:22">
      <c r="A24" s="1" t="s">
        <v>37</v>
      </c>
      <c r="B24" s="50">
        <v>43339.671527777777</v>
      </c>
      <c r="C24" s="21">
        <v>0.4</v>
      </c>
      <c r="D24" s="59">
        <v>673.8</v>
      </c>
      <c r="E24" s="60">
        <v>168.63</v>
      </c>
      <c r="F24" s="53">
        <f t="shared" si="2"/>
        <v>1.5427906291964685E-2</v>
      </c>
      <c r="G24" s="53">
        <f t="shared" si="3"/>
        <v>1.6286004757876844E-2</v>
      </c>
      <c r="H24" s="53"/>
      <c r="I24" s="54">
        <f>Jar_Information!Q30</f>
        <v>43333.65902777778</v>
      </c>
      <c r="J24" s="55">
        <f t="shared" si="1"/>
        <v>6.0124999999970896</v>
      </c>
      <c r="K24" s="55">
        <f t="shared" si="4"/>
        <v>144.29999999993015</v>
      </c>
      <c r="L24" s="56">
        <f>Jar_Information!H30</f>
        <v>1036.0328396015414</v>
      </c>
      <c r="M24" s="55">
        <f t="shared" si="5"/>
        <v>15.983817564770659</v>
      </c>
      <c r="N24" s="55">
        <f t="shared" si="6"/>
        <v>29.250386143530307</v>
      </c>
      <c r="O24" s="57">
        <f t="shared" si="7"/>
        <v>7.9773780391446287</v>
      </c>
      <c r="P24" s="55">
        <v>27.118040607238672</v>
      </c>
      <c r="Q24" s="55">
        <f t="shared" si="8"/>
        <v>79.968743233825563</v>
      </c>
      <c r="R24" s="58">
        <f t="shared" si="9"/>
        <v>6.379408960915157</v>
      </c>
      <c r="S24" s="56">
        <f>717*2.8</f>
        <v>2007.6</v>
      </c>
      <c r="T24" s="71">
        <f t="shared" si="10"/>
        <v>15427.906291964686</v>
      </c>
      <c r="U24" s="72">
        <f t="shared" si="11"/>
        <v>1.5427906291964686</v>
      </c>
      <c r="V24" t="s">
        <v>160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Jar_Information!Q31</f>
        <v>43333.65902777778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T25" s="71" t="e">
        <f t="shared" si="10"/>
        <v>#DIV/0!</v>
      </c>
      <c r="U25" s="72" t="e">
        <f t="shared" si="11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>
        <f>Jar_Information!Q32</f>
        <v>43333.663194444445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73"/>
      <c r="T26" s="71" t="e">
        <f t="shared" si="10"/>
        <v>#DIV/0!</v>
      </c>
      <c r="U26" s="72" t="e">
        <f t="shared" si="11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>
        <f>Jar_Information!Q33</f>
        <v>43333.663194444445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73"/>
      <c r="R27" s="89"/>
      <c r="S27" s="61"/>
      <c r="T27" s="71" t="e">
        <f t="shared" si="10"/>
        <v>#DIV/0!</v>
      </c>
      <c r="U27" s="72" t="e">
        <f t="shared" si="11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>
        <f>Jar_Information!Q34</f>
        <v>43333.663194444445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73"/>
      <c r="R28" s="89"/>
      <c r="S28" s="61"/>
      <c r="T28" s="71" t="e">
        <f t="shared" si="10"/>
        <v>#DIV/0!</v>
      </c>
      <c r="U28" s="72" t="e">
        <f t="shared" si="11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Jar_Information!Q35</f>
        <v>43333.663194444445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10"/>
        <v>#DIV/0!</v>
      </c>
      <c r="U29" s="72" t="e">
        <f t="shared" si="11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>
        <f>Jar_Information!Q36</f>
        <v>43333.663194444445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73"/>
      <c r="R30" s="89"/>
      <c r="S30" s="61"/>
      <c r="T30" s="71" t="e">
        <f t="shared" si="10"/>
        <v>#DIV/0!</v>
      </c>
      <c r="U30" s="72" t="e">
        <f t="shared" si="11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Jar_Information!Q37</f>
        <v>43333.663194444445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10"/>
        <v>#DIV/0!</v>
      </c>
      <c r="U31" s="72" t="e">
        <f t="shared" si="11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Jar_Information!Q38</f>
        <v>43333.667361111111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10"/>
        <v>#DIV/0!</v>
      </c>
      <c r="U32" s="72" t="e">
        <f t="shared" si="11"/>
        <v>#DIV/0!</v>
      </c>
    </row>
    <row r="33" spans="1:22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Jar_Information!Q39</f>
        <v>43333.667361111111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10"/>
        <v>#DIV/0!</v>
      </c>
      <c r="U33" s="72" t="e">
        <f t="shared" si="11"/>
        <v>#DIV/0!</v>
      </c>
    </row>
    <row r="34" spans="1:22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Jar_Information!Q40</f>
        <v>43333.667361111111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10"/>
        <v>#DIV/0!</v>
      </c>
      <c r="U34" s="72" t="e">
        <f t="shared" si="11"/>
        <v>#DIV/0!</v>
      </c>
    </row>
    <row r="35" spans="1:22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Jar_Information!Q41</f>
        <v>43333.667361111111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S35" s="61"/>
      <c r="T35" s="71" t="e">
        <f t="shared" si="10"/>
        <v>#DIV/0!</v>
      </c>
      <c r="U35" s="72" t="e">
        <f t="shared" si="11"/>
        <v>#DIV/0!</v>
      </c>
    </row>
    <row r="36" spans="1:22">
      <c r="A36" s="1" t="s">
        <v>49</v>
      </c>
      <c r="B36" s="50">
        <v>43339.67291666667</v>
      </c>
      <c r="C36" s="21">
        <v>0.4</v>
      </c>
      <c r="D36" s="59">
        <v>574.6</v>
      </c>
      <c r="E36" s="60">
        <v>135.88999999999999</v>
      </c>
      <c r="F36" s="53">
        <f t="shared" si="2"/>
        <v>1.3121430311606549E-2</v>
      </c>
      <c r="G36" s="53">
        <f t="shared" si="3"/>
        <v>1.2916623271099078E-2</v>
      </c>
      <c r="H36" s="61"/>
      <c r="I36" s="54">
        <f>Jar_Information!Q42</f>
        <v>43333.667361111111</v>
      </c>
      <c r="J36" s="55">
        <f t="shared" si="1"/>
        <v>6.0055555555591127</v>
      </c>
      <c r="K36" s="55">
        <f t="shared" si="4"/>
        <v>144.1333333334187</v>
      </c>
      <c r="L36" s="56">
        <f>Jar_Information!H42</f>
        <v>1026.4072365769557</v>
      </c>
      <c r="M36" s="55">
        <f t="shared" si="5"/>
        <v>13.467931026073181</v>
      </c>
      <c r="N36" s="55">
        <f t="shared" si="6"/>
        <v>24.646313777713921</v>
      </c>
      <c r="O36" s="57">
        <f t="shared" si="7"/>
        <v>6.7217219393765237</v>
      </c>
      <c r="P36" s="74">
        <v>27.110299231101873</v>
      </c>
      <c r="Q36" s="55">
        <f t="shared" ref="Q36" si="12">R36/O36*100</f>
        <v>99.27548306561502</v>
      </c>
      <c r="R36" s="58">
        <f>S36/314.7</f>
        <v>6.6730219256434706</v>
      </c>
      <c r="S36" s="61">
        <f>750*2.8</f>
        <v>2100</v>
      </c>
      <c r="T36" s="71">
        <f t="shared" si="10"/>
        <v>13121.430311606549</v>
      </c>
      <c r="U36" s="72">
        <f t="shared" si="11"/>
        <v>1.312143031160655</v>
      </c>
      <c r="V36" t="s">
        <v>160</v>
      </c>
    </row>
    <row r="37" spans="1:22">
      <c r="A37" s="62"/>
      <c r="B37" s="50"/>
      <c r="R37" s="61"/>
      <c r="S37" s="61"/>
    </row>
    <row r="38" spans="1:22">
      <c r="A38" s="1" t="s">
        <v>13</v>
      </c>
      <c r="B38" s="50">
        <v>43339.674305555556</v>
      </c>
      <c r="C38" s="21">
        <v>2</v>
      </c>
      <c r="D38" s="59">
        <v>1618</v>
      </c>
      <c r="E38" s="60">
        <v>359</v>
      </c>
      <c r="F38" s="53">
        <f t="shared" ref="F38:F40" si="13">((I$9*D38)+I$10)/C38/1000</f>
        <v>7.4762558968085686E-3</v>
      </c>
      <c r="G38" s="53">
        <f t="shared" ref="G38:G40" si="14">((I$12*E38)+I$13)/C38/1000</f>
        <v>7.1755219878483307E-3</v>
      </c>
      <c r="H38" s="53"/>
      <c r="I38" s="54">
        <f>Jar_Information!Q6</f>
        <v>43308.701388888891</v>
      </c>
      <c r="J38" s="55">
        <f t="shared" ref="J38:J40" si="15">B38-I38</f>
        <v>30.972916666665697</v>
      </c>
      <c r="K38" s="55">
        <f t="shared" ref="K38:K40" si="16">J38*24</f>
        <v>743.34999999997672</v>
      </c>
      <c r="L38" s="56">
        <f>Jar_Information!H6</f>
        <v>1006.9230769230769</v>
      </c>
      <c r="M38" s="55">
        <f t="shared" ref="M38:M40" si="17">F38*L38</f>
        <v>7.5280145914787813</v>
      </c>
      <c r="N38" s="55">
        <f t="shared" ref="N38:N40" si="18">M38*1.83</f>
        <v>13.77626670240617</v>
      </c>
      <c r="O38" s="57">
        <f t="shared" ref="O38:O40" si="19">N38*(12/(12+(16*2)))</f>
        <v>3.7571636461107736</v>
      </c>
      <c r="P38" s="55">
        <v>26.611591631551708</v>
      </c>
      <c r="Q38" s="55"/>
      <c r="R38" s="58"/>
      <c r="S38" s="58"/>
      <c r="T38" s="71">
        <f t="shared" ref="T38:T40" si="20">F38*1000000</f>
        <v>7476.2558968085687</v>
      </c>
      <c r="U38" s="72">
        <f t="shared" ref="U38:U40" si="21">M38/L38*100</f>
        <v>0.74762558968085691</v>
      </c>
    </row>
    <row r="39" spans="1:22">
      <c r="A39" s="1" t="s">
        <v>14</v>
      </c>
      <c r="B39" s="50">
        <v>43339.675694444442</v>
      </c>
      <c r="C39" s="21">
        <v>2</v>
      </c>
      <c r="D39" s="59">
        <v>1589.1</v>
      </c>
      <c r="E39" s="60">
        <v>364.58</v>
      </c>
      <c r="F39" s="53">
        <f t="shared" si="13"/>
        <v>7.3418664697272179E-3</v>
      </c>
      <c r="G39" s="53">
        <f t="shared" si="14"/>
        <v>7.290373232174659E-3</v>
      </c>
      <c r="H39" s="53"/>
      <c r="I39" s="54">
        <f>Jar_Information!Q7</f>
        <v>43308.701388888891</v>
      </c>
      <c r="J39" s="55">
        <f t="shared" si="15"/>
        <v>30.974305555551837</v>
      </c>
      <c r="K39" s="55">
        <f t="shared" si="16"/>
        <v>743.38333333324408</v>
      </c>
      <c r="L39" s="56">
        <f>Jar_Information!H7</f>
        <v>1026.0859728506789</v>
      </c>
      <c r="M39" s="55">
        <f t="shared" si="17"/>
        <v>7.5333861991298319</v>
      </c>
      <c r="N39" s="55">
        <f t="shared" si="18"/>
        <v>13.786096744407592</v>
      </c>
      <c r="O39" s="57">
        <f t="shared" si="19"/>
        <v>3.7598445666566156</v>
      </c>
      <c r="P39" s="55">
        <v>27.118040607238672</v>
      </c>
      <c r="Q39" s="55"/>
      <c r="R39" s="58"/>
      <c r="S39" s="58"/>
      <c r="T39" s="71">
        <f t="shared" si="20"/>
        <v>7341.8664697272179</v>
      </c>
      <c r="U39" s="72">
        <f t="shared" si="21"/>
        <v>0.73418664697272185</v>
      </c>
    </row>
    <row r="40" spans="1:22">
      <c r="A40" s="1" t="s">
        <v>15</v>
      </c>
      <c r="B40" s="50">
        <v>43339.677083333336</v>
      </c>
      <c r="C40" s="21">
        <v>2</v>
      </c>
      <c r="D40" s="59">
        <v>1352.9</v>
      </c>
      <c r="E40" s="60">
        <v>311.18</v>
      </c>
      <c r="F40" s="53">
        <f t="shared" si="13"/>
        <v>6.2435002871453794E-3</v>
      </c>
      <c r="G40" s="53">
        <f t="shared" si="14"/>
        <v>6.1912591735678608E-3</v>
      </c>
      <c r="H40" s="53"/>
      <c r="I40" s="54">
        <f>Jar_Information!Q8</f>
        <v>43308.701388888891</v>
      </c>
      <c r="J40" s="55">
        <f t="shared" si="15"/>
        <v>30.975694444445253</v>
      </c>
      <c r="K40" s="55">
        <f t="shared" si="16"/>
        <v>743.41666666668607</v>
      </c>
      <c r="L40" s="56">
        <f>Jar_Information!H8</f>
        <v>1002.1673217293657</v>
      </c>
      <c r="M40" s="55">
        <f t="shared" si="17"/>
        <v>6.2570319609850102</v>
      </c>
      <c r="N40" s="55">
        <f t="shared" si="18"/>
        <v>11.450368488602569</v>
      </c>
      <c r="O40" s="57">
        <f t="shared" si="19"/>
        <v>3.1228277696188824</v>
      </c>
      <c r="P40" s="55">
        <v>26.485903564592896</v>
      </c>
      <c r="Q40" s="55"/>
      <c r="R40" s="58"/>
      <c r="S40" s="58"/>
      <c r="T40" s="71">
        <f t="shared" si="20"/>
        <v>6243.5002871453798</v>
      </c>
      <c r="U40" s="72">
        <f t="shared" si="21"/>
        <v>0.62435002871453793</v>
      </c>
    </row>
  </sheetData>
  <conditionalFormatting sqref="N17:N36">
    <cfRule type="cellIs" dxfId="10" priority="2" operator="greaterThan">
      <formula>26</formula>
    </cfRule>
  </conditionalFormatting>
  <conditionalFormatting sqref="N38:N40">
    <cfRule type="cellIs" dxfId="9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8" workbookViewId="0">
      <selection activeCell="I41" sqref="I41"/>
    </sheetView>
  </sheetViews>
  <sheetFormatPr baseColWidth="10" defaultRowHeight="14" x14ac:dyDescent="0"/>
  <cols>
    <col min="2" max="2" width="19.83203125" bestFit="1" customWidth="1"/>
    <col min="8" max="8" width="4.6640625" customWidth="1"/>
    <col min="9" max="9" width="15.66406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43346</v>
      </c>
      <c r="C3" s="32">
        <v>3015</v>
      </c>
      <c r="D3" s="22">
        <v>1593.5</v>
      </c>
      <c r="E3" s="33">
        <v>368.54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43346</v>
      </c>
      <c r="C4" s="32">
        <v>3015</v>
      </c>
      <c r="D4" s="33">
        <v>1444.6</v>
      </c>
      <c r="E4" s="33">
        <v>321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43346</v>
      </c>
      <c r="C5" s="32">
        <v>3015</v>
      </c>
      <c r="D5" s="22">
        <v>1312.3</v>
      </c>
      <c r="E5" s="33" t="s">
        <v>158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43346</v>
      </c>
      <c r="C6" s="32">
        <v>3015</v>
      </c>
      <c r="D6" s="33">
        <v>1139.3</v>
      </c>
      <c r="E6" s="33">
        <v>258.79000000000002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43346</v>
      </c>
      <c r="C7" s="32">
        <v>3015</v>
      </c>
      <c r="D7" s="22">
        <v>975.64</v>
      </c>
      <c r="E7" s="33">
        <v>212.71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43346</v>
      </c>
      <c r="C8" s="32">
        <v>3015</v>
      </c>
      <c r="D8" s="33">
        <v>817.39</v>
      </c>
      <c r="E8" s="33">
        <v>192.77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43346</v>
      </c>
      <c r="C9" s="32">
        <v>3015</v>
      </c>
      <c r="D9" s="22">
        <v>701.66</v>
      </c>
      <c r="E9" s="33">
        <v>178.32</v>
      </c>
      <c r="F9" s="34">
        <f t="shared" si="0"/>
        <v>6.03</v>
      </c>
      <c r="G9" s="37" t="s">
        <v>112</v>
      </c>
      <c r="H9" s="37"/>
      <c r="I9" s="38">
        <f>SLOPE(F3:F13,D3:D13)</f>
        <v>9.342793460099667E-3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43346</v>
      </c>
      <c r="C10" s="32">
        <v>3015</v>
      </c>
      <c r="D10" s="22">
        <v>481.87</v>
      </c>
      <c r="E10" s="33">
        <v>116.94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-0.18889556301817834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43346</v>
      </c>
      <c r="C11" s="32">
        <v>3015</v>
      </c>
      <c r="D11" s="22">
        <v>337.99</v>
      </c>
      <c r="E11" s="33">
        <v>83.620999999999995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43346</v>
      </c>
      <c r="C12" s="32">
        <v>3015</v>
      </c>
      <c r="D12" s="39">
        <v>135.51</v>
      </c>
      <c r="E12" s="39">
        <v>35.329000000000001</v>
      </c>
      <c r="F12" s="34">
        <f t="shared" si="0"/>
        <v>1.206</v>
      </c>
      <c r="G12" s="40" t="s">
        <v>114</v>
      </c>
      <c r="H12" s="40"/>
      <c r="I12" s="41">
        <f>SLOPE(F3:F13,E3:E13)</f>
        <v>4.1993676581640806E-2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43346</v>
      </c>
      <c r="C13" s="32">
        <v>3015</v>
      </c>
      <c r="D13" s="39">
        <v>60.316000000000003</v>
      </c>
      <c r="E13" s="39">
        <v>19.425999999999998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-0.51134292311475349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43" t="s">
        <v>122</v>
      </c>
      <c r="V15" s="43" t="s">
        <v>122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 t="s">
        <v>132</v>
      </c>
      <c r="R16" s="47" t="s">
        <v>156</v>
      </c>
      <c r="S16" s="47" t="s">
        <v>132</v>
      </c>
      <c r="T16" s="47" t="s">
        <v>153</v>
      </c>
      <c r="U16" s="92" t="s">
        <v>155</v>
      </c>
      <c r="V16" s="92" t="s">
        <v>156</v>
      </c>
    </row>
    <row r="17" spans="1:22">
      <c r="A17" s="1" t="s">
        <v>30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Jar_Information!Q23</f>
        <v>43333.603472222225</v>
      </c>
      <c r="J17" s="55">
        <f t="shared" ref="J17:J35" si="1">B17-I17</f>
        <v>-43333.603472222225</v>
      </c>
      <c r="K17" s="55">
        <f>J17*24</f>
        <v>-1040006.4833333334</v>
      </c>
      <c r="L17" s="56">
        <f>Jar_Information!H23</f>
        <v>1021.6154823015972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93" t="e">
        <f>O17*(400/(400+L17))</f>
        <v>#DIV/0!</v>
      </c>
      <c r="R17" s="93"/>
      <c r="S17" s="93"/>
      <c r="T17" s="56"/>
      <c r="U17" s="71" t="e">
        <f>F17*1000000</f>
        <v>#DIV/0!</v>
      </c>
      <c r="V17" s="72" t="e">
        <f>M17/L17*100</f>
        <v>#DIV/0!</v>
      </c>
    </row>
    <row r="18" spans="1:22">
      <c r="A18" s="1" t="s">
        <v>31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Jar_Information!Q24</f>
        <v>43333.603472222225</v>
      </c>
      <c r="J18" s="55">
        <f t="shared" si="1"/>
        <v>-43333.603472222225</v>
      </c>
      <c r="K18" s="55">
        <f t="shared" ref="K18:K36" si="4">J18*24</f>
        <v>-1040006.4833333334</v>
      </c>
      <c r="L18" s="56">
        <f>Jar_Information!H24</f>
        <v>1040.8668117949733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93" t="e">
        <f t="shared" ref="Q18:Q40" si="8">O18*(400/(400+L18))</f>
        <v>#DIV/0!</v>
      </c>
      <c r="R18" s="93"/>
      <c r="S18" s="58"/>
      <c r="T18" s="56"/>
      <c r="U18" s="71" t="e">
        <f t="shared" ref="U18:U36" si="9">F18*1000000</f>
        <v>#DIV/0!</v>
      </c>
      <c r="V18" s="72" t="e">
        <f t="shared" ref="V18:V36" si="10">M18/L18*100</f>
        <v>#DIV/0!</v>
      </c>
    </row>
    <row r="19" spans="1:22">
      <c r="A19" s="1" t="s">
        <v>32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Jar_Information!Q25</f>
        <v>43333.603472222225</v>
      </c>
      <c r="J19" s="55">
        <f t="shared" si="1"/>
        <v>-43333.603472222225</v>
      </c>
      <c r="K19" s="55">
        <f t="shared" si="4"/>
        <v>-1040006.4833333334</v>
      </c>
      <c r="L19" s="56">
        <f>Jar_Information!H25</f>
        <v>1031.2130018297275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93" t="e">
        <f t="shared" si="8"/>
        <v>#DIV/0!</v>
      </c>
      <c r="R19" s="93"/>
      <c r="S19" s="58"/>
      <c r="T19" s="56"/>
      <c r="U19" s="71" t="e">
        <f t="shared" si="9"/>
        <v>#DIV/0!</v>
      </c>
      <c r="V19" s="72" t="e">
        <f t="shared" si="10"/>
        <v>#DIV/0!</v>
      </c>
    </row>
    <row r="20" spans="1:22">
      <c r="A20" s="1" t="s">
        <v>33</v>
      </c>
      <c r="B20" s="50"/>
      <c r="C20" s="21"/>
      <c r="D20" s="59"/>
      <c r="E20" s="60"/>
      <c r="F20" s="53" t="e">
        <f t="shared" si="2"/>
        <v>#DIV/0!</v>
      </c>
      <c r="G20" s="53" t="e">
        <f t="shared" si="3"/>
        <v>#DIV/0!</v>
      </c>
      <c r="H20" s="53"/>
      <c r="I20" s="54">
        <f>Jar_Information!Q26</f>
        <v>43333.65902777778</v>
      </c>
      <c r="J20" s="55">
        <f t="shared" si="1"/>
        <v>-43333.65902777778</v>
      </c>
      <c r="K20" s="55">
        <f t="shared" si="4"/>
        <v>-1040007.8166666667</v>
      </c>
      <c r="L20" s="56">
        <f>Jar_Information!H26</f>
        <v>1016.8376778203445</v>
      </c>
      <c r="M20" s="55" t="e">
        <f t="shared" si="5"/>
        <v>#DIV/0!</v>
      </c>
      <c r="N20" s="55" t="e">
        <f t="shared" si="6"/>
        <v>#DIV/0!</v>
      </c>
      <c r="O20" s="57" t="e">
        <f t="shared" si="7"/>
        <v>#DIV/0!</v>
      </c>
      <c r="P20" s="55">
        <v>26.611591631551708</v>
      </c>
      <c r="Q20" s="93" t="e">
        <f t="shared" si="8"/>
        <v>#DIV/0!</v>
      </c>
      <c r="R20" s="93"/>
      <c r="S20" s="58"/>
      <c r="T20" s="56"/>
      <c r="U20" s="71" t="e">
        <f t="shared" si="9"/>
        <v>#DIV/0!</v>
      </c>
      <c r="V20" s="72" t="e">
        <f t="shared" si="10"/>
        <v>#DIV/0!</v>
      </c>
    </row>
    <row r="21" spans="1:22">
      <c r="A21" s="1" t="s">
        <v>34</v>
      </c>
      <c r="B21" s="50"/>
      <c r="C21" s="21"/>
      <c r="D21" s="59"/>
      <c r="E21" s="60"/>
      <c r="F21" s="53" t="e">
        <f t="shared" si="2"/>
        <v>#DIV/0!</v>
      </c>
      <c r="G21" s="53" t="e">
        <f t="shared" si="3"/>
        <v>#DIV/0!</v>
      </c>
      <c r="H21" s="53"/>
      <c r="I21" s="54">
        <f>Jar_Information!Q27</f>
        <v>43333.603472222225</v>
      </c>
      <c r="J21" s="55">
        <f t="shared" si="1"/>
        <v>-43333.603472222225</v>
      </c>
      <c r="K21" s="55">
        <f t="shared" si="4"/>
        <v>-1040006.4833333334</v>
      </c>
      <c r="L21" s="56">
        <f>Jar_Information!H27</f>
        <v>1026.4072365769557</v>
      </c>
      <c r="M21" s="55" t="e">
        <f t="shared" si="5"/>
        <v>#DIV/0!</v>
      </c>
      <c r="N21" s="55" t="e">
        <f t="shared" si="6"/>
        <v>#DIV/0!</v>
      </c>
      <c r="O21" s="57" t="e">
        <f t="shared" si="7"/>
        <v>#DIV/0!</v>
      </c>
      <c r="P21" s="55">
        <v>27.118040607238672</v>
      </c>
      <c r="Q21" s="93" t="e">
        <f t="shared" si="8"/>
        <v>#DIV/0!</v>
      </c>
      <c r="R21" s="93"/>
      <c r="S21" s="58"/>
      <c r="T21" s="91"/>
      <c r="U21" s="71" t="e">
        <f t="shared" si="9"/>
        <v>#DIV/0!</v>
      </c>
      <c r="V21" s="72" t="e">
        <f t="shared" si="10"/>
        <v>#DIV/0!</v>
      </c>
    </row>
    <row r="22" spans="1:22">
      <c r="A22" s="1" t="s">
        <v>35</v>
      </c>
      <c r="B22" s="50"/>
      <c r="C22" s="21"/>
      <c r="D22" s="59"/>
      <c r="E22" s="60"/>
      <c r="F22" s="53" t="e">
        <f t="shared" si="2"/>
        <v>#DIV/0!</v>
      </c>
      <c r="G22" s="53" t="e">
        <f t="shared" si="3"/>
        <v>#DIV/0!</v>
      </c>
      <c r="H22" s="53"/>
      <c r="I22" s="54">
        <f>Jar_Information!Q28</f>
        <v>43333.65902777778</v>
      </c>
      <c r="J22" s="55">
        <f t="shared" si="1"/>
        <v>-43333.65902777778</v>
      </c>
      <c r="K22" s="55">
        <f t="shared" si="4"/>
        <v>-1040007.8166666667</v>
      </c>
      <c r="L22" s="56">
        <f>Jar_Information!H28</f>
        <v>1007.3236752829298</v>
      </c>
      <c r="M22" s="55" t="e">
        <f t="shared" si="5"/>
        <v>#DIV/0!</v>
      </c>
      <c r="N22" s="55" t="e">
        <f t="shared" si="6"/>
        <v>#DIV/0!</v>
      </c>
      <c r="O22" s="57" t="e">
        <f t="shared" si="7"/>
        <v>#DIV/0!</v>
      </c>
      <c r="P22" s="55">
        <v>26.485903564592896</v>
      </c>
      <c r="Q22" s="93" t="e">
        <f t="shared" si="8"/>
        <v>#DIV/0!</v>
      </c>
      <c r="R22" s="93"/>
      <c r="S22" s="58"/>
      <c r="T22" s="56"/>
      <c r="U22" s="71" t="e">
        <f t="shared" si="9"/>
        <v>#DIV/0!</v>
      </c>
      <c r="V22" s="72" t="e">
        <f t="shared" si="10"/>
        <v>#DIV/0!</v>
      </c>
    </row>
    <row r="23" spans="1:22">
      <c r="A23" s="1" t="s">
        <v>36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Jar_Information!Q29</f>
        <v>43333.65902777778</v>
      </c>
      <c r="J23" s="55">
        <f t="shared" si="1"/>
        <v>-43333.65902777778</v>
      </c>
      <c r="K23" s="55">
        <f t="shared" si="4"/>
        <v>-1040007.8166666667</v>
      </c>
      <c r="L23" s="56">
        <f>Jar_Information!H29</f>
        <v>1036.0328396015414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93" t="e">
        <f t="shared" si="8"/>
        <v>#DIV/0!</v>
      </c>
      <c r="R23" s="93"/>
      <c r="S23" s="58"/>
      <c r="T23" s="56"/>
      <c r="U23" s="71" t="e">
        <f t="shared" si="9"/>
        <v>#DIV/0!</v>
      </c>
      <c r="V23" s="72" t="e">
        <f t="shared" si="10"/>
        <v>#DIV/0!</v>
      </c>
    </row>
    <row r="24" spans="1:22">
      <c r="A24" s="1" t="s">
        <v>37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Jar_Information!Q30</f>
        <v>43333.65902777778</v>
      </c>
      <c r="J24" s="55">
        <f t="shared" si="1"/>
        <v>-43333.65902777778</v>
      </c>
      <c r="K24" s="55">
        <f t="shared" si="4"/>
        <v>-1040007.8166666667</v>
      </c>
      <c r="L24" s="56">
        <f>Jar_Information!H30</f>
        <v>1036.0328396015414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93" t="e">
        <f t="shared" si="8"/>
        <v>#DIV/0!</v>
      </c>
      <c r="R24" s="93"/>
      <c r="S24" s="58"/>
      <c r="T24" s="56"/>
      <c r="U24" s="71" t="e">
        <f t="shared" si="9"/>
        <v>#DIV/0!</v>
      </c>
      <c r="V24" s="72" t="e">
        <f t="shared" si="10"/>
        <v>#DIV/0!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Jar_Information!Q31</f>
        <v>43333.65902777778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93" t="e">
        <f t="shared" si="8"/>
        <v>#DIV/0!</v>
      </c>
      <c r="R25" s="93"/>
      <c r="U25" s="71" t="e">
        <f t="shared" si="9"/>
        <v>#DIV/0!</v>
      </c>
      <c r="V25" s="72" t="e">
        <f t="shared" si="10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>
        <f>Jar_Information!Q32</f>
        <v>43333.663194444445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93" t="e">
        <f t="shared" si="8"/>
        <v>#DIV/0!</v>
      </c>
      <c r="R26" s="93"/>
      <c r="U26" s="71" t="e">
        <f t="shared" si="9"/>
        <v>#DIV/0!</v>
      </c>
      <c r="V26" s="72" t="e">
        <f t="shared" si="10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>
        <f>Jar_Information!Q33</f>
        <v>43333.663194444445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93" t="e">
        <f t="shared" si="8"/>
        <v>#DIV/0!</v>
      </c>
      <c r="R27" s="93"/>
      <c r="S27" s="89"/>
      <c r="T27" s="61"/>
      <c r="U27" s="71" t="e">
        <f t="shared" si="9"/>
        <v>#DIV/0!</v>
      </c>
      <c r="V27" s="72" t="e">
        <f t="shared" si="10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>
        <f>Jar_Information!Q34</f>
        <v>43333.663194444445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93" t="e">
        <f t="shared" si="8"/>
        <v>#DIV/0!</v>
      </c>
      <c r="R28" s="93"/>
      <c r="S28" s="89"/>
      <c r="T28" s="61"/>
      <c r="U28" s="71" t="e">
        <f t="shared" si="9"/>
        <v>#DIV/0!</v>
      </c>
      <c r="V28" s="72" t="e">
        <f t="shared" si="10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Jar_Information!Q35</f>
        <v>43333.663194444445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93" t="e">
        <f t="shared" si="8"/>
        <v>#DIV/0!</v>
      </c>
      <c r="R29" s="93"/>
      <c r="S29" s="89"/>
      <c r="T29" s="61"/>
      <c r="U29" s="71" t="e">
        <f t="shared" si="9"/>
        <v>#DIV/0!</v>
      </c>
      <c r="V29" s="72" t="e">
        <f t="shared" si="10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>
        <f>Jar_Information!Q36</f>
        <v>43333.663194444445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93" t="e">
        <f t="shared" si="8"/>
        <v>#DIV/0!</v>
      </c>
      <c r="R30" s="93"/>
      <c r="S30" s="89"/>
      <c r="T30" s="61"/>
      <c r="U30" s="71" t="e">
        <f t="shared" si="9"/>
        <v>#DIV/0!</v>
      </c>
      <c r="V30" s="72" t="e">
        <f t="shared" si="10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Jar_Information!Q37</f>
        <v>43333.663194444445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93" t="e">
        <f t="shared" si="8"/>
        <v>#DIV/0!</v>
      </c>
      <c r="R31" s="93"/>
      <c r="S31" s="61"/>
      <c r="T31" s="61"/>
      <c r="U31" s="71" t="e">
        <f t="shared" si="9"/>
        <v>#DIV/0!</v>
      </c>
      <c r="V31" s="72" t="e">
        <f t="shared" si="10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Jar_Information!Q38</f>
        <v>43333.667361111111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93" t="e">
        <f t="shared" si="8"/>
        <v>#DIV/0!</v>
      </c>
      <c r="R32" s="93"/>
      <c r="S32" s="61"/>
      <c r="T32" s="61"/>
      <c r="U32" s="71" t="e">
        <f t="shared" si="9"/>
        <v>#DIV/0!</v>
      </c>
      <c r="V32" s="72" t="e">
        <f t="shared" si="10"/>
        <v>#DIV/0!</v>
      </c>
    </row>
    <row r="33" spans="1:23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Jar_Information!Q39</f>
        <v>43333.667361111111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93" t="e">
        <f t="shared" si="8"/>
        <v>#DIV/0!</v>
      </c>
      <c r="R33" s="93"/>
      <c r="S33" s="61"/>
      <c r="T33" s="61"/>
      <c r="U33" s="71" t="e">
        <f t="shared" si="9"/>
        <v>#DIV/0!</v>
      </c>
      <c r="V33" s="72" t="e">
        <f t="shared" si="10"/>
        <v>#DIV/0!</v>
      </c>
    </row>
    <row r="34" spans="1:23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Jar_Information!Q40</f>
        <v>43333.667361111111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93" t="e">
        <f t="shared" si="8"/>
        <v>#DIV/0!</v>
      </c>
      <c r="R34" s="93"/>
      <c r="S34" s="61"/>
      <c r="T34" s="61"/>
      <c r="U34" s="71" t="e">
        <f t="shared" si="9"/>
        <v>#DIV/0!</v>
      </c>
      <c r="V34" s="72" t="e">
        <f t="shared" si="10"/>
        <v>#DIV/0!</v>
      </c>
    </row>
    <row r="35" spans="1:23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Jar_Information!Q41</f>
        <v>43333.667361111111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93" t="e">
        <f t="shared" si="8"/>
        <v>#DIV/0!</v>
      </c>
      <c r="R35" s="93"/>
      <c r="S35" s="61"/>
      <c r="T35" s="61"/>
      <c r="U35" s="71" t="e">
        <f t="shared" si="9"/>
        <v>#DIV/0!</v>
      </c>
      <c r="V35" s="72" t="e">
        <f t="shared" si="10"/>
        <v>#DIV/0!</v>
      </c>
    </row>
    <row r="36" spans="1:23">
      <c r="A36" s="1" t="s">
        <v>49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Jar_Information!Q42</f>
        <v>43333.667361111111</v>
      </c>
      <c r="J36" s="55">
        <f>B36-I36</f>
        <v>-43333.667361111111</v>
      </c>
      <c r="K36" s="55">
        <f t="shared" si="4"/>
        <v>-1040008.0166666666</v>
      </c>
      <c r="L36" s="56">
        <f>Jar_Information!H42</f>
        <v>1026.4072365769557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93" t="e">
        <f t="shared" si="8"/>
        <v>#DIV/0!</v>
      </c>
      <c r="R36" s="93"/>
      <c r="S36" s="58"/>
      <c r="T36" s="61"/>
      <c r="U36" s="71" t="e">
        <f t="shared" si="9"/>
        <v>#DIV/0!</v>
      </c>
      <c r="V36" s="72" t="e">
        <f t="shared" si="10"/>
        <v>#DIV/0!</v>
      </c>
    </row>
    <row r="37" spans="1:23">
      <c r="A37" s="62"/>
      <c r="B37" s="50"/>
      <c r="Q37" s="93"/>
      <c r="R37" s="93"/>
      <c r="S37" s="61"/>
      <c r="T37" s="61"/>
    </row>
    <row r="38" spans="1:23">
      <c r="A38" s="1" t="s">
        <v>13</v>
      </c>
      <c r="B38" s="50">
        <v>43346.670138888891</v>
      </c>
      <c r="C38" s="21">
        <v>1</v>
      </c>
      <c r="D38" s="59">
        <v>853.27</v>
      </c>
      <c r="E38" s="60">
        <v>203.24</v>
      </c>
      <c r="F38" s="53">
        <f t="shared" ref="F38:F40" si="11">((I$9*D38)+I$10)/C38/1000</f>
        <v>7.7830298126810643E-3</v>
      </c>
      <c r="G38" s="53">
        <f t="shared" ref="G38:G40" si="12">((I$12*E38)+I$13)/C38/1000</f>
        <v>8.0234519053379236E-3</v>
      </c>
      <c r="H38" s="53"/>
      <c r="I38" s="54">
        <f>Jar_Information!Q6</f>
        <v>43308.701388888891</v>
      </c>
      <c r="J38" s="55">
        <f t="shared" ref="J38:J40" si="13">B38-I38</f>
        <v>37.96875</v>
      </c>
      <c r="K38" s="55">
        <f t="shared" ref="K38:K40" si="14">J38*24</f>
        <v>911.25</v>
      </c>
      <c r="L38" s="56">
        <f>Jar_Information!H6</f>
        <v>1006.9230769230769</v>
      </c>
      <c r="M38" s="55">
        <f t="shared" ref="M38:M40" si="15">F38*L38</f>
        <v>7.8369123267688563</v>
      </c>
      <c r="N38" s="55">
        <f t="shared" ref="N38:N40" si="16">M38*1.83</f>
        <v>14.341549557987008</v>
      </c>
      <c r="O38" s="57">
        <f t="shared" ref="O38:O40" si="17">N38*(12/(12+(16*2)))</f>
        <v>3.9113316976328201</v>
      </c>
      <c r="P38" s="55">
        <v>26.611591631551708</v>
      </c>
      <c r="Q38" s="93">
        <f t="shared" si="8"/>
        <v>1.1120243208141425</v>
      </c>
      <c r="R38" s="94">
        <f>S38/Q38*100</f>
        <v>80.181954455160508</v>
      </c>
      <c r="S38" s="55">
        <f>T38/314.7</f>
        <v>0.89164283444550374</v>
      </c>
      <c r="T38" s="55">
        <v>280.60000000000002</v>
      </c>
      <c r="U38" s="71">
        <f t="shared" ref="U38:U40" si="18">F38*1000000</f>
        <v>7783.029812681064</v>
      </c>
      <c r="V38" s="72">
        <f t="shared" ref="V38:V40" si="19">M38/L38*100</f>
        <v>0.77830298126810638</v>
      </c>
      <c r="W38" s="80" t="s">
        <v>159</v>
      </c>
    </row>
    <row r="39" spans="1:23">
      <c r="A39" s="1" t="s">
        <v>14</v>
      </c>
      <c r="B39" s="50">
        <v>43346.671527777777</v>
      </c>
      <c r="C39" s="21">
        <v>1</v>
      </c>
      <c r="D39" s="59">
        <v>866.91</v>
      </c>
      <c r="E39" s="60">
        <v>199.33</v>
      </c>
      <c r="F39" s="53">
        <f t="shared" si="11"/>
        <v>7.9104655154768246E-3</v>
      </c>
      <c r="G39" s="53">
        <f t="shared" si="12"/>
        <v>7.8592566299037075E-3</v>
      </c>
      <c r="H39" s="53"/>
      <c r="I39" s="54">
        <f>Jar_Information!Q7</f>
        <v>43308.701388888891</v>
      </c>
      <c r="J39" s="55">
        <f t="shared" si="13"/>
        <v>37.97013888888614</v>
      </c>
      <c r="K39" s="55">
        <f t="shared" si="14"/>
        <v>911.28333333326736</v>
      </c>
      <c r="L39" s="56">
        <f>Jar_Information!H7</f>
        <v>1026.0859728506789</v>
      </c>
      <c r="M39" s="55">
        <f t="shared" si="15"/>
        <v>8.1168177041497849</v>
      </c>
      <c r="N39" s="55">
        <f t="shared" si="16"/>
        <v>14.853776398594107</v>
      </c>
      <c r="O39" s="57">
        <f t="shared" si="17"/>
        <v>4.051029926889302</v>
      </c>
      <c r="P39" s="55">
        <v>27.118040607238672</v>
      </c>
      <c r="Q39" s="93">
        <f t="shared" si="8"/>
        <v>1.1362652754494129</v>
      </c>
      <c r="R39" s="94">
        <f t="shared" ref="R39:R40" si="20">S39/Q39*100</f>
        <v>91.922796146745782</v>
      </c>
      <c r="S39" s="55">
        <f t="shared" ref="S39:S40" si="21">T39/314.7</f>
        <v>1.0444868128376232</v>
      </c>
      <c r="T39" s="55">
        <v>328.7</v>
      </c>
      <c r="U39" s="71">
        <f t="shared" si="18"/>
        <v>7910.4655154768243</v>
      </c>
      <c r="V39" s="72">
        <f t="shared" si="19"/>
        <v>0.79104655154768244</v>
      </c>
      <c r="W39" s="80" t="s">
        <v>159</v>
      </c>
    </row>
    <row r="40" spans="1:23">
      <c r="A40" s="1" t="s">
        <v>15</v>
      </c>
      <c r="B40" s="50">
        <v>43346.673611111109</v>
      </c>
      <c r="C40" s="21">
        <v>1</v>
      </c>
      <c r="D40" s="59">
        <v>765.46</v>
      </c>
      <c r="E40" s="60">
        <v>176.01</v>
      </c>
      <c r="F40" s="53">
        <f t="shared" si="11"/>
        <v>6.9626391189497134E-3</v>
      </c>
      <c r="G40" s="53">
        <f t="shared" si="12"/>
        <v>6.8799640920198446E-3</v>
      </c>
      <c r="H40" s="53"/>
      <c r="I40" s="54">
        <f>Jar_Information!Q8</f>
        <v>43308.701388888891</v>
      </c>
      <c r="J40" s="55">
        <f t="shared" si="13"/>
        <v>37.972222222218988</v>
      </c>
      <c r="K40" s="55">
        <f t="shared" si="14"/>
        <v>911.33333333325572</v>
      </c>
      <c r="L40" s="56">
        <f>Jar_Information!H8</f>
        <v>1002.1673217293657</v>
      </c>
      <c r="M40" s="55">
        <f t="shared" si="15"/>
        <v>6.9777293980059447</v>
      </c>
      <c r="N40" s="55">
        <f t="shared" si="16"/>
        <v>12.769244798350879</v>
      </c>
      <c r="O40" s="57">
        <f t="shared" si="17"/>
        <v>3.4825213086411488</v>
      </c>
      <c r="P40" s="55">
        <v>26.485903564592896</v>
      </c>
      <c r="Q40" s="93">
        <f t="shared" si="8"/>
        <v>0.9934681131624078</v>
      </c>
      <c r="R40" s="94">
        <f t="shared" si="20"/>
        <v>88.023321898523591</v>
      </c>
      <c r="S40" s="55">
        <f t="shared" si="21"/>
        <v>0.87448363520813477</v>
      </c>
      <c r="T40" s="55">
        <v>275.2</v>
      </c>
      <c r="U40" s="71">
        <f t="shared" si="18"/>
        <v>6962.6391189497135</v>
      </c>
      <c r="V40" s="72">
        <f t="shared" si="19"/>
        <v>0.69626391189497139</v>
      </c>
      <c r="W40" s="80" t="s">
        <v>159</v>
      </c>
    </row>
  </sheetData>
  <conditionalFormatting sqref="N17:N36">
    <cfRule type="cellIs" dxfId="8" priority="2" operator="greaterThan">
      <formula>26</formula>
    </cfRule>
  </conditionalFormatting>
  <conditionalFormatting sqref="N38:N40">
    <cfRule type="cellIs" dxfId="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2" workbookViewId="0">
      <selection activeCell="S51" activeCellId="1" sqref="E40 S51"/>
    </sheetView>
  </sheetViews>
  <sheetFormatPr baseColWidth="10" defaultRowHeight="14" x14ac:dyDescent="0"/>
  <sheetData>
    <row r="1" spans="1:8" ht="16">
      <c r="B1" s="43" t="s">
        <v>123</v>
      </c>
      <c r="C1" s="43" t="s">
        <v>123</v>
      </c>
      <c r="D1" s="43" t="s">
        <v>123</v>
      </c>
      <c r="E1" s="43" t="s">
        <v>123</v>
      </c>
      <c r="F1" s="43" t="s">
        <v>123</v>
      </c>
      <c r="G1" s="43" t="s">
        <v>123</v>
      </c>
      <c r="H1" s="43" t="s">
        <v>123</v>
      </c>
    </row>
    <row r="2" spans="1:8">
      <c r="B2" s="31">
        <v>43311</v>
      </c>
      <c r="C2" s="31">
        <v>43314</v>
      </c>
      <c r="D2" s="31">
        <v>43318</v>
      </c>
      <c r="E2" s="81">
        <v>43325</v>
      </c>
      <c r="F2" s="81">
        <v>43332</v>
      </c>
      <c r="G2" s="81">
        <v>43336</v>
      </c>
      <c r="H2" s="31">
        <v>43339</v>
      </c>
    </row>
    <row r="3" spans="1:8">
      <c r="A3" s="1" t="s">
        <v>9</v>
      </c>
      <c r="B3" s="55">
        <v>14.759120820543343</v>
      </c>
      <c r="C3" s="55">
        <v>24.748291454872628</v>
      </c>
      <c r="D3" s="55"/>
    </row>
    <row r="4" spans="1:8">
      <c r="A4" s="1" t="s">
        <v>11</v>
      </c>
      <c r="B4" s="55">
        <v>14.559442434284724</v>
      </c>
      <c r="C4" s="55">
        <v>24.634642784209703</v>
      </c>
      <c r="D4" s="55"/>
    </row>
    <row r="5" spans="1:8">
      <c r="A5" s="1" t="s">
        <v>12</v>
      </c>
      <c r="B5" s="55">
        <v>15.302487274382152</v>
      </c>
      <c r="C5" s="55">
        <v>26.463259137447459</v>
      </c>
      <c r="D5" s="55"/>
    </row>
    <row r="6" spans="1:8">
      <c r="A6" s="1" t="s">
        <v>13</v>
      </c>
      <c r="B6" s="55">
        <v>1.4916468316009188</v>
      </c>
      <c r="C6" s="55">
        <v>3.3230501624423185</v>
      </c>
      <c r="D6" s="55">
        <v>7.2352113764503629</v>
      </c>
      <c r="E6" s="71">
        <v>10.241857053586374</v>
      </c>
      <c r="F6" s="71">
        <v>10.059994880994989</v>
      </c>
      <c r="G6" s="55">
        <v>12.637809376414555</v>
      </c>
      <c r="H6" s="74">
        <v>13.77626670240617</v>
      </c>
    </row>
    <row r="7" spans="1:8">
      <c r="A7" s="1" t="s">
        <v>14</v>
      </c>
      <c r="B7" s="55">
        <v>1.4523582016071004</v>
      </c>
      <c r="C7" s="55">
        <v>3.1079675466061385</v>
      </c>
      <c r="D7" s="55">
        <v>7.301531778700447</v>
      </c>
      <c r="E7" s="71">
        <v>9.9457037814806171</v>
      </c>
      <c r="F7" s="71">
        <v>11.287763052498207</v>
      </c>
      <c r="G7" s="55">
        <v>13.065046387925831</v>
      </c>
      <c r="H7" s="74">
        <v>13.786096744407592</v>
      </c>
    </row>
    <row r="8" spans="1:8">
      <c r="A8" s="1" t="s">
        <v>15</v>
      </c>
      <c r="B8" s="55">
        <v>1.398047774342037</v>
      </c>
      <c r="C8" s="55">
        <v>3.2695218256554339</v>
      </c>
      <c r="D8" s="55">
        <v>7.2076258471620127</v>
      </c>
      <c r="E8" s="71">
        <v>10.153657038662336</v>
      </c>
      <c r="F8" s="71">
        <v>10.146992499185853</v>
      </c>
      <c r="G8" s="55">
        <v>11.755723985883938</v>
      </c>
      <c r="H8" s="74">
        <v>11.450368488602569</v>
      </c>
    </row>
    <row r="9" spans="1:8">
      <c r="A9" s="1" t="s">
        <v>16</v>
      </c>
      <c r="B9" s="55">
        <v>26.609489256456349</v>
      </c>
      <c r="C9" s="55">
        <v>39.847360414977665</v>
      </c>
      <c r="D9" s="55"/>
      <c r="E9" s="71"/>
      <c r="F9" s="71"/>
    </row>
    <row r="10" spans="1:8">
      <c r="A10" s="1" t="s">
        <v>17</v>
      </c>
      <c r="B10" s="55">
        <v>25.429868020895245</v>
      </c>
      <c r="C10" s="55">
        <v>42.621716069375481</v>
      </c>
      <c r="D10" s="55"/>
      <c r="E10" s="71"/>
      <c r="F10" s="71"/>
    </row>
    <row r="11" spans="1:8">
      <c r="A11" s="1" t="s">
        <v>18</v>
      </c>
      <c r="B11" s="55">
        <v>26.56852324261309</v>
      </c>
      <c r="C11" s="55">
        <v>44.456587112211558</v>
      </c>
      <c r="D11" s="55"/>
      <c r="E11" s="71"/>
      <c r="F11" s="71"/>
    </row>
    <row r="12" spans="1:8">
      <c r="A12" s="1" t="s">
        <v>19</v>
      </c>
      <c r="B12" s="55">
        <v>3.3502782942436071</v>
      </c>
      <c r="C12" s="55">
        <v>7.9497081554538278</v>
      </c>
      <c r="D12" s="55">
        <v>12.902300605543143</v>
      </c>
      <c r="E12" s="71">
        <v>18.036319757673677</v>
      </c>
      <c r="F12" s="71">
        <v>20.641058006230793</v>
      </c>
    </row>
    <row r="13" spans="1:8">
      <c r="A13" s="1" t="s">
        <v>20</v>
      </c>
      <c r="B13" s="55">
        <v>3.0507543827109354</v>
      </c>
      <c r="C13" s="55">
        <v>8.0194841938484522</v>
      </c>
      <c r="D13" s="55">
        <v>13.435830370119884</v>
      </c>
      <c r="E13" s="71">
        <v>17.785493519383866</v>
      </c>
      <c r="F13" s="71">
        <v>20.853619465589464</v>
      </c>
    </row>
    <row r="14" spans="1:8">
      <c r="A14" s="1" t="s">
        <v>21</v>
      </c>
      <c r="B14" s="55">
        <v>3.063838853388714</v>
      </c>
      <c r="C14" s="55">
        <v>8.2459377755519636</v>
      </c>
      <c r="D14" s="55">
        <v>13.093738116895368</v>
      </c>
      <c r="E14" s="71">
        <v>18.91371925817441</v>
      </c>
      <c r="F14" s="71">
        <v>15.211546740129107</v>
      </c>
    </row>
    <row r="15" spans="1:8">
      <c r="A15" s="1" t="s">
        <v>22</v>
      </c>
      <c r="B15" s="55">
        <v>26.857196289546032</v>
      </c>
      <c r="C15" s="55">
        <v>68.28138864779163</v>
      </c>
      <c r="D15" s="55"/>
      <c r="E15" s="71"/>
      <c r="F15" s="71"/>
    </row>
    <row r="16" spans="1:8">
      <c r="A16" s="1" t="s">
        <v>23</v>
      </c>
      <c r="B16" s="55">
        <v>1.7642111214281857</v>
      </c>
      <c r="C16" s="55">
        <v>5.7391918757945399</v>
      </c>
      <c r="D16" s="55">
        <v>12.794018919774029</v>
      </c>
      <c r="E16" s="71">
        <v>21.72127094613278</v>
      </c>
      <c r="F16" s="71">
        <v>26.323798526224827</v>
      </c>
    </row>
    <row r="17" spans="1:6">
      <c r="A17" s="1" t="s">
        <v>24</v>
      </c>
      <c r="B17" s="55">
        <v>3.978315469861359</v>
      </c>
      <c r="C17" s="55">
        <v>43.666392177512961</v>
      </c>
      <c r="D17" s="55"/>
    </row>
    <row r="18" spans="1:6">
      <c r="A18" s="1" t="s">
        <v>25</v>
      </c>
      <c r="B18" s="55">
        <v>10.536608600376836</v>
      </c>
      <c r="C18" s="55">
        <v>61.663546833923448</v>
      </c>
      <c r="D18" s="55"/>
    </row>
    <row r="19" spans="1:6">
      <c r="A19" s="1" t="s">
        <v>26</v>
      </c>
      <c r="B19" s="55">
        <v>2.6997161794201214</v>
      </c>
      <c r="C19" s="55">
        <v>13.402909302459006</v>
      </c>
      <c r="D19" s="55">
        <v>70.776319489710019</v>
      </c>
    </row>
    <row r="20" spans="1:6">
      <c r="A20" s="1" t="s">
        <v>27</v>
      </c>
      <c r="B20" s="55">
        <v>3.2400419652653505</v>
      </c>
      <c r="C20" s="55">
        <v>49.735744488892315</v>
      </c>
      <c r="D20" s="55"/>
    </row>
    <row r="21" spans="1:6">
      <c r="A21" s="1" t="s">
        <v>28</v>
      </c>
      <c r="B21" s="55">
        <v>2.5938204227771351</v>
      </c>
      <c r="C21" s="55">
        <v>21.39410856524993</v>
      </c>
      <c r="D21" s="55"/>
    </row>
    <row r="22" spans="1:6">
      <c r="A22" s="1" t="s">
        <v>29</v>
      </c>
      <c r="B22" s="55">
        <v>7.9186601072365264</v>
      </c>
      <c r="C22" s="55">
        <v>61.831281846342151</v>
      </c>
      <c r="D22" s="55"/>
    </row>
    <row r="24" spans="1:6" ht="16">
      <c r="B24" s="43" t="s">
        <v>123</v>
      </c>
      <c r="C24" s="43" t="s">
        <v>123</v>
      </c>
      <c r="D24" s="43" t="s">
        <v>123</v>
      </c>
      <c r="E24" s="43" t="s">
        <v>123</v>
      </c>
      <c r="F24" s="43" t="s">
        <v>123</v>
      </c>
    </row>
    <row r="25" spans="1:6">
      <c r="B25" s="31">
        <v>43336</v>
      </c>
      <c r="C25" s="31">
        <v>43339</v>
      </c>
      <c r="D25" s="31">
        <v>43346</v>
      </c>
      <c r="E25" s="81"/>
      <c r="F25" s="81"/>
    </row>
    <row r="26" spans="1:6">
      <c r="A26" s="1" t="s">
        <v>30</v>
      </c>
      <c r="B26" s="55">
        <v>9.3960032327917329</v>
      </c>
      <c r="C26" s="55">
        <v>83.496605656721314</v>
      </c>
      <c r="D26" s="55"/>
    </row>
    <row r="27" spans="1:6">
      <c r="A27" s="1" t="s">
        <v>31</v>
      </c>
      <c r="B27" s="55">
        <v>5.8221113606087318</v>
      </c>
      <c r="C27" s="55">
        <v>64.227320278872227</v>
      </c>
      <c r="D27" s="55"/>
    </row>
    <row r="28" spans="1:6">
      <c r="A28" s="1" t="s">
        <v>32</v>
      </c>
      <c r="B28" s="55">
        <v>2.8889774015655663</v>
      </c>
      <c r="C28" s="55">
        <v>46.740743606562972</v>
      </c>
      <c r="D28" s="55"/>
    </row>
    <row r="29" spans="1:6">
      <c r="A29" s="1" t="s">
        <v>33</v>
      </c>
      <c r="B29" s="55">
        <v>2.9173914592308225</v>
      </c>
      <c r="C29" s="55">
        <v>24.213768755975266</v>
      </c>
      <c r="D29" s="55">
        <v>26.611591631551708</v>
      </c>
      <c r="E29" s="71"/>
      <c r="F29" s="71"/>
    </row>
    <row r="30" spans="1:6">
      <c r="A30" s="1" t="s">
        <v>34</v>
      </c>
      <c r="B30" s="55">
        <v>2.2748935550108889</v>
      </c>
      <c r="C30" s="55">
        <v>14.866363805969918</v>
      </c>
      <c r="D30" s="55">
        <v>27.118040607238672</v>
      </c>
      <c r="E30" s="71"/>
      <c r="F30" s="71"/>
    </row>
    <row r="31" spans="1:6">
      <c r="A31" s="1" t="s">
        <v>35</v>
      </c>
      <c r="B31" s="55">
        <v>2.4475551951972796</v>
      </c>
      <c r="C31" s="55">
        <v>35.847849924589411</v>
      </c>
      <c r="D31" s="55"/>
      <c r="E31" s="71"/>
      <c r="F31" s="71"/>
    </row>
    <row r="32" spans="1:6">
      <c r="A32" s="1" t="s">
        <v>36</v>
      </c>
      <c r="B32" s="55">
        <v>15.680646797900495</v>
      </c>
      <c r="C32" s="55">
        <v>32.247966182886486</v>
      </c>
      <c r="D32" s="55"/>
      <c r="E32" s="71"/>
      <c r="F32" s="71"/>
    </row>
    <row r="33" spans="1:6">
      <c r="A33" s="1" t="s">
        <v>37</v>
      </c>
      <c r="B33" s="55">
        <v>14.545522728219423</v>
      </c>
      <c r="C33" s="55">
        <v>29.250386143530307</v>
      </c>
      <c r="D33" s="55"/>
      <c r="E33" s="71"/>
      <c r="F33" s="71"/>
    </row>
    <row r="34" spans="1:6">
      <c r="A34" s="1" t="s">
        <v>38</v>
      </c>
      <c r="B34" s="98">
        <v>27.425677010579872</v>
      </c>
      <c r="C34" s="55"/>
      <c r="D34" s="55"/>
      <c r="E34" s="71"/>
      <c r="F34" s="71"/>
    </row>
    <row r="35" spans="1:6">
      <c r="A35" s="1" t="s">
        <v>39</v>
      </c>
      <c r="B35" s="98">
        <v>26.054350376728244</v>
      </c>
      <c r="C35" s="55"/>
      <c r="D35" s="55"/>
      <c r="E35" s="71"/>
      <c r="F35" s="71"/>
    </row>
    <row r="36" spans="1:6">
      <c r="A36" s="1" t="s">
        <v>40</v>
      </c>
      <c r="B36" s="98">
        <v>94.133649514368315</v>
      </c>
      <c r="C36" s="55"/>
      <c r="D36" s="55"/>
      <c r="E36" s="71"/>
      <c r="F36" s="71"/>
    </row>
    <row r="37" spans="1:6">
      <c r="A37" s="1" t="s">
        <v>41</v>
      </c>
      <c r="B37" s="98">
        <v>90.427184302109794</v>
      </c>
      <c r="C37" s="55"/>
      <c r="D37" s="55"/>
      <c r="E37" s="71"/>
      <c r="F37" s="71"/>
    </row>
    <row r="38" spans="1:6">
      <c r="A38" s="1" t="s">
        <v>42</v>
      </c>
      <c r="B38" s="98">
        <v>95.89807241174671</v>
      </c>
      <c r="C38" s="55"/>
      <c r="D38" s="55"/>
      <c r="E38" s="71"/>
      <c r="F38" s="71"/>
    </row>
    <row r="39" spans="1:6">
      <c r="A39" s="1" t="s">
        <v>43</v>
      </c>
      <c r="B39" s="98">
        <v>88.527963173885453</v>
      </c>
      <c r="C39" s="55"/>
      <c r="D39" s="55"/>
      <c r="E39" s="71"/>
      <c r="F39" s="71"/>
    </row>
    <row r="40" spans="1:6">
      <c r="A40" s="1" t="s">
        <v>44</v>
      </c>
      <c r="B40" s="98">
        <v>93.171812206441814</v>
      </c>
      <c r="C40" s="55"/>
      <c r="D40" s="55"/>
    </row>
    <row r="41" spans="1:6">
      <c r="A41" s="1" t="s">
        <v>45</v>
      </c>
      <c r="B41" s="98">
        <v>98.189273503375702</v>
      </c>
      <c r="C41" s="55"/>
      <c r="D41" s="55"/>
    </row>
    <row r="42" spans="1:6">
      <c r="A42" s="1" t="s">
        <v>46</v>
      </c>
      <c r="B42" s="98">
        <v>88.365147380029796</v>
      </c>
      <c r="C42" s="55"/>
      <c r="D42" s="55"/>
    </row>
    <row r="43" spans="1:6">
      <c r="A43" s="1" t="s">
        <v>47</v>
      </c>
      <c r="B43" s="98">
        <v>68.453761720496487</v>
      </c>
      <c r="C43" s="55"/>
      <c r="D43" s="55"/>
    </row>
    <row r="44" spans="1:6">
      <c r="A44" s="1" t="s">
        <v>48</v>
      </c>
      <c r="B44" s="98">
        <v>63.254830884628866</v>
      </c>
      <c r="C44" s="55"/>
      <c r="D44" s="55"/>
    </row>
    <row r="45" spans="1:6">
      <c r="A45" s="1" t="s">
        <v>49</v>
      </c>
      <c r="B45" s="55">
        <v>9.1590176100710341</v>
      </c>
      <c r="C45" s="55">
        <v>24.646313777713921</v>
      </c>
      <c r="D45" s="55">
        <v>27.110299231101873</v>
      </c>
    </row>
    <row r="46" spans="1:6">
      <c r="A46" s="95" t="s">
        <v>163</v>
      </c>
      <c r="B46" s="96">
        <v>3</v>
      </c>
      <c r="C46" s="97">
        <v>6</v>
      </c>
      <c r="D46" s="97">
        <v>13</v>
      </c>
    </row>
  </sheetData>
  <conditionalFormatting sqref="B3:B22">
    <cfRule type="cellIs" dxfId="6" priority="8" operator="greaterThan">
      <formula>25.1</formula>
    </cfRule>
    <cfRule type="cellIs" dxfId="5" priority="9" operator="lessThan">
      <formula>25</formula>
    </cfRule>
  </conditionalFormatting>
  <conditionalFormatting sqref="C3:C22">
    <cfRule type="cellIs" dxfId="4" priority="7" operator="greaterThan">
      <formula>26</formula>
    </cfRule>
  </conditionalFormatting>
  <conditionalFormatting sqref="D3:D22">
    <cfRule type="cellIs" dxfId="3" priority="6" operator="greaterThan">
      <formula>26</formula>
    </cfRule>
  </conditionalFormatting>
  <conditionalFormatting sqref="C26:C45">
    <cfRule type="cellIs" dxfId="2" priority="3" operator="greaterThan">
      <formula>26</formula>
    </cfRule>
  </conditionalFormatting>
  <conditionalFormatting sqref="D26:D45">
    <cfRule type="cellIs" dxfId="1" priority="2" operator="greaterThan">
      <formula>26</formula>
    </cfRule>
  </conditionalFormatting>
  <conditionalFormatting sqref="G6:G8">
    <cfRule type="cellIs" dxfId="0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C8" sqref="C8"/>
    </sheetView>
  </sheetViews>
  <sheetFormatPr baseColWidth="10" defaultRowHeight="15" x14ac:dyDescent="0"/>
  <cols>
    <col min="1" max="1" width="12.1640625" style="101" bestFit="1" customWidth="1"/>
    <col min="2" max="2" width="7.1640625" style="101" bestFit="1" customWidth="1"/>
    <col min="3" max="3" width="14.33203125" style="101" bestFit="1" customWidth="1"/>
    <col min="4" max="5" width="10.83203125" style="101"/>
    <col min="6" max="6" width="14.33203125" style="101" bestFit="1" customWidth="1"/>
    <col min="7" max="7" width="13.83203125" style="101" bestFit="1" customWidth="1"/>
    <col min="8" max="8" width="14.33203125" style="101" bestFit="1" customWidth="1"/>
    <col min="9" max="9" width="17.33203125" style="101" bestFit="1" customWidth="1"/>
    <col min="10" max="10" width="22" style="101" bestFit="1" customWidth="1"/>
    <col min="11" max="11" width="23.1640625" style="101" bestFit="1" customWidth="1"/>
    <col min="12" max="12" width="22" style="101" bestFit="1" customWidth="1"/>
    <col min="13" max="13" width="10.83203125" style="101"/>
    <col min="14" max="14" width="11.83203125" style="101" bestFit="1" customWidth="1"/>
    <col min="15" max="15" width="12.33203125" style="101" bestFit="1" customWidth="1"/>
    <col min="16" max="16" width="12" style="101" bestFit="1" customWidth="1"/>
    <col min="17" max="16384" width="10.83203125" style="101"/>
  </cols>
  <sheetData>
    <row r="1" spans="1:16">
      <c r="A1" s="101" t="s">
        <v>3</v>
      </c>
      <c r="B1" s="101" t="s">
        <v>179</v>
      </c>
      <c r="C1" s="101" t="s">
        <v>178</v>
      </c>
      <c r="D1" s="101" t="s">
        <v>177</v>
      </c>
      <c r="E1" s="101" t="s">
        <v>176</v>
      </c>
      <c r="F1" s="101" t="s">
        <v>175</v>
      </c>
      <c r="G1" s="101" t="s">
        <v>174</v>
      </c>
      <c r="H1" s="101" t="s">
        <v>173</v>
      </c>
      <c r="I1" s="101" t="s">
        <v>172</v>
      </c>
      <c r="J1" s="101" t="s">
        <v>171</v>
      </c>
      <c r="K1" s="101" t="s">
        <v>170</v>
      </c>
      <c r="L1" s="101" t="s">
        <v>169</v>
      </c>
      <c r="M1" s="101" t="s">
        <v>168</v>
      </c>
      <c r="N1" s="101" t="s">
        <v>167</v>
      </c>
      <c r="O1" s="101" t="s">
        <v>166</v>
      </c>
      <c r="P1" s="101" t="s">
        <v>165</v>
      </c>
    </row>
    <row r="2" spans="1:16">
      <c r="A2" s="101" t="s">
        <v>9</v>
      </c>
      <c r="B2" s="101" t="str">
        <f>LEFT(A2,LEN(A2)-2)</f>
        <v>MA</v>
      </c>
      <c r="C2" s="101">
        <v>1</v>
      </c>
      <c r="D2" s="101" t="str">
        <f>IF(AND(C2&lt;&gt;C1,I2=I1),"fix meas date","")</f>
        <v/>
      </c>
      <c r="E2" s="101">
        <f>VLOOKUP($A2,'30.07.18'!$A$17:$I$36,9,FALSE)</f>
        <v>43308.701388888891</v>
      </c>
      <c r="F2" s="101">
        <f>YEAR(E2)</f>
        <v>2018</v>
      </c>
      <c r="G2" s="101">
        <f>MONTH(E2)</f>
        <v>7</v>
      </c>
      <c r="H2" s="101">
        <f>DAY(E2)+E2-ROUNDDOWN(E2,0)</f>
        <v>27.701388888890506</v>
      </c>
      <c r="I2" s="103">
        <f>VLOOKUP($A2,IF(C2=1,'30.07.18'!$A$17:$N$36,IF(C2=2,'02.08.18'!$A$17:$N$36,IF(C2=3,'06.08.18'!$A$17:$N$36,IF(C2=4,'09.08.18'!$A$17:$N$36,IF(C2=5,'13.08.18'!$A$17:$N$36,IF(C2=6,'20.08.18'!$A$17:$N$36,IF(C2=7,'24.08.18'!$A$38:$N$40,IF(C2=8,'27.08.18'!$A$38:$N$40,'03.09.18'!$A$38:$N$40)))))))),2,FALSE)</f>
        <v>43311.69027777778</v>
      </c>
      <c r="J2" s="101">
        <f>YEAR(I2)</f>
        <v>2018</v>
      </c>
      <c r="K2" s="101">
        <f>MONTH(I2)</f>
        <v>7</v>
      </c>
      <c r="L2" s="101">
        <f>DAY(I2)+I2-ROUNDDOWN(I2,0)</f>
        <v>30.690277777779556</v>
      </c>
      <c r="M2" s="101" t="s">
        <v>164</v>
      </c>
      <c r="N2" s="102">
        <f>IFERROR(IF(OR(I2=0,E2=0),"",I2-E2),"")</f>
        <v>2.9888888888890506</v>
      </c>
      <c r="O2" s="101">
        <f>IFERROR(VLOOKUP($A2,IF(C2=1,'30.07.18'!$A$17:$N$36,IF(C2=2,'02.08.18'!$A$17:$N$36,IF(C2=3,'06.08.18'!$A$17:$N$36,IF(C2=4,'09.08.18'!$A$17:$N$36,IF(C2=5,'13.08.18'!$A$17:$N$36,IF(C2=6,'20.08.18'!$A$17:$N$36,IF(C2=7,'24.08.18'!$A$38:$N$40,IF(C2=8,'27.08.18'!$A$38:$N$40,'03.09.18'!$A$38:$N$40)))))))),14,FALSE),"")</f>
        <v>14.759120820543343</v>
      </c>
      <c r="P2" s="102">
        <f>N2</f>
        <v>2.9888888888890506</v>
      </c>
    </row>
    <row r="3" spans="1:16">
      <c r="A3" s="101" t="s">
        <v>11</v>
      </c>
      <c r="B3" s="101" t="str">
        <f t="shared" ref="B3:B66" si="0">LEFT(A3,LEN(A3)-2)</f>
        <v>MA</v>
      </c>
      <c r="C3" s="101">
        <f>C2</f>
        <v>1</v>
      </c>
      <c r="D3" s="101" t="str">
        <f>IF(AND(C3&lt;&gt;C2,I3=I2),"fix meas date","")</f>
        <v/>
      </c>
      <c r="E3" s="101">
        <f>VLOOKUP($A3,'30.07.18'!$A$17:$I$36,9,FALSE)</f>
        <v>43308.701388888891</v>
      </c>
      <c r="F3" s="101">
        <f t="shared" ref="F3:F66" si="1">YEAR(E3)</f>
        <v>2018</v>
      </c>
      <c r="G3" s="101">
        <f t="shared" ref="G3:G21" si="2">MONTH(E3)</f>
        <v>7</v>
      </c>
      <c r="H3" s="101">
        <f t="shared" ref="H3:H21" si="3">DAY(E3)+E3-ROUNDDOWN(E3,0)</f>
        <v>27.701388888890506</v>
      </c>
      <c r="I3" s="103">
        <f>VLOOKUP($A3,IF(C3=1,'30.07.18'!$A$17:$N$36,IF(C3=2,'02.08.18'!$A$17:$N$36,IF(C3=3,'06.08.18'!$A$17:$N$36,IF(C3=4,'09.08.18'!$A$17:$N$36,IF(C3=5,'13.08.18'!$A$17:$N$36,IF(C3=6,'20.08.18'!$A$17:$N$36,IF(C3=7,'24.08.18'!$A$38:$N$40,IF(C3=8,'27.08.18'!$A$38:$N$40,'03.09.18'!$A$38:$N$40)))))))),2,FALSE)</f>
        <v>43311.692361111112</v>
      </c>
      <c r="J3" s="101">
        <f>YEAR(I3)</f>
        <v>2018</v>
      </c>
      <c r="K3" s="101">
        <f>MONTH(I3)</f>
        <v>7</v>
      </c>
      <c r="L3" s="101">
        <f>DAY(I3)+I3-ROUNDDOWN(I3,0)</f>
        <v>30.692361111112405</v>
      </c>
      <c r="M3" s="101" t="s">
        <v>164</v>
      </c>
      <c r="N3" s="102">
        <f t="shared" ref="N3:N66" si="4">IFERROR(IF(OR(I3=0,E3=0),"",I3-E3),"")</f>
        <v>2.9909722222218988</v>
      </c>
      <c r="O3" s="101">
        <f>IFERROR(VLOOKUP($A3,IF(C3=1,'30.07.18'!$A$17:$N$36,IF(C3=2,'02.08.18'!$A$17:$N$36,IF(C3=3,'06.08.18'!$A$17:$N$36,IF(C3=4,'09.08.18'!$A$17:$N$36,IF(C3=5,'13.08.18'!$A$17:$N$36,IF(C3=6,'20.08.18'!$A$17:$N$36,IF(C3=7,'24.08.18'!$A$38:$N$40,IF(C3=8,'27.08.18'!$A$38:$N$40,'03.09.18'!$A$38:$N$40)))))))),14,FALSE),"")</f>
        <v>14.559442434284724</v>
      </c>
      <c r="P3" s="102">
        <f t="shared" ref="P3:P66" si="5">N3</f>
        <v>2.9909722222218988</v>
      </c>
    </row>
    <row r="4" spans="1:16">
      <c r="A4" s="101" t="s">
        <v>12</v>
      </c>
      <c r="B4" s="101" t="str">
        <f t="shared" si="0"/>
        <v>MA</v>
      </c>
      <c r="C4" s="101">
        <f>C3</f>
        <v>1</v>
      </c>
      <c r="D4" s="101" t="str">
        <f>IF(AND(C4&lt;&gt;C3,I4=I3),"fix meas date","")</f>
        <v/>
      </c>
      <c r="E4" s="101">
        <f>VLOOKUP($A4,'30.07.18'!$A$17:$I$36,9,FALSE)</f>
        <v>43308.701388888891</v>
      </c>
      <c r="F4" s="101">
        <f t="shared" si="1"/>
        <v>2018</v>
      </c>
      <c r="G4" s="101">
        <f t="shared" si="2"/>
        <v>7</v>
      </c>
      <c r="H4" s="101">
        <f t="shared" si="3"/>
        <v>27.701388888890506</v>
      </c>
      <c r="I4" s="103">
        <f>VLOOKUP($A4,IF(C4=1,'30.07.18'!$A$17:$N$36,IF(C4=2,'02.08.18'!$A$17:$N$36,IF(C4=3,'06.08.18'!$A$17:$N$36,IF(C4=4,'09.08.18'!$A$17:$N$36,IF(C4=5,'13.08.18'!$A$17:$N$36,IF(C4=6,'20.08.18'!$A$17:$N$36,IF(C4=7,'24.08.18'!$A$38:$N$40,IF(C4=8,'27.08.18'!$A$38:$N$40,'03.09.18'!$A$38:$N$40)))))))),2,FALSE)</f>
        <v>43311.693055555559</v>
      </c>
      <c r="J4" s="101">
        <f>YEAR(I4)</f>
        <v>2018</v>
      </c>
      <c r="K4" s="101">
        <f>MONTH(I4)</f>
        <v>7</v>
      </c>
      <c r="L4" s="101">
        <f>DAY(I4)+I4-ROUNDDOWN(I4,0)</f>
        <v>30.693055555559113</v>
      </c>
      <c r="M4" s="101" t="s">
        <v>164</v>
      </c>
      <c r="N4" s="102">
        <f t="shared" si="4"/>
        <v>2.9916666666686069</v>
      </c>
      <c r="O4" s="101">
        <f>IFERROR(VLOOKUP($A4,IF(C4=1,'30.07.18'!$A$17:$N$36,IF(C4=2,'02.08.18'!$A$17:$N$36,IF(C4=3,'06.08.18'!$A$17:$N$36,IF(C4=4,'09.08.18'!$A$17:$N$36,IF(C4=5,'13.08.18'!$A$17:$N$36,IF(C4=6,'20.08.18'!$A$17:$N$36,IF(C4=7,'24.08.18'!$A$38:$N$40,IF(C4=8,'27.08.18'!$A$38:$N$40,'03.09.18'!$A$38:$N$40)))))))),14,FALSE),"")</f>
        <v>15.302487274382152</v>
      </c>
      <c r="P4" s="102">
        <f t="shared" si="5"/>
        <v>2.9916666666686069</v>
      </c>
    </row>
    <row r="5" spans="1:16">
      <c r="A5" s="101" t="s">
        <v>13</v>
      </c>
      <c r="B5" s="101" t="str">
        <f t="shared" si="0"/>
        <v>MB</v>
      </c>
      <c r="C5" s="101">
        <f>C4</f>
        <v>1</v>
      </c>
      <c r="D5" s="101" t="str">
        <f>IF(AND(C5&lt;&gt;C4,I5=I4),"fix meas date","")</f>
        <v/>
      </c>
      <c r="E5" s="101">
        <f>VLOOKUP($A5,'30.07.18'!$A$17:$I$36,9,FALSE)</f>
        <v>43308.701388888891</v>
      </c>
      <c r="F5" s="101">
        <f t="shared" si="1"/>
        <v>2018</v>
      </c>
      <c r="G5" s="101">
        <f t="shared" si="2"/>
        <v>7</v>
      </c>
      <c r="H5" s="101">
        <f t="shared" si="3"/>
        <v>27.701388888890506</v>
      </c>
      <c r="I5" s="103">
        <f>VLOOKUP($A5,IF(C5=1,'30.07.18'!$A$17:$N$36,IF(C5=2,'02.08.18'!$A$17:$N$36,IF(C5=3,'06.08.18'!$A$17:$N$36,IF(C5=4,'09.08.18'!$A$17:$N$36,IF(C5=5,'13.08.18'!$A$17:$N$36,IF(C5=6,'20.08.18'!$A$17:$N$36,IF(C5=7,'24.08.18'!$A$38:$N$40,IF(C5=8,'27.08.18'!$A$38:$N$40,'03.09.18'!$A$38:$N$40)))))))),2,FALSE)</f>
        <v>43311.694444444445</v>
      </c>
      <c r="J5" s="101">
        <f>YEAR(I5)</f>
        <v>2018</v>
      </c>
      <c r="K5" s="101">
        <f>MONTH(I5)</f>
        <v>7</v>
      </c>
      <c r="L5" s="101">
        <f>DAY(I5)+I5-ROUNDDOWN(I5,0)</f>
        <v>30.694444444445253</v>
      </c>
      <c r="M5" s="101" t="s">
        <v>164</v>
      </c>
      <c r="N5" s="102">
        <f t="shared" si="4"/>
        <v>2.9930555555547471</v>
      </c>
      <c r="O5" s="101">
        <f>IFERROR(VLOOKUP($A5,IF(C5=1,'30.07.18'!$A$17:$N$36,IF(C5=2,'02.08.18'!$A$17:$N$36,IF(C5=3,'06.08.18'!$A$17:$N$36,IF(C5=4,'09.08.18'!$A$17:$N$36,IF(C5=5,'13.08.18'!$A$17:$N$36,IF(C5=6,'20.08.18'!$A$17:$N$36,IF(C5=7,'24.08.18'!$A$38:$N$40,IF(C5=8,'27.08.18'!$A$38:$N$40,'03.09.18'!$A$38:$N$40)))))))),14,FALSE),"")</f>
        <v>1.4916468316009188</v>
      </c>
      <c r="P5" s="102">
        <f t="shared" si="5"/>
        <v>2.9930555555547471</v>
      </c>
    </row>
    <row r="6" spans="1:16">
      <c r="A6" s="101" t="s">
        <v>14</v>
      </c>
      <c r="B6" s="101" t="str">
        <f t="shared" si="0"/>
        <v>MB</v>
      </c>
      <c r="C6" s="101">
        <f>C5</f>
        <v>1</v>
      </c>
      <c r="D6" s="101" t="str">
        <f>IF(AND(C6&lt;&gt;C5,I6=I5),"fix meas date","")</f>
        <v/>
      </c>
      <c r="E6" s="101">
        <f>VLOOKUP($A6,'30.07.18'!$A$17:$I$36,9,FALSE)</f>
        <v>43308.701388888891</v>
      </c>
      <c r="F6" s="101">
        <f t="shared" si="1"/>
        <v>2018</v>
      </c>
      <c r="G6" s="101">
        <f t="shared" si="2"/>
        <v>7</v>
      </c>
      <c r="H6" s="101">
        <f t="shared" si="3"/>
        <v>27.701388888890506</v>
      </c>
      <c r="I6" s="103">
        <f>VLOOKUP($A6,IF(C6=1,'30.07.18'!$A$17:$N$36,IF(C6=2,'02.08.18'!$A$17:$N$36,IF(C6=3,'06.08.18'!$A$17:$N$36,IF(C6=4,'09.08.18'!$A$17:$N$36,IF(C6=5,'13.08.18'!$A$17:$N$36,IF(C6=6,'20.08.18'!$A$17:$N$36,IF(C6=7,'24.08.18'!$A$38:$N$40,IF(C6=8,'27.08.18'!$A$38:$N$40,'03.09.18'!$A$38:$N$40)))))))),2,FALSE)</f>
        <v>43311.695833333331</v>
      </c>
      <c r="J6" s="101">
        <f>YEAR(I6)</f>
        <v>2018</v>
      </c>
      <c r="K6" s="101">
        <f>MONTH(I6)</f>
        <v>7</v>
      </c>
      <c r="L6" s="101">
        <f>DAY(I6)+I6-ROUNDDOWN(I6,0)</f>
        <v>30.695833333331393</v>
      </c>
      <c r="M6" s="101" t="s">
        <v>164</v>
      </c>
      <c r="N6" s="102">
        <f t="shared" si="4"/>
        <v>2.9944444444408873</v>
      </c>
      <c r="O6" s="101">
        <f>IFERROR(VLOOKUP($A6,IF(C6=1,'30.07.18'!$A$17:$N$36,IF(C6=2,'02.08.18'!$A$17:$N$36,IF(C6=3,'06.08.18'!$A$17:$N$36,IF(C6=4,'09.08.18'!$A$17:$N$36,IF(C6=5,'13.08.18'!$A$17:$N$36,IF(C6=6,'20.08.18'!$A$17:$N$36,IF(C6=7,'24.08.18'!$A$38:$N$40,IF(C6=8,'27.08.18'!$A$38:$N$40,'03.09.18'!$A$38:$N$40)))))))),14,FALSE),"")</f>
        <v>1.4523582016071004</v>
      </c>
      <c r="P6" s="102">
        <f t="shared" si="5"/>
        <v>2.9944444444408873</v>
      </c>
    </row>
    <row r="7" spans="1:16">
      <c r="A7" s="101" t="s">
        <v>15</v>
      </c>
      <c r="B7" s="101" t="str">
        <f t="shared" si="0"/>
        <v>MB</v>
      </c>
      <c r="C7" s="101">
        <f>C6</f>
        <v>1</v>
      </c>
      <c r="D7" s="101" t="str">
        <f>IF(AND(C7&lt;&gt;C6,I7=I6),"fix meas date","")</f>
        <v/>
      </c>
      <c r="E7" s="101">
        <f>VLOOKUP($A7,'30.07.18'!$A$17:$I$36,9,FALSE)</f>
        <v>43308.701388888891</v>
      </c>
      <c r="F7" s="101">
        <f t="shared" si="1"/>
        <v>2018</v>
      </c>
      <c r="G7" s="101">
        <f t="shared" si="2"/>
        <v>7</v>
      </c>
      <c r="H7" s="101">
        <f t="shared" si="3"/>
        <v>27.701388888890506</v>
      </c>
      <c r="I7" s="103">
        <f>VLOOKUP($A7,IF(C7=1,'30.07.18'!$A$17:$N$36,IF(C7=2,'02.08.18'!$A$17:$N$36,IF(C7=3,'06.08.18'!$A$17:$N$36,IF(C7=4,'09.08.18'!$A$17:$N$36,IF(C7=5,'13.08.18'!$A$17:$N$36,IF(C7=6,'20.08.18'!$A$17:$N$36,IF(C7=7,'24.08.18'!$A$38:$N$40,IF(C7=8,'27.08.18'!$A$38:$N$40,'03.09.18'!$A$38:$N$40)))))))),2,FALSE)</f>
        <v>43311.695833333331</v>
      </c>
      <c r="J7" s="101">
        <f>YEAR(I7)</f>
        <v>2018</v>
      </c>
      <c r="K7" s="101">
        <f>MONTH(I7)</f>
        <v>7</v>
      </c>
      <c r="L7" s="101">
        <f>DAY(I7)+I7-ROUNDDOWN(I7,0)</f>
        <v>30.695833333331393</v>
      </c>
      <c r="M7" s="101" t="s">
        <v>164</v>
      </c>
      <c r="N7" s="102">
        <f t="shared" si="4"/>
        <v>2.9944444444408873</v>
      </c>
      <c r="O7" s="101">
        <f>IFERROR(VLOOKUP($A7,IF(C7=1,'30.07.18'!$A$17:$N$36,IF(C7=2,'02.08.18'!$A$17:$N$36,IF(C7=3,'06.08.18'!$A$17:$N$36,IF(C7=4,'09.08.18'!$A$17:$N$36,IF(C7=5,'13.08.18'!$A$17:$N$36,IF(C7=6,'20.08.18'!$A$17:$N$36,IF(C7=7,'24.08.18'!$A$38:$N$40,IF(C7=8,'27.08.18'!$A$38:$N$40,'03.09.18'!$A$38:$N$40)))))))),14,FALSE),"")</f>
        <v>1.398047774342037</v>
      </c>
      <c r="P7" s="102">
        <f t="shared" si="5"/>
        <v>2.9944444444408873</v>
      </c>
    </row>
    <row r="8" spans="1:16">
      <c r="A8" s="101" t="s">
        <v>16</v>
      </c>
      <c r="B8" s="101" t="str">
        <f t="shared" si="0"/>
        <v>SA</v>
      </c>
      <c r="C8" s="101">
        <f>C7</f>
        <v>1</v>
      </c>
      <c r="D8" s="101" t="str">
        <f>IF(AND(C8&lt;&gt;C7,I8=I7),"fix meas date","")</f>
        <v/>
      </c>
      <c r="E8" s="101">
        <f>VLOOKUP($A8,'30.07.18'!$A$17:$I$36,9,FALSE)</f>
        <v>43308.723611111112</v>
      </c>
      <c r="F8" s="101">
        <f t="shared" si="1"/>
        <v>2018</v>
      </c>
      <c r="G8" s="101">
        <f t="shared" si="2"/>
        <v>7</v>
      </c>
      <c r="H8" s="101">
        <f t="shared" si="3"/>
        <v>27.723611111112405</v>
      </c>
      <c r="I8" s="103">
        <f>VLOOKUP($A8,IF(C8=1,'30.07.18'!$A$17:$N$36,IF(C8=2,'02.08.18'!$A$17:$N$36,IF(C8=3,'06.08.18'!$A$17:$N$36,IF(C8=4,'09.08.18'!$A$17:$N$36,IF(C8=5,'13.08.18'!$A$17:$N$36,IF(C8=6,'20.08.18'!$A$17:$N$36,IF(C8=7,'24.08.18'!$A$38:$N$40,IF(C8=8,'27.08.18'!$A$38:$N$40,'03.09.18'!$A$38:$N$40)))))))),2,FALSE)</f>
        <v>43311.697916666664</v>
      </c>
      <c r="J8" s="101">
        <f>YEAR(I8)</f>
        <v>2018</v>
      </c>
      <c r="K8" s="101">
        <f>MONTH(I8)</f>
        <v>7</v>
      </c>
      <c r="L8" s="101">
        <f>DAY(I8)+I8-ROUNDDOWN(I8,0)</f>
        <v>30.697916666664241</v>
      </c>
      <c r="M8" s="101" t="s">
        <v>164</v>
      </c>
      <c r="N8" s="102">
        <f t="shared" si="4"/>
        <v>2.9743055555518367</v>
      </c>
      <c r="O8" s="101">
        <f>IFERROR(VLOOKUP($A8,IF(C8=1,'30.07.18'!$A$17:$N$36,IF(C8=2,'02.08.18'!$A$17:$N$36,IF(C8=3,'06.08.18'!$A$17:$N$36,IF(C8=4,'09.08.18'!$A$17:$N$36,IF(C8=5,'13.08.18'!$A$17:$N$36,IF(C8=6,'20.08.18'!$A$17:$N$36,IF(C8=7,'24.08.18'!$A$38:$N$40,IF(C8=8,'27.08.18'!$A$38:$N$40,'03.09.18'!$A$38:$N$40)))))))),14,FALSE),"")</f>
        <v>26.609489256456349</v>
      </c>
      <c r="P8" s="102">
        <f t="shared" si="5"/>
        <v>2.9743055555518367</v>
      </c>
    </row>
    <row r="9" spans="1:16">
      <c r="A9" s="101" t="s">
        <v>17</v>
      </c>
      <c r="B9" s="101" t="str">
        <f t="shared" si="0"/>
        <v>SA</v>
      </c>
      <c r="C9" s="101">
        <f>C8</f>
        <v>1</v>
      </c>
      <c r="D9" s="101" t="str">
        <f>IF(AND(C9&lt;&gt;C8,I9=I8),"fix meas date","")</f>
        <v/>
      </c>
      <c r="E9" s="101">
        <f>VLOOKUP($A9,'30.07.18'!$A$17:$I$36,9,FALSE)</f>
        <v>43308.723611111112</v>
      </c>
      <c r="F9" s="101">
        <f t="shared" si="1"/>
        <v>2018</v>
      </c>
      <c r="G9" s="101">
        <f t="shared" si="2"/>
        <v>7</v>
      </c>
      <c r="H9" s="101">
        <f t="shared" si="3"/>
        <v>27.723611111112405</v>
      </c>
      <c r="I9" s="103">
        <f>VLOOKUP($A9,IF(C9=1,'30.07.18'!$A$17:$N$36,IF(C9=2,'02.08.18'!$A$17:$N$36,IF(C9=3,'06.08.18'!$A$17:$N$36,IF(C9=4,'09.08.18'!$A$17:$N$36,IF(C9=5,'13.08.18'!$A$17:$N$36,IF(C9=6,'20.08.18'!$A$17:$N$36,IF(C9=7,'24.08.18'!$A$38:$N$40,IF(C9=8,'27.08.18'!$A$38:$N$40,'03.09.18'!$A$38:$N$40)))))))),2,FALSE)</f>
        <v>43311.699305555558</v>
      </c>
      <c r="J9" s="101">
        <f>YEAR(I9)</f>
        <v>2018</v>
      </c>
      <c r="K9" s="101">
        <f>MONTH(I9)</f>
        <v>7</v>
      </c>
      <c r="L9" s="101">
        <f>DAY(I9)+I9-ROUNDDOWN(I9,0)</f>
        <v>30.699305555557657</v>
      </c>
      <c r="M9" s="101" t="s">
        <v>164</v>
      </c>
      <c r="N9" s="102">
        <f t="shared" si="4"/>
        <v>2.9756944444452529</v>
      </c>
      <c r="O9" s="101">
        <f>IFERROR(VLOOKUP($A9,IF(C9=1,'30.07.18'!$A$17:$N$36,IF(C9=2,'02.08.18'!$A$17:$N$36,IF(C9=3,'06.08.18'!$A$17:$N$36,IF(C9=4,'09.08.18'!$A$17:$N$36,IF(C9=5,'13.08.18'!$A$17:$N$36,IF(C9=6,'20.08.18'!$A$17:$N$36,IF(C9=7,'24.08.18'!$A$38:$N$40,IF(C9=8,'27.08.18'!$A$38:$N$40,'03.09.18'!$A$38:$N$40)))))))),14,FALSE),"")</f>
        <v>25.429868020895245</v>
      </c>
      <c r="P9" s="102">
        <f t="shared" si="5"/>
        <v>2.9756944444452529</v>
      </c>
    </row>
    <row r="10" spans="1:16">
      <c r="A10" s="101" t="s">
        <v>18</v>
      </c>
      <c r="B10" s="101" t="str">
        <f t="shared" si="0"/>
        <v>SA</v>
      </c>
      <c r="C10" s="101">
        <f>C9</f>
        <v>1</v>
      </c>
      <c r="D10" s="101" t="str">
        <f>IF(AND(C10&lt;&gt;C9,I10=I9),"fix meas date","")</f>
        <v/>
      </c>
      <c r="E10" s="101">
        <f>VLOOKUP($A10,'30.07.18'!$A$17:$I$36,9,FALSE)</f>
        <v>43308.723611111112</v>
      </c>
      <c r="F10" s="101">
        <f t="shared" si="1"/>
        <v>2018</v>
      </c>
      <c r="G10" s="101">
        <f t="shared" si="2"/>
        <v>7</v>
      </c>
      <c r="H10" s="101">
        <f t="shared" si="3"/>
        <v>27.723611111112405</v>
      </c>
      <c r="I10" s="103">
        <f>VLOOKUP($A10,IF(C10=1,'30.07.18'!$A$17:$N$36,IF(C10=2,'02.08.18'!$A$17:$N$36,IF(C10=3,'06.08.18'!$A$17:$N$36,IF(C10=4,'09.08.18'!$A$17:$N$36,IF(C10=5,'13.08.18'!$A$17:$N$36,IF(C10=6,'20.08.18'!$A$17:$N$36,IF(C10=7,'24.08.18'!$A$38:$N$40,IF(C10=8,'27.08.18'!$A$38:$N$40,'03.09.18'!$A$38:$N$40)))))))),2,FALSE)</f>
        <v>43311.7</v>
      </c>
      <c r="J10" s="101">
        <f>YEAR(I10)</f>
        <v>2018</v>
      </c>
      <c r="K10" s="101">
        <f>MONTH(I10)</f>
        <v>7</v>
      </c>
      <c r="L10" s="101">
        <f>DAY(I10)+I10-ROUNDDOWN(I10,0)</f>
        <v>30.69999999999709</v>
      </c>
      <c r="M10" s="101" t="s">
        <v>164</v>
      </c>
      <c r="N10" s="102">
        <f t="shared" si="4"/>
        <v>2.976388888884685</v>
      </c>
      <c r="O10" s="101">
        <f>IFERROR(VLOOKUP($A10,IF(C10=1,'30.07.18'!$A$17:$N$36,IF(C10=2,'02.08.18'!$A$17:$N$36,IF(C10=3,'06.08.18'!$A$17:$N$36,IF(C10=4,'09.08.18'!$A$17:$N$36,IF(C10=5,'13.08.18'!$A$17:$N$36,IF(C10=6,'20.08.18'!$A$17:$N$36,IF(C10=7,'24.08.18'!$A$38:$N$40,IF(C10=8,'27.08.18'!$A$38:$N$40,'03.09.18'!$A$38:$N$40)))))))),14,FALSE),"")</f>
        <v>26.56852324261309</v>
      </c>
      <c r="P10" s="102">
        <f t="shared" si="5"/>
        <v>2.976388888884685</v>
      </c>
    </row>
    <row r="11" spans="1:16">
      <c r="A11" s="101" t="s">
        <v>19</v>
      </c>
      <c r="B11" s="101" t="str">
        <f t="shared" si="0"/>
        <v>SB</v>
      </c>
      <c r="C11" s="101">
        <f>C10</f>
        <v>1</v>
      </c>
      <c r="D11" s="101" t="str">
        <f>IF(AND(C11&lt;&gt;C10,I11=I10),"fix meas date","")</f>
        <v/>
      </c>
      <c r="E11" s="101">
        <f>VLOOKUP($A11,'30.07.18'!$A$17:$I$36,9,FALSE)</f>
        <v>43308.723611111112</v>
      </c>
      <c r="F11" s="101">
        <f t="shared" si="1"/>
        <v>2018</v>
      </c>
      <c r="G11" s="101">
        <f t="shared" si="2"/>
        <v>7</v>
      </c>
      <c r="H11" s="101">
        <f t="shared" si="3"/>
        <v>27.723611111112405</v>
      </c>
      <c r="I11" s="103">
        <f>VLOOKUP($A11,IF(C11=1,'30.07.18'!$A$17:$N$36,IF(C11=2,'02.08.18'!$A$17:$N$36,IF(C11=3,'06.08.18'!$A$17:$N$36,IF(C11=4,'09.08.18'!$A$17:$N$36,IF(C11=5,'13.08.18'!$A$17:$N$36,IF(C11=6,'20.08.18'!$A$17:$N$36,IF(C11=7,'24.08.18'!$A$38:$N$40,IF(C11=8,'27.08.18'!$A$38:$N$40,'03.09.18'!$A$38:$N$40)))))))),2,FALSE)</f>
        <v>43311.701388888891</v>
      </c>
      <c r="J11" s="101">
        <f>YEAR(I11)</f>
        <v>2018</v>
      </c>
      <c r="K11" s="101">
        <f>MONTH(I11)</f>
        <v>7</v>
      </c>
      <c r="L11" s="101">
        <f>DAY(I11)+I11-ROUNDDOWN(I11,0)</f>
        <v>30.701388888890506</v>
      </c>
      <c r="M11" s="101" t="s">
        <v>164</v>
      </c>
      <c r="N11" s="102">
        <f t="shared" si="4"/>
        <v>2.9777777777781012</v>
      </c>
      <c r="O11" s="101">
        <f>IFERROR(VLOOKUP($A11,IF(C11=1,'30.07.18'!$A$17:$N$36,IF(C11=2,'02.08.18'!$A$17:$N$36,IF(C11=3,'06.08.18'!$A$17:$N$36,IF(C11=4,'09.08.18'!$A$17:$N$36,IF(C11=5,'13.08.18'!$A$17:$N$36,IF(C11=6,'20.08.18'!$A$17:$N$36,IF(C11=7,'24.08.18'!$A$38:$N$40,IF(C11=8,'27.08.18'!$A$38:$N$40,'03.09.18'!$A$38:$N$40)))))))),14,FALSE),"")</f>
        <v>3.3502782942436071</v>
      </c>
      <c r="P11" s="102">
        <f t="shared" si="5"/>
        <v>2.9777777777781012</v>
      </c>
    </row>
    <row r="12" spans="1:16">
      <c r="A12" s="101" t="s">
        <v>20</v>
      </c>
      <c r="B12" s="101" t="str">
        <f t="shared" si="0"/>
        <v>SB</v>
      </c>
      <c r="C12" s="101">
        <f>C11</f>
        <v>1</v>
      </c>
      <c r="D12" s="101" t="str">
        <f>IF(AND(C12&lt;&gt;C11,I12=I11),"fix meas date","")</f>
        <v/>
      </c>
      <c r="E12" s="101">
        <f>VLOOKUP($A12,'30.07.18'!$A$17:$I$36,9,FALSE)</f>
        <v>43308.723611111112</v>
      </c>
      <c r="F12" s="101">
        <f t="shared" si="1"/>
        <v>2018</v>
      </c>
      <c r="G12" s="101">
        <f t="shared" si="2"/>
        <v>7</v>
      </c>
      <c r="H12" s="101">
        <f t="shared" si="3"/>
        <v>27.723611111112405</v>
      </c>
      <c r="I12" s="103">
        <f>VLOOKUP($A12,IF(C12=1,'30.07.18'!$A$17:$N$36,IF(C12=2,'02.08.18'!$A$17:$N$36,IF(C12=3,'06.08.18'!$A$17:$N$36,IF(C12=4,'09.08.18'!$A$17:$N$36,IF(C12=5,'13.08.18'!$A$17:$N$36,IF(C12=6,'20.08.18'!$A$17:$N$36,IF(C12=7,'24.08.18'!$A$38:$N$40,IF(C12=8,'27.08.18'!$A$38:$N$40,'03.09.18'!$A$38:$N$40)))))))),2,FALSE)</f>
        <v>43311.70208333333</v>
      </c>
      <c r="J12" s="101">
        <f>YEAR(I12)</f>
        <v>2018</v>
      </c>
      <c r="K12" s="101">
        <f>MONTH(I12)</f>
        <v>7</v>
      </c>
      <c r="L12" s="101">
        <f>DAY(I12)+I12-ROUNDDOWN(I12,0)</f>
        <v>30.702083333329938</v>
      </c>
      <c r="M12" s="101" t="s">
        <v>164</v>
      </c>
      <c r="N12" s="102">
        <f t="shared" si="4"/>
        <v>2.9784722222175333</v>
      </c>
      <c r="O12" s="101">
        <f>IFERROR(VLOOKUP($A12,IF(C12=1,'30.07.18'!$A$17:$N$36,IF(C12=2,'02.08.18'!$A$17:$N$36,IF(C12=3,'06.08.18'!$A$17:$N$36,IF(C12=4,'09.08.18'!$A$17:$N$36,IF(C12=5,'13.08.18'!$A$17:$N$36,IF(C12=6,'20.08.18'!$A$17:$N$36,IF(C12=7,'24.08.18'!$A$38:$N$40,IF(C12=8,'27.08.18'!$A$38:$N$40,'03.09.18'!$A$38:$N$40)))))))),14,FALSE),"")</f>
        <v>3.0507543827109354</v>
      </c>
      <c r="P12" s="102">
        <f t="shared" si="5"/>
        <v>2.9784722222175333</v>
      </c>
    </row>
    <row r="13" spans="1:16">
      <c r="A13" s="101" t="s">
        <v>21</v>
      </c>
      <c r="B13" s="101" t="str">
        <f t="shared" si="0"/>
        <v>SB</v>
      </c>
      <c r="C13" s="101">
        <f>C12</f>
        <v>1</v>
      </c>
      <c r="D13" s="101" t="str">
        <f>IF(AND(C13&lt;&gt;C12,I13=I12),"fix meas date","")</f>
        <v/>
      </c>
      <c r="E13" s="101">
        <f>VLOOKUP($A13,'30.07.18'!$A$17:$I$36,9,FALSE)</f>
        <v>43308.729166666664</v>
      </c>
      <c r="F13" s="101">
        <f t="shared" si="1"/>
        <v>2018</v>
      </c>
      <c r="G13" s="101">
        <f t="shared" si="2"/>
        <v>7</v>
      </c>
      <c r="H13" s="101">
        <f t="shared" si="3"/>
        <v>27.729166666664241</v>
      </c>
      <c r="I13" s="103">
        <f>VLOOKUP($A13,IF(C13=1,'30.07.18'!$A$17:$N$36,IF(C13=2,'02.08.18'!$A$17:$N$36,IF(C13=3,'06.08.18'!$A$17:$N$36,IF(C13=4,'09.08.18'!$A$17:$N$36,IF(C13=5,'13.08.18'!$A$17:$N$36,IF(C13=6,'20.08.18'!$A$17:$N$36,IF(C13=7,'24.08.18'!$A$38:$N$40,IF(C13=8,'27.08.18'!$A$38:$N$40,'03.09.18'!$A$38:$N$40)))))))),2,FALSE)</f>
        <v>43311.702777777777</v>
      </c>
      <c r="J13" s="101">
        <f>YEAR(I13)</f>
        <v>2018</v>
      </c>
      <c r="K13" s="101">
        <f>MONTH(I13)</f>
        <v>7</v>
      </c>
      <c r="L13" s="101">
        <f>DAY(I13)+I13-ROUNDDOWN(I13,0)</f>
        <v>30.702777777776646</v>
      </c>
      <c r="M13" s="101" t="s">
        <v>164</v>
      </c>
      <c r="N13" s="102">
        <f t="shared" si="4"/>
        <v>2.9736111111124046</v>
      </c>
      <c r="O13" s="101">
        <f>IFERROR(VLOOKUP($A13,IF(C13=1,'30.07.18'!$A$17:$N$36,IF(C13=2,'02.08.18'!$A$17:$N$36,IF(C13=3,'06.08.18'!$A$17:$N$36,IF(C13=4,'09.08.18'!$A$17:$N$36,IF(C13=5,'13.08.18'!$A$17:$N$36,IF(C13=6,'20.08.18'!$A$17:$N$36,IF(C13=7,'24.08.18'!$A$38:$N$40,IF(C13=8,'27.08.18'!$A$38:$N$40,'03.09.18'!$A$38:$N$40)))))))),14,FALSE),"")</f>
        <v>3.063838853388714</v>
      </c>
      <c r="P13" s="102">
        <f t="shared" si="5"/>
        <v>2.9736111111124046</v>
      </c>
    </row>
    <row r="14" spans="1:16">
      <c r="A14" s="101" t="s">
        <v>22</v>
      </c>
      <c r="B14" s="101" t="str">
        <f t="shared" si="0"/>
        <v>Du123</v>
      </c>
      <c r="C14" s="101">
        <f>C13</f>
        <v>1</v>
      </c>
      <c r="D14" s="101" t="str">
        <f>IF(AND(C14&lt;&gt;C13,I14=I13),"fix meas date","")</f>
        <v/>
      </c>
      <c r="E14" s="101">
        <f>VLOOKUP($A14,'30.07.18'!$A$17:$I$36,9,FALSE)</f>
        <v>43308.729166666664</v>
      </c>
      <c r="F14" s="101">
        <f t="shared" si="1"/>
        <v>2018</v>
      </c>
      <c r="G14" s="101">
        <f t="shared" si="2"/>
        <v>7</v>
      </c>
      <c r="H14" s="101">
        <f t="shared" si="3"/>
        <v>27.729166666664241</v>
      </c>
      <c r="I14" s="103">
        <f>VLOOKUP($A14,IF(C14=1,'30.07.18'!$A$17:$N$36,IF(C14=2,'02.08.18'!$A$17:$N$36,IF(C14=3,'06.08.18'!$A$17:$N$36,IF(C14=4,'09.08.18'!$A$17:$N$36,IF(C14=5,'13.08.18'!$A$17:$N$36,IF(C14=6,'20.08.18'!$A$17:$N$36,IF(C14=7,'24.08.18'!$A$38:$N$40,IF(C14=8,'27.08.18'!$A$38:$N$40,'03.09.18'!$A$38:$N$40)))))))),2,FALSE)</f>
        <v>43311.70416666667</v>
      </c>
      <c r="J14" s="101">
        <f>YEAR(I14)</f>
        <v>2018</v>
      </c>
      <c r="K14" s="101">
        <f>MONTH(I14)</f>
        <v>7</v>
      </c>
      <c r="L14" s="101">
        <f>DAY(I14)+I14-ROUNDDOWN(I14,0)</f>
        <v>30.704166666670062</v>
      </c>
      <c r="M14" s="101" t="s">
        <v>164</v>
      </c>
      <c r="N14" s="102">
        <f t="shared" si="4"/>
        <v>2.9750000000058208</v>
      </c>
      <c r="O14" s="101">
        <f>IFERROR(VLOOKUP($A14,IF(C14=1,'30.07.18'!$A$17:$N$36,IF(C14=2,'02.08.18'!$A$17:$N$36,IF(C14=3,'06.08.18'!$A$17:$N$36,IF(C14=4,'09.08.18'!$A$17:$N$36,IF(C14=5,'13.08.18'!$A$17:$N$36,IF(C14=6,'20.08.18'!$A$17:$N$36,IF(C14=7,'24.08.18'!$A$38:$N$40,IF(C14=8,'27.08.18'!$A$38:$N$40,'03.09.18'!$A$38:$N$40)))))))),14,FALSE),"")</f>
        <v>26.857196289546032</v>
      </c>
      <c r="P14" s="102">
        <f t="shared" si="5"/>
        <v>2.9750000000058208</v>
      </c>
    </row>
    <row r="15" spans="1:16">
      <c r="A15" s="101" t="s">
        <v>23</v>
      </c>
      <c r="B15" s="101" t="str">
        <f t="shared" si="0"/>
        <v>Du120</v>
      </c>
      <c r="C15" s="101">
        <f>C14</f>
        <v>1</v>
      </c>
      <c r="D15" s="101" t="str">
        <f>IF(AND(C15&lt;&gt;C14,I15=I14),"fix meas date","")</f>
        <v/>
      </c>
      <c r="E15" s="101">
        <f>VLOOKUP($A15,'30.07.18'!$A$17:$I$36,9,FALSE)</f>
        <v>43308.729166666664</v>
      </c>
      <c r="F15" s="101">
        <f t="shared" si="1"/>
        <v>2018</v>
      </c>
      <c r="G15" s="101">
        <f t="shared" si="2"/>
        <v>7</v>
      </c>
      <c r="H15" s="101">
        <f t="shared" si="3"/>
        <v>27.729166666664241</v>
      </c>
      <c r="I15" s="103">
        <f>VLOOKUP($A15,IF(C15=1,'30.07.18'!$A$17:$N$36,IF(C15=2,'02.08.18'!$A$17:$N$36,IF(C15=3,'06.08.18'!$A$17:$N$36,IF(C15=4,'09.08.18'!$A$17:$N$36,IF(C15=5,'13.08.18'!$A$17:$N$36,IF(C15=6,'20.08.18'!$A$17:$N$36,IF(C15=7,'24.08.18'!$A$38:$N$40,IF(C15=8,'27.08.18'!$A$38:$N$40,'03.09.18'!$A$38:$N$40)))))))),2,FALSE)</f>
        <v>43311.705555555556</v>
      </c>
      <c r="J15" s="101">
        <f>YEAR(I15)</f>
        <v>2018</v>
      </c>
      <c r="K15" s="101">
        <f>MONTH(I15)</f>
        <v>7</v>
      </c>
      <c r="L15" s="101">
        <f>DAY(I15)+I15-ROUNDDOWN(I15,0)</f>
        <v>30.705555555556202</v>
      </c>
      <c r="M15" s="101" t="s">
        <v>164</v>
      </c>
      <c r="N15" s="102">
        <f t="shared" si="4"/>
        <v>2.976388888891961</v>
      </c>
      <c r="O15" s="101">
        <f>IFERROR(VLOOKUP($A15,IF(C15=1,'30.07.18'!$A$17:$N$36,IF(C15=2,'02.08.18'!$A$17:$N$36,IF(C15=3,'06.08.18'!$A$17:$N$36,IF(C15=4,'09.08.18'!$A$17:$N$36,IF(C15=5,'13.08.18'!$A$17:$N$36,IF(C15=6,'20.08.18'!$A$17:$N$36,IF(C15=7,'24.08.18'!$A$38:$N$40,IF(C15=8,'27.08.18'!$A$38:$N$40,'03.09.18'!$A$38:$N$40)))))))),14,FALSE),"")</f>
        <v>1.7642111214281857</v>
      </c>
      <c r="P15" s="102">
        <f t="shared" si="5"/>
        <v>2.976388888891961</v>
      </c>
    </row>
    <row r="16" spans="1:16">
      <c r="A16" s="101" t="s">
        <v>24</v>
      </c>
      <c r="B16" s="101" t="str">
        <f t="shared" si="0"/>
        <v>TVA 4E C</v>
      </c>
      <c r="C16" s="101">
        <f>C15</f>
        <v>1</v>
      </c>
      <c r="D16" s="101" t="str">
        <f>IF(AND(C16&lt;&gt;C15,I16=I15),"fix meas date","")</f>
        <v/>
      </c>
      <c r="E16" s="101">
        <f>VLOOKUP($A16,'30.07.18'!$A$17:$I$36,9,FALSE)</f>
        <v>43308.729166666664</v>
      </c>
      <c r="F16" s="101">
        <f t="shared" si="1"/>
        <v>2018</v>
      </c>
      <c r="G16" s="101">
        <f t="shared" si="2"/>
        <v>7</v>
      </c>
      <c r="H16" s="101">
        <f t="shared" si="3"/>
        <v>27.729166666664241</v>
      </c>
      <c r="I16" s="103">
        <f>VLOOKUP($A16,IF(C16=1,'30.07.18'!$A$17:$N$36,IF(C16=2,'02.08.18'!$A$17:$N$36,IF(C16=3,'06.08.18'!$A$17:$N$36,IF(C16=4,'09.08.18'!$A$17:$N$36,IF(C16=5,'13.08.18'!$A$17:$N$36,IF(C16=6,'20.08.18'!$A$17:$N$36,IF(C16=7,'24.08.18'!$A$38:$N$40,IF(C16=8,'27.08.18'!$A$38:$N$40,'03.09.18'!$A$38:$N$40)))))))),2,FALSE)</f>
        <v>43311.709027777775</v>
      </c>
      <c r="J16" s="101">
        <f>YEAR(I16)</f>
        <v>2018</v>
      </c>
      <c r="K16" s="101">
        <f>MONTH(I16)</f>
        <v>7</v>
      </c>
      <c r="L16" s="101">
        <f>DAY(I16)+I16-ROUNDDOWN(I16,0)</f>
        <v>30.709027777775191</v>
      </c>
      <c r="M16" s="101" t="s">
        <v>164</v>
      </c>
      <c r="N16" s="102">
        <f t="shared" si="4"/>
        <v>2.9798611111109494</v>
      </c>
      <c r="O16" s="101">
        <f>IFERROR(VLOOKUP($A16,IF(C16=1,'30.07.18'!$A$17:$N$36,IF(C16=2,'02.08.18'!$A$17:$N$36,IF(C16=3,'06.08.18'!$A$17:$N$36,IF(C16=4,'09.08.18'!$A$17:$N$36,IF(C16=5,'13.08.18'!$A$17:$N$36,IF(C16=6,'20.08.18'!$A$17:$N$36,IF(C16=7,'24.08.18'!$A$38:$N$40,IF(C16=8,'27.08.18'!$A$38:$N$40,'03.09.18'!$A$38:$N$40)))))))),14,FALSE),"")</f>
        <v>3.978315469861359</v>
      </c>
      <c r="P16" s="102">
        <f t="shared" si="5"/>
        <v>2.9798611111109494</v>
      </c>
    </row>
    <row r="17" spans="1:16">
      <c r="A17" s="101" t="s">
        <v>25</v>
      </c>
      <c r="B17" s="101" t="str">
        <f t="shared" si="0"/>
        <v>TVA 6E C</v>
      </c>
      <c r="C17" s="101">
        <f>C16</f>
        <v>1</v>
      </c>
      <c r="D17" s="101" t="str">
        <f>IF(AND(C17&lt;&gt;C16,I17=I16),"fix meas date","")</f>
        <v/>
      </c>
      <c r="E17" s="101">
        <f>VLOOKUP($A17,'30.07.18'!$A$17:$I$36,9,FALSE)</f>
        <v>43308.73541666667</v>
      </c>
      <c r="F17" s="101">
        <f t="shared" si="1"/>
        <v>2018</v>
      </c>
      <c r="G17" s="101">
        <f t="shared" si="2"/>
        <v>7</v>
      </c>
      <c r="H17" s="101">
        <f t="shared" si="3"/>
        <v>27.735416666670062</v>
      </c>
      <c r="I17" s="103">
        <f>VLOOKUP($A17,IF(C17=1,'30.07.18'!$A$17:$N$36,IF(C17=2,'02.08.18'!$A$17:$N$36,IF(C17=3,'06.08.18'!$A$17:$N$36,IF(C17=4,'09.08.18'!$A$17:$N$36,IF(C17=5,'13.08.18'!$A$17:$N$36,IF(C17=6,'20.08.18'!$A$17:$N$36,IF(C17=7,'24.08.18'!$A$38:$N$40,IF(C17=8,'27.08.18'!$A$38:$N$40,'03.09.18'!$A$38:$N$40)))))))),2,FALSE)</f>
        <v>43311.711805555555</v>
      </c>
      <c r="J17" s="101">
        <f>YEAR(I17)</f>
        <v>2018</v>
      </c>
      <c r="K17" s="101">
        <f>MONTH(I17)</f>
        <v>7</v>
      </c>
      <c r="L17" s="101">
        <f>DAY(I17)+I17-ROUNDDOWN(I17,0)</f>
        <v>30.711805555554747</v>
      </c>
      <c r="M17" s="101" t="s">
        <v>164</v>
      </c>
      <c r="N17" s="102">
        <f t="shared" si="4"/>
        <v>2.976388888884685</v>
      </c>
      <c r="O17" s="101">
        <f>IFERROR(VLOOKUP($A17,IF(C17=1,'30.07.18'!$A$17:$N$36,IF(C17=2,'02.08.18'!$A$17:$N$36,IF(C17=3,'06.08.18'!$A$17:$N$36,IF(C17=4,'09.08.18'!$A$17:$N$36,IF(C17=5,'13.08.18'!$A$17:$N$36,IF(C17=6,'20.08.18'!$A$17:$N$36,IF(C17=7,'24.08.18'!$A$38:$N$40,IF(C17=8,'27.08.18'!$A$38:$N$40,'03.09.18'!$A$38:$N$40)))))))),14,FALSE),"")</f>
        <v>10.536608600376836</v>
      </c>
      <c r="P17" s="102">
        <f t="shared" si="5"/>
        <v>2.976388888884685</v>
      </c>
    </row>
    <row r="18" spans="1:16">
      <c r="A18" s="101" t="s">
        <v>26</v>
      </c>
      <c r="B18" s="101" t="str">
        <f t="shared" si="0"/>
        <v>TVA 8E C</v>
      </c>
      <c r="C18" s="101">
        <f>C17</f>
        <v>1</v>
      </c>
      <c r="D18" s="101" t="str">
        <f>IF(AND(C18&lt;&gt;C17,I18=I17),"fix meas date","")</f>
        <v/>
      </c>
      <c r="E18" s="101">
        <f>VLOOKUP($A18,'30.07.18'!$A$17:$I$36,9,FALSE)</f>
        <v>43308.73541666667</v>
      </c>
      <c r="F18" s="101">
        <f t="shared" si="1"/>
        <v>2018</v>
      </c>
      <c r="G18" s="101">
        <f t="shared" si="2"/>
        <v>7</v>
      </c>
      <c r="H18" s="101">
        <f t="shared" si="3"/>
        <v>27.735416666670062</v>
      </c>
      <c r="I18" s="103">
        <f>VLOOKUP($A18,IF(C18=1,'30.07.18'!$A$17:$N$36,IF(C18=2,'02.08.18'!$A$17:$N$36,IF(C18=3,'06.08.18'!$A$17:$N$36,IF(C18=4,'09.08.18'!$A$17:$N$36,IF(C18=5,'13.08.18'!$A$17:$N$36,IF(C18=6,'20.08.18'!$A$17:$N$36,IF(C18=7,'24.08.18'!$A$38:$N$40,IF(C18=8,'27.08.18'!$A$38:$N$40,'03.09.18'!$A$38:$N$40)))))))),2,FALSE)</f>
        <v>43311.714583333334</v>
      </c>
      <c r="J18" s="101">
        <f>YEAR(I18)</f>
        <v>2018</v>
      </c>
      <c r="K18" s="101">
        <f>MONTH(I18)</f>
        <v>7</v>
      </c>
      <c r="L18" s="101">
        <f>DAY(I18)+I18-ROUNDDOWN(I18,0)</f>
        <v>30.714583333334303</v>
      </c>
      <c r="M18" s="101" t="s">
        <v>164</v>
      </c>
      <c r="N18" s="102">
        <f t="shared" si="4"/>
        <v>2.9791666666642413</v>
      </c>
      <c r="O18" s="101">
        <f>IFERROR(VLOOKUP($A18,IF(C18=1,'30.07.18'!$A$17:$N$36,IF(C18=2,'02.08.18'!$A$17:$N$36,IF(C18=3,'06.08.18'!$A$17:$N$36,IF(C18=4,'09.08.18'!$A$17:$N$36,IF(C18=5,'13.08.18'!$A$17:$N$36,IF(C18=6,'20.08.18'!$A$17:$N$36,IF(C18=7,'24.08.18'!$A$38:$N$40,IF(C18=8,'27.08.18'!$A$38:$N$40,'03.09.18'!$A$38:$N$40)))))))),14,FALSE),"")</f>
        <v>2.6997161794201214</v>
      </c>
      <c r="P18" s="102">
        <f t="shared" si="5"/>
        <v>2.9791666666642413</v>
      </c>
    </row>
    <row r="19" spans="1:16">
      <c r="A19" s="101" t="s">
        <v>27</v>
      </c>
      <c r="B19" s="101" t="str">
        <f t="shared" si="0"/>
        <v>TVA 2B C</v>
      </c>
      <c r="C19" s="101">
        <f>C18</f>
        <v>1</v>
      </c>
      <c r="D19" s="101" t="str">
        <f>IF(AND(C19&lt;&gt;C18,I19=I18),"fix meas date","")</f>
        <v/>
      </c>
      <c r="E19" s="101">
        <f>VLOOKUP($A19,'30.07.18'!$A$17:$I$36,9,FALSE)</f>
        <v>43308.73541666667</v>
      </c>
      <c r="F19" s="101">
        <f t="shared" si="1"/>
        <v>2018</v>
      </c>
      <c r="G19" s="101">
        <f t="shared" si="2"/>
        <v>7</v>
      </c>
      <c r="H19" s="101">
        <f t="shared" si="3"/>
        <v>27.735416666670062</v>
      </c>
      <c r="I19" s="103">
        <f>VLOOKUP($A19,IF(C19=1,'30.07.18'!$A$17:$N$36,IF(C19=2,'02.08.18'!$A$17:$N$36,IF(C19=3,'06.08.18'!$A$17:$N$36,IF(C19=4,'09.08.18'!$A$17:$N$36,IF(C19=5,'13.08.18'!$A$17:$N$36,IF(C19=6,'20.08.18'!$A$17:$N$36,IF(C19=7,'24.08.18'!$A$38:$N$40,IF(C19=8,'27.08.18'!$A$38:$N$40,'03.09.18'!$A$38:$N$40)))))))),2,FALSE)</f>
        <v>43311.715277777781</v>
      </c>
      <c r="J19" s="101">
        <f>YEAR(I19)</f>
        <v>2018</v>
      </c>
      <c r="K19" s="101">
        <f>MONTH(I19)</f>
        <v>7</v>
      </c>
      <c r="L19" s="101">
        <f>DAY(I19)+I19-ROUNDDOWN(I19,0)</f>
        <v>30.715277777781012</v>
      </c>
      <c r="M19" s="101" t="s">
        <v>164</v>
      </c>
      <c r="N19" s="102">
        <f t="shared" si="4"/>
        <v>2.9798611111109494</v>
      </c>
      <c r="O19" s="101">
        <f>IFERROR(VLOOKUP($A19,IF(C19=1,'30.07.18'!$A$17:$N$36,IF(C19=2,'02.08.18'!$A$17:$N$36,IF(C19=3,'06.08.18'!$A$17:$N$36,IF(C19=4,'09.08.18'!$A$17:$N$36,IF(C19=5,'13.08.18'!$A$17:$N$36,IF(C19=6,'20.08.18'!$A$17:$N$36,IF(C19=7,'24.08.18'!$A$38:$N$40,IF(C19=8,'27.08.18'!$A$38:$N$40,'03.09.18'!$A$38:$N$40)))))))),14,FALSE),"")</f>
        <v>3.2400419652653505</v>
      </c>
      <c r="P19" s="102">
        <f t="shared" si="5"/>
        <v>2.9798611111109494</v>
      </c>
    </row>
    <row r="20" spans="1:16">
      <c r="A20" s="101" t="s">
        <v>28</v>
      </c>
      <c r="B20" s="101" t="str">
        <f t="shared" si="0"/>
        <v>TVA 3B C</v>
      </c>
      <c r="C20" s="101">
        <f>C19</f>
        <v>1</v>
      </c>
      <c r="D20" s="101" t="str">
        <f>IF(AND(C20&lt;&gt;C19,I20=I19),"fix meas date","")</f>
        <v/>
      </c>
      <c r="E20" s="101">
        <f>VLOOKUP($A20,'30.07.18'!$A$17:$I$36,9,FALSE)</f>
        <v>43308.73541666667</v>
      </c>
      <c r="F20" s="101">
        <f t="shared" si="1"/>
        <v>2018</v>
      </c>
      <c r="G20" s="101">
        <f t="shared" si="2"/>
        <v>7</v>
      </c>
      <c r="H20" s="101">
        <f t="shared" si="3"/>
        <v>27.735416666670062</v>
      </c>
      <c r="I20" s="103">
        <f>VLOOKUP($A20,IF(C20=1,'30.07.18'!$A$17:$N$36,IF(C20=2,'02.08.18'!$A$17:$N$36,IF(C20=3,'06.08.18'!$A$17:$N$36,IF(C20=4,'09.08.18'!$A$17:$N$36,IF(C20=5,'13.08.18'!$A$17:$N$36,IF(C20=6,'20.08.18'!$A$17:$N$36,IF(C20=7,'24.08.18'!$A$38:$N$40,IF(C20=8,'27.08.18'!$A$38:$N$40,'03.09.18'!$A$38:$N$40)))))))),2,FALSE)</f>
        <v>43311.716666666667</v>
      </c>
      <c r="J20" s="101">
        <f>YEAR(I20)</f>
        <v>2018</v>
      </c>
      <c r="K20" s="101">
        <f>MONTH(I20)</f>
        <v>7</v>
      </c>
      <c r="L20" s="101">
        <f>DAY(I20)+I20-ROUNDDOWN(I20,0)</f>
        <v>30.716666666667152</v>
      </c>
      <c r="M20" s="101" t="s">
        <v>164</v>
      </c>
      <c r="N20" s="102">
        <f t="shared" si="4"/>
        <v>2.9812499999970896</v>
      </c>
      <c r="O20" s="101">
        <f>IFERROR(VLOOKUP($A20,IF(C20=1,'30.07.18'!$A$17:$N$36,IF(C20=2,'02.08.18'!$A$17:$N$36,IF(C20=3,'06.08.18'!$A$17:$N$36,IF(C20=4,'09.08.18'!$A$17:$N$36,IF(C20=5,'13.08.18'!$A$17:$N$36,IF(C20=6,'20.08.18'!$A$17:$N$36,IF(C20=7,'24.08.18'!$A$38:$N$40,IF(C20=8,'27.08.18'!$A$38:$N$40,'03.09.18'!$A$38:$N$40)))))))),14,FALSE),"")</f>
        <v>2.5938204227771351</v>
      </c>
      <c r="P20" s="102">
        <f t="shared" si="5"/>
        <v>2.9812499999970896</v>
      </c>
    </row>
    <row r="21" spans="1:16">
      <c r="A21" s="101" t="s">
        <v>29</v>
      </c>
      <c r="B21" s="101" t="str">
        <f t="shared" si="0"/>
        <v>TVA 5B C</v>
      </c>
      <c r="C21" s="101">
        <f>C20</f>
        <v>1</v>
      </c>
      <c r="D21" s="101" t="str">
        <f>IF(AND(C21&lt;&gt;C20,I21=I20),"fix meas date","")</f>
        <v/>
      </c>
      <c r="E21" s="101">
        <f>VLOOKUP($A21,'30.07.18'!$A$17:$I$36,9,FALSE)</f>
        <v>43308.73541666667</v>
      </c>
      <c r="F21" s="101">
        <f t="shared" si="1"/>
        <v>2018</v>
      </c>
      <c r="G21" s="101">
        <f t="shared" si="2"/>
        <v>7</v>
      </c>
      <c r="H21" s="101">
        <f t="shared" si="3"/>
        <v>27.735416666670062</v>
      </c>
      <c r="I21" s="103">
        <f>VLOOKUP($A21,IF(C21=1,'30.07.18'!$A$17:$N$36,IF(C21=2,'02.08.18'!$A$17:$N$36,IF(C21=3,'06.08.18'!$A$17:$N$36,IF(C21=4,'09.08.18'!$A$17:$N$36,IF(C21=5,'13.08.18'!$A$17:$N$36,IF(C21=6,'20.08.18'!$A$17:$N$36,IF(C21=7,'24.08.18'!$A$38:$N$40,IF(C21=8,'27.08.18'!$A$38:$N$40,'03.09.18'!$A$38:$N$40)))))))),2,FALSE)</f>
        <v>43311.718055555553</v>
      </c>
      <c r="J21" s="101">
        <f>YEAR(I21)</f>
        <v>2018</v>
      </c>
      <c r="K21" s="101">
        <f>MONTH(I21)</f>
        <v>7</v>
      </c>
      <c r="L21" s="101">
        <f>DAY(I21)+I21-ROUNDDOWN(I21,0)</f>
        <v>30.718055555553292</v>
      </c>
      <c r="M21" s="101" t="s">
        <v>164</v>
      </c>
      <c r="N21" s="102">
        <f t="shared" si="4"/>
        <v>2.9826388888832298</v>
      </c>
      <c r="O21" s="101">
        <f>IFERROR(VLOOKUP($A21,IF(C21=1,'30.07.18'!$A$17:$N$36,IF(C21=2,'02.08.18'!$A$17:$N$36,IF(C21=3,'06.08.18'!$A$17:$N$36,IF(C21=4,'09.08.18'!$A$17:$N$36,IF(C21=5,'13.08.18'!$A$17:$N$36,IF(C21=6,'20.08.18'!$A$17:$N$36,IF(C21=7,'24.08.18'!$A$38:$N$40,IF(C21=8,'27.08.18'!$A$38:$N$40,'03.09.18'!$A$38:$N$40)))))))),14,FALSE),"")</f>
        <v>7.9186601072365264</v>
      </c>
      <c r="P21" s="102">
        <f t="shared" si="5"/>
        <v>2.9826388888832298</v>
      </c>
    </row>
    <row r="22" spans="1:16">
      <c r="A22" s="101" t="s">
        <v>9</v>
      </c>
      <c r="B22" s="101" t="str">
        <f t="shared" si="0"/>
        <v>MA</v>
      </c>
      <c r="C22" s="101">
        <v>2</v>
      </c>
      <c r="D22" s="101" t="str">
        <f t="shared" ref="D22:D85" si="6">IF(AND(C22&lt;&gt;C21,I22=I21),"fix meas date","")</f>
        <v/>
      </c>
      <c r="E22" s="101">
        <f>VLOOKUP($A22,'30.07.18'!$A$17:$I$36,9,FALSE)</f>
        <v>43308.701388888891</v>
      </c>
      <c r="F22" s="101">
        <f t="shared" si="1"/>
        <v>2018</v>
      </c>
      <c r="G22" s="101">
        <f t="shared" ref="G22:G85" si="7">MONTH(E22)</f>
        <v>7</v>
      </c>
      <c r="H22" s="101">
        <f t="shared" ref="H22:H85" si="8">DAY(E22)+E22-ROUNDDOWN(E22,0)</f>
        <v>27.701388888890506</v>
      </c>
      <c r="I22" s="103">
        <f>VLOOKUP($A22,IF(C22=1,'30.07.18'!$A$17:$N$36,IF(C22=2,'02.08.18'!$A$17:$N$36,IF(C22=3,'06.08.18'!$A$17:$N$36,IF(C22=4,'09.08.18'!$A$17:$N$36,IF(C22=5,'13.08.18'!$A$17:$N$36,IF(C22=6,'20.08.18'!$A$17:$N$36,IF(C22=7,'24.08.18'!$A$38:$N$40,IF(C22=8,'27.08.18'!$A$38:$N$40,'03.09.18'!$A$38:$N$40)))))))),2,FALSE)</f>
        <v>43314.427083333336</v>
      </c>
      <c r="J22" s="101">
        <f t="shared" ref="J22:J85" si="9">YEAR(I22)</f>
        <v>2018</v>
      </c>
      <c r="K22" s="101">
        <f t="shared" ref="K22:K85" si="10">MONTH(I22)</f>
        <v>8</v>
      </c>
      <c r="L22" s="101">
        <f t="shared" ref="L22:L85" si="11">DAY(I22)+I22-ROUNDDOWN(I22,0)</f>
        <v>2.4270833333357587</v>
      </c>
      <c r="M22" s="101" t="s">
        <v>164</v>
      </c>
      <c r="N22" s="102">
        <f t="shared" si="4"/>
        <v>5.7256944444452529</v>
      </c>
      <c r="O22" s="101">
        <f>IFERROR(VLOOKUP($A22,IF(C22=1,'30.07.18'!$A$17:$N$36,IF(C22=2,'02.08.18'!$A$17:$N$36,IF(C22=3,'06.08.18'!$A$17:$N$36,IF(C22=4,'09.08.18'!$A$17:$N$36,IF(C22=5,'13.08.18'!$A$17:$N$36,IF(C22=6,'20.08.18'!$A$17:$N$36,IF(C22=7,'24.08.18'!$A$38:$N$40,IF(C22=8,'27.08.18'!$A$38:$N$40,'03.09.18'!$A$38:$N$40)))))))),14,FALSE),"")</f>
        <v>24.748291454872628</v>
      </c>
      <c r="P22" s="102">
        <f t="shared" si="5"/>
        <v>5.7256944444452529</v>
      </c>
    </row>
    <row r="23" spans="1:16">
      <c r="A23" s="101" t="s">
        <v>11</v>
      </c>
      <c r="B23" s="101" t="str">
        <f t="shared" si="0"/>
        <v>MA</v>
      </c>
      <c r="C23" s="101">
        <f t="shared" ref="C23:C54" si="12">C22</f>
        <v>2</v>
      </c>
      <c r="D23" s="101" t="str">
        <f t="shared" si="6"/>
        <v/>
      </c>
      <c r="E23" s="101">
        <f>VLOOKUP($A23,'30.07.18'!$A$17:$I$36,9,FALSE)</f>
        <v>43308.701388888891</v>
      </c>
      <c r="F23" s="101">
        <f t="shared" si="1"/>
        <v>2018</v>
      </c>
      <c r="G23" s="101">
        <f t="shared" si="7"/>
        <v>7</v>
      </c>
      <c r="H23" s="101">
        <f t="shared" si="8"/>
        <v>27.701388888890506</v>
      </c>
      <c r="I23" s="103">
        <f>VLOOKUP($A23,IF(C23=1,'30.07.18'!$A$17:$N$36,IF(C23=2,'02.08.18'!$A$17:$N$36,IF(C23=3,'06.08.18'!$A$17:$N$36,IF(C23=4,'09.08.18'!$A$17:$N$36,IF(C23=5,'13.08.18'!$A$17:$N$36,IF(C23=6,'20.08.18'!$A$17:$N$36,IF(C23=7,'24.08.18'!$A$38:$N$40,IF(C23=8,'27.08.18'!$A$38:$N$40,'03.09.18'!$A$38:$N$40)))))))),2,FALSE)</f>
        <v>43311.692361111112</v>
      </c>
      <c r="J23" s="101">
        <f t="shared" si="9"/>
        <v>2018</v>
      </c>
      <c r="K23" s="101">
        <f t="shared" si="10"/>
        <v>7</v>
      </c>
      <c r="L23" s="101">
        <f t="shared" si="11"/>
        <v>30.692361111112405</v>
      </c>
      <c r="M23" s="101" t="s">
        <v>164</v>
      </c>
      <c r="N23" s="102">
        <f t="shared" si="4"/>
        <v>2.9909722222218988</v>
      </c>
      <c r="O23" s="101">
        <f>IFERROR(VLOOKUP($A23,IF(C23=1,'30.07.18'!$A$17:$N$36,IF(C23=2,'02.08.18'!$A$17:$N$36,IF(C23=3,'06.08.18'!$A$17:$N$36,IF(C23=4,'09.08.18'!$A$17:$N$36,IF(C23=5,'13.08.18'!$A$17:$N$36,IF(C23=6,'20.08.18'!$A$17:$N$36,IF(C23=7,'24.08.18'!$A$38:$N$40,IF(C23=8,'27.08.18'!$A$38:$N$40,'03.09.18'!$A$38:$N$40)))))))),14,FALSE),"")</f>
        <v>24.634642784209703</v>
      </c>
      <c r="P23" s="102">
        <f t="shared" si="5"/>
        <v>2.9909722222218988</v>
      </c>
    </row>
    <row r="24" spans="1:16">
      <c r="A24" s="101" t="s">
        <v>12</v>
      </c>
      <c r="B24" s="101" t="str">
        <f t="shared" si="0"/>
        <v>MA</v>
      </c>
      <c r="C24" s="101">
        <f t="shared" si="12"/>
        <v>2</v>
      </c>
      <c r="D24" s="101" t="str">
        <f t="shared" si="6"/>
        <v/>
      </c>
      <c r="E24" s="101">
        <f>VLOOKUP($A24,'30.07.18'!$A$17:$I$36,9,FALSE)</f>
        <v>43308.701388888891</v>
      </c>
      <c r="F24" s="101">
        <f t="shared" si="1"/>
        <v>2018</v>
      </c>
      <c r="G24" s="101">
        <f t="shared" si="7"/>
        <v>7</v>
      </c>
      <c r="H24" s="101">
        <f t="shared" si="8"/>
        <v>27.701388888890506</v>
      </c>
      <c r="I24" s="103">
        <f>VLOOKUP($A24,IF(C24=1,'30.07.18'!$A$17:$N$36,IF(C24=2,'02.08.18'!$A$17:$N$36,IF(C24=3,'06.08.18'!$A$17:$N$36,IF(C24=4,'09.08.18'!$A$17:$N$36,IF(C24=5,'13.08.18'!$A$17:$N$36,IF(C24=6,'20.08.18'!$A$17:$N$36,IF(C24=7,'24.08.18'!$A$38:$N$40,IF(C24=8,'27.08.18'!$A$38:$N$40,'03.09.18'!$A$38:$N$40)))))))),2,FALSE)</f>
        <v>43311.693055555559</v>
      </c>
      <c r="J24" s="101">
        <f t="shared" si="9"/>
        <v>2018</v>
      </c>
      <c r="K24" s="101">
        <f t="shared" si="10"/>
        <v>7</v>
      </c>
      <c r="L24" s="101">
        <f t="shared" si="11"/>
        <v>30.693055555559113</v>
      </c>
      <c r="M24" s="101" t="s">
        <v>164</v>
      </c>
      <c r="N24" s="102">
        <f t="shared" si="4"/>
        <v>2.9916666666686069</v>
      </c>
      <c r="O24" s="101">
        <f>IFERROR(VLOOKUP($A24,IF(C24=1,'30.07.18'!$A$17:$N$36,IF(C24=2,'02.08.18'!$A$17:$N$36,IF(C24=3,'06.08.18'!$A$17:$N$36,IF(C24=4,'09.08.18'!$A$17:$N$36,IF(C24=5,'13.08.18'!$A$17:$N$36,IF(C24=6,'20.08.18'!$A$17:$N$36,IF(C24=7,'24.08.18'!$A$38:$N$40,IF(C24=8,'27.08.18'!$A$38:$N$40,'03.09.18'!$A$38:$N$40)))))))),14,FALSE),"")</f>
        <v>26.463259137447459</v>
      </c>
      <c r="P24" s="102">
        <f t="shared" si="5"/>
        <v>2.9916666666686069</v>
      </c>
    </row>
    <row r="25" spans="1:16">
      <c r="A25" s="101" t="s">
        <v>13</v>
      </c>
      <c r="B25" s="101" t="str">
        <f t="shared" si="0"/>
        <v>MB</v>
      </c>
      <c r="C25" s="101">
        <f t="shared" si="12"/>
        <v>2</v>
      </c>
      <c r="D25" s="101" t="str">
        <f t="shared" si="6"/>
        <v/>
      </c>
      <c r="E25" s="101">
        <f>VLOOKUP($A25,'30.07.18'!$A$17:$I$36,9,FALSE)</f>
        <v>43308.701388888891</v>
      </c>
      <c r="F25" s="101">
        <f t="shared" si="1"/>
        <v>2018</v>
      </c>
      <c r="G25" s="101">
        <f t="shared" si="7"/>
        <v>7</v>
      </c>
      <c r="H25" s="101">
        <f t="shared" si="8"/>
        <v>27.701388888890506</v>
      </c>
      <c r="I25" s="103">
        <f>VLOOKUP($A25,IF(C25=1,'30.07.18'!$A$17:$N$36,IF(C25=2,'02.08.18'!$A$17:$N$36,IF(C25=3,'06.08.18'!$A$17:$N$36,IF(C25=4,'09.08.18'!$A$17:$N$36,IF(C25=5,'13.08.18'!$A$17:$N$36,IF(C25=6,'20.08.18'!$A$17:$N$36,IF(C25=7,'24.08.18'!$A$38:$N$40,IF(C25=8,'27.08.18'!$A$38:$N$40,'03.09.18'!$A$38:$N$40)))))))),2,FALSE)</f>
        <v>43311.694444444445</v>
      </c>
      <c r="J25" s="101">
        <f t="shared" si="9"/>
        <v>2018</v>
      </c>
      <c r="K25" s="101">
        <f t="shared" si="10"/>
        <v>7</v>
      </c>
      <c r="L25" s="101">
        <f t="shared" si="11"/>
        <v>30.694444444445253</v>
      </c>
      <c r="M25" s="101" t="s">
        <v>164</v>
      </c>
      <c r="N25" s="102">
        <f t="shared" si="4"/>
        <v>2.9930555555547471</v>
      </c>
      <c r="O25" s="101">
        <f>IFERROR(VLOOKUP($A25,IF(C25=1,'30.07.18'!$A$17:$N$36,IF(C25=2,'02.08.18'!$A$17:$N$36,IF(C25=3,'06.08.18'!$A$17:$N$36,IF(C25=4,'09.08.18'!$A$17:$N$36,IF(C25=5,'13.08.18'!$A$17:$N$36,IF(C25=6,'20.08.18'!$A$17:$N$36,IF(C25=7,'24.08.18'!$A$38:$N$40,IF(C25=8,'27.08.18'!$A$38:$N$40,'03.09.18'!$A$38:$N$40)))))))),14,FALSE),"")</f>
        <v>3.3230501624423185</v>
      </c>
      <c r="P25" s="102">
        <f t="shared" si="5"/>
        <v>2.9930555555547471</v>
      </c>
    </row>
    <row r="26" spans="1:16">
      <c r="A26" s="101" t="s">
        <v>14</v>
      </c>
      <c r="B26" s="101" t="str">
        <f t="shared" si="0"/>
        <v>MB</v>
      </c>
      <c r="C26" s="101">
        <f t="shared" si="12"/>
        <v>2</v>
      </c>
      <c r="D26" s="101" t="str">
        <f t="shared" si="6"/>
        <v/>
      </c>
      <c r="E26" s="101">
        <f>VLOOKUP($A26,'30.07.18'!$A$17:$I$36,9,FALSE)</f>
        <v>43308.701388888891</v>
      </c>
      <c r="F26" s="101">
        <f t="shared" si="1"/>
        <v>2018</v>
      </c>
      <c r="G26" s="101">
        <f t="shared" si="7"/>
        <v>7</v>
      </c>
      <c r="H26" s="101">
        <f t="shared" si="8"/>
        <v>27.701388888890506</v>
      </c>
      <c r="I26" s="103">
        <f>VLOOKUP($A26,IF(C26=1,'30.07.18'!$A$17:$N$36,IF(C26=2,'02.08.18'!$A$17:$N$36,IF(C26=3,'06.08.18'!$A$17:$N$36,IF(C26=4,'09.08.18'!$A$17:$N$36,IF(C26=5,'13.08.18'!$A$17:$N$36,IF(C26=6,'20.08.18'!$A$17:$N$36,IF(C26=7,'24.08.18'!$A$38:$N$40,IF(C26=8,'27.08.18'!$A$38:$N$40,'03.09.18'!$A$38:$N$40)))))))),2,FALSE)</f>
        <v>43311.695833333331</v>
      </c>
      <c r="J26" s="101">
        <f t="shared" si="9"/>
        <v>2018</v>
      </c>
      <c r="K26" s="101">
        <f t="shared" si="10"/>
        <v>7</v>
      </c>
      <c r="L26" s="101">
        <f t="shared" si="11"/>
        <v>30.695833333331393</v>
      </c>
      <c r="M26" s="101" t="s">
        <v>164</v>
      </c>
      <c r="N26" s="102">
        <f t="shared" si="4"/>
        <v>2.9944444444408873</v>
      </c>
      <c r="O26" s="101">
        <f>IFERROR(VLOOKUP($A26,IF(C26=1,'30.07.18'!$A$17:$N$36,IF(C26=2,'02.08.18'!$A$17:$N$36,IF(C26=3,'06.08.18'!$A$17:$N$36,IF(C26=4,'09.08.18'!$A$17:$N$36,IF(C26=5,'13.08.18'!$A$17:$N$36,IF(C26=6,'20.08.18'!$A$17:$N$36,IF(C26=7,'24.08.18'!$A$38:$N$40,IF(C26=8,'27.08.18'!$A$38:$N$40,'03.09.18'!$A$38:$N$40)))))))),14,FALSE),"")</f>
        <v>3.1079675466061385</v>
      </c>
      <c r="P26" s="102">
        <f t="shared" si="5"/>
        <v>2.9944444444408873</v>
      </c>
    </row>
    <row r="27" spans="1:16">
      <c r="A27" s="101" t="s">
        <v>15</v>
      </c>
      <c r="B27" s="101" t="str">
        <f t="shared" si="0"/>
        <v>MB</v>
      </c>
      <c r="C27" s="101">
        <f t="shared" si="12"/>
        <v>2</v>
      </c>
      <c r="D27" s="101" t="str">
        <f t="shared" si="6"/>
        <v/>
      </c>
      <c r="E27" s="101">
        <f>VLOOKUP($A27,'30.07.18'!$A$17:$I$36,9,FALSE)</f>
        <v>43308.701388888891</v>
      </c>
      <c r="F27" s="101">
        <f t="shared" si="1"/>
        <v>2018</v>
      </c>
      <c r="G27" s="101">
        <f t="shared" si="7"/>
        <v>7</v>
      </c>
      <c r="H27" s="101">
        <f t="shared" si="8"/>
        <v>27.701388888890506</v>
      </c>
      <c r="I27" s="103">
        <f>VLOOKUP($A27,IF(C27=1,'30.07.18'!$A$17:$N$36,IF(C27=2,'02.08.18'!$A$17:$N$36,IF(C27=3,'06.08.18'!$A$17:$N$36,IF(C27=4,'09.08.18'!$A$17:$N$36,IF(C27=5,'13.08.18'!$A$17:$N$36,IF(C27=6,'20.08.18'!$A$17:$N$36,IF(C27=7,'24.08.18'!$A$38:$N$40,IF(C27=8,'27.08.18'!$A$38:$N$40,'03.09.18'!$A$38:$N$40)))))))),2,FALSE)</f>
        <v>43311.695833333331</v>
      </c>
      <c r="J27" s="101">
        <f t="shared" si="9"/>
        <v>2018</v>
      </c>
      <c r="K27" s="101">
        <f t="shared" si="10"/>
        <v>7</v>
      </c>
      <c r="L27" s="101">
        <f t="shared" si="11"/>
        <v>30.695833333331393</v>
      </c>
      <c r="M27" s="101" t="s">
        <v>164</v>
      </c>
      <c r="N27" s="102">
        <f t="shared" si="4"/>
        <v>2.9944444444408873</v>
      </c>
      <c r="O27" s="101">
        <f>IFERROR(VLOOKUP($A27,IF(C27=1,'30.07.18'!$A$17:$N$36,IF(C27=2,'02.08.18'!$A$17:$N$36,IF(C27=3,'06.08.18'!$A$17:$N$36,IF(C27=4,'09.08.18'!$A$17:$N$36,IF(C27=5,'13.08.18'!$A$17:$N$36,IF(C27=6,'20.08.18'!$A$17:$N$36,IF(C27=7,'24.08.18'!$A$38:$N$40,IF(C27=8,'27.08.18'!$A$38:$N$40,'03.09.18'!$A$38:$N$40)))))))),14,FALSE),"")</f>
        <v>3.2695218256554339</v>
      </c>
      <c r="P27" s="102">
        <f t="shared" si="5"/>
        <v>2.9944444444408873</v>
      </c>
    </row>
    <row r="28" spans="1:16">
      <c r="A28" s="101" t="s">
        <v>16</v>
      </c>
      <c r="B28" s="101" t="str">
        <f t="shared" si="0"/>
        <v>SA</v>
      </c>
      <c r="C28" s="101">
        <f t="shared" si="12"/>
        <v>2</v>
      </c>
      <c r="D28" s="101" t="str">
        <f t="shared" si="6"/>
        <v/>
      </c>
      <c r="E28" s="101">
        <f>VLOOKUP($A28,'30.07.18'!$A$17:$I$36,9,FALSE)</f>
        <v>43308.723611111112</v>
      </c>
      <c r="F28" s="101">
        <f t="shared" si="1"/>
        <v>2018</v>
      </c>
      <c r="G28" s="101">
        <f t="shared" si="7"/>
        <v>7</v>
      </c>
      <c r="H28" s="101">
        <f t="shared" si="8"/>
        <v>27.723611111112405</v>
      </c>
      <c r="I28" s="103">
        <f>VLOOKUP($A28,IF(C28=1,'30.07.18'!$A$17:$N$36,IF(C28=2,'02.08.18'!$A$17:$N$36,IF(C28=3,'06.08.18'!$A$17:$N$36,IF(C28=4,'09.08.18'!$A$17:$N$36,IF(C28=5,'13.08.18'!$A$17:$N$36,IF(C28=6,'20.08.18'!$A$17:$N$36,IF(C28=7,'24.08.18'!$A$38:$N$40,IF(C28=8,'27.08.18'!$A$38:$N$40,'03.09.18'!$A$38:$N$40)))))))),2,FALSE)</f>
        <v>43311.697916666664</v>
      </c>
      <c r="J28" s="101">
        <f t="shared" si="9"/>
        <v>2018</v>
      </c>
      <c r="K28" s="101">
        <f t="shared" si="10"/>
        <v>7</v>
      </c>
      <c r="L28" s="101">
        <f t="shared" si="11"/>
        <v>30.697916666664241</v>
      </c>
      <c r="M28" s="101" t="s">
        <v>164</v>
      </c>
      <c r="N28" s="102">
        <f t="shared" si="4"/>
        <v>2.9743055555518367</v>
      </c>
      <c r="O28" s="101">
        <f>IFERROR(VLOOKUP($A28,IF(C28=1,'30.07.18'!$A$17:$N$36,IF(C28=2,'02.08.18'!$A$17:$N$36,IF(C28=3,'06.08.18'!$A$17:$N$36,IF(C28=4,'09.08.18'!$A$17:$N$36,IF(C28=5,'13.08.18'!$A$17:$N$36,IF(C28=6,'20.08.18'!$A$17:$N$36,IF(C28=7,'24.08.18'!$A$38:$N$40,IF(C28=8,'27.08.18'!$A$38:$N$40,'03.09.18'!$A$38:$N$40)))))))),14,FALSE),"")</f>
        <v>39.847360414977665</v>
      </c>
      <c r="P28" s="102">
        <f t="shared" si="5"/>
        <v>2.9743055555518367</v>
      </c>
    </row>
    <row r="29" spans="1:16">
      <c r="A29" s="101" t="s">
        <v>17</v>
      </c>
      <c r="B29" s="101" t="str">
        <f t="shared" si="0"/>
        <v>SA</v>
      </c>
      <c r="C29" s="101">
        <f t="shared" si="12"/>
        <v>2</v>
      </c>
      <c r="D29" s="101" t="str">
        <f t="shared" si="6"/>
        <v/>
      </c>
      <c r="E29" s="101">
        <f>VLOOKUP($A29,'30.07.18'!$A$17:$I$36,9,FALSE)</f>
        <v>43308.723611111112</v>
      </c>
      <c r="F29" s="101">
        <f t="shared" si="1"/>
        <v>2018</v>
      </c>
      <c r="G29" s="101">
        <f t="shared" si="7"/>
        <v>7</v>
      </c>
      <c r="H29" s="101">
        <f t="shared" si="8"/>
        <v>27.723611111112405</v>
      </c>
      <c r="I29" s="103">
        <f>VLOOKUP($A29,IF(C29=1,'30.07.18'!$A$17:$N$36,IF(C29=2,'02.08.18'!$A$17:$N$36,IF(C29=3,'06.08.18'!$A$17:$N$36,IF(C29=4,'09.08.18'!$A$17:$N$36,IF(C29=5,'13.08.18'!$A$17:$N$36,IF(C29=6,'20.08.18'!$A$17:$N$36,IF(C29=7,'24.08.18'!$A$38:$N$40,IF(C29=8,'27.08.18'!$A$38:$N$40,'03.09.18'!$A$38:$N$40)))))))),2,FALSE)</f>
        <v>43311.699305555558</v>
      </c>
      <c r="J29" s="101">
        <f t="shared" si="9"/>
        <v>2018</v>
      </c>
      <c r="K29" s="101">
        <f t="shared" si="10"/>
        <v>7</v>
      </c>
      <c r="L29" s="101">
        <f t="shared" si="11"/>
        <v>30.699305555557657</v>
      </c>
      <c r="M29" s="101" t="s">
        <v>164</v>
      </c>
      <c r="N29" s="102">
        <f t="shared" si="4"/>
        <v>2.9756944444452529</v>
      </c>
      <c r="O29" s="101">
        <f>IFERROR(VLOOKUP($A29,IF(C29=1,'30.07.18'!$A$17:$N$36,IF(C29=2,'02.08.18'!$A$17:$N$36,IF(C29=3,'06.08.18'!$A$17:$N$36,IF(C29=4,'09.08.18'!$A$17:$N$36,IF(C29=5,'13.08.18'!$A$17:$N$36,IF(C29=6,'20.08.18'!$A$17:$N$36,IF(C29=7,'24.08.18'!$A$38:$N$40,IF(C29=8,'27.08.18'!$A$38:$N$40,'03.09.18'!$A$38:$N$40)))))))),14,FALSE),"")</f>
        <v>42.621716069375481</v>
      </c>
      <c r="P29" s="102">
        <f t="shared" si="5"/>
        <v>2.9756944444452529</v>
      </c>
    </row>
    <row r="30" spans="1:16">
      <c r="A30" s="101" t="s">
        <v>18</v>
      </c>
      <c r="B30" s="101" t="str">
        <f t="shared" si="0"/>
        <v>SA</v>
      </c>
      <c r="C30" s="101">
        <f t="shared" si="12"/>
        <v>2</v>
      </c>
      <c r="D30" s="101" t="str">
        <f t="shared" si="6"/>
        <v/>
      </c>
      <c r="E30" s="101">
        <f>VLOOKUP($A30,'30.07.18'!$A$17:$I$36,9,FALSE)</f>
        <v>43308.723611111112</v>
      </c>
      <c r="F30" s="101">
        <f t="shared" si="1"/>
        <v>2018</v>
      </c>
      <c r="G30" s="101">
        <f t="shared" si="7"/>
        <v>7</v>
      </c>
      <c r="H30" s="101">
        <f t="shared" si="8"/>
        <v>27.723611111112405</v>
      </c>
      <c r="I30" s="103">
        <f>VLOOKUP($A30,IF(C30=1,'30.07.18'!$A$17:$N$36,IF(C30=2,'02.08.18'!$A$17:$N$36,IF(C30=3,'06.08.18'!$A$17:$N$36,IF(C30=4,'09.08.18'!$A$17:$N$36,IF(C30=5,'13.08.18'!$A$17:$N$36,IF(C30=6,'20.08.18'!$A$17:$N$36,IF(C30=7,'24.08.18'!$A$38:$N$40,IF(C30=8,'27.08.18'!$A$38:$N$40,'03.09.18'!$A$38:$N$40)))))))),2,FALSE)</f>
        <v>43311.7</v>
      </c>
      <c r="J30" s="101">
        <f t="shared" si="9"/>
        <v>2018</v>
      </c>
      <c r="K30" s="101">
        <f t="shared" si="10"/>
        <v>7</v>
      </c>
      <c r="L30" s="101">
        <f t="shared" si="11"/>
        <v>30.69999999999709</v>
      </c>
      <c r="M30" s="101" t="s">
        <v>164</v>
      </c>
      <c r="N30" s="102">
        <f t="shared" si="4"/>
        <v>2.976388888884685</v>
      </c>
      <c r="O30" s="101">
        <f>IFERROR(VLOOKUP($A30,IF(C30=1,'30.07.18'!$A$17:$N$36,IF(C30=2,'02.08.18'!$A$17:$N$36,IF(C30=3,'06.08.18'!$A$17:$N$36,IF(C30=4,'09.08.18'!$A$17:$N$36,IF(C30=5,'13.08.18'!$A$17:$N$36,IF(C30=6,'20.08.18'!$A$17:$N$36,IF(C30=7,'24.08.18'!$A$38:$N$40,IF(C30=8,'27.08.18'!$A$38:$N$40,'03.09.18'!$A$38:$N$40)))))))),14,FALSE),"")</f>
        <v>44.456587112211558</v>
      </c>
      <c r="P30" s="102">
        <f t="shared" si="5"/>
        <v>2.976388888884685</v>
      </c>
    </row>
    <row r="31" spans="1:16">
      <c r="A31" s="101" t="s">
        <v>19</v>
      </c>
      <c r="B31" s="101" t="str">
        <f t="shared" si="0"/>
        <v>SB</v>
      </c>
      <c r="C31" s="101">
        <f t="shared" si="12"/>
        <v>2</v>
      </c>
      <c r="D31" s="101" t="str">
        <f t="shared" si="6"/>
        <v/>
      </c>
      <c r="E31" s="101">
        <f>VLOOKUP($A31,'30.07.18'!$A$17:$I$36,9,FALSE)</f>
        <v>43308.723611111112</v>
      </c>
      <c r="F31" s="101">
        <f t="shared" si="1"/>
        <v>2018</v>
      </c>
      <c r="G31" s="101">
        <f t="shared" si="7"/>
        <v>7</v>
      </c>
      <c r="H31" s="101">
        <f t="shared" si="8"/>
        <v>27.723611111112405</v>
      </c>
      <c r="I31" s="103">
        <f>VLOOKUP($A31,IF(C31=1,'30.07.18'!$A$17:$N$36,IF(C31=2,'02.08.18'!$A$17:$N$36,IF(C31=3,'06.08.18'!$A$17:$N$36,IF(C31=4,'09.08.18'!$A$17:$N$36,IF(C31=5,'13.08.18'!$A$17:$N$36,IF(C31=6,'20.08.18'!$A$17:$N$36,IF(C31=7,'24.08.18'!$A$38:$N$40,IF(C31=8,'27.08.18'!$A$38:$N$40,'03.09.18'!$A$38:$N$40)))))))),2,FALSE)</f>
        <v>43311.701388888891</v>
      </c>
      <c r="J31" s="101">
        <f t="shared" si="9"/>
        <v>2018</v>
      </c>
      <c r="K31" s="101">
        <f t="shared" si="10"/>
        <v>7</v>
      </c>
      <c r="L31" s="101">
        <f t="shared" si="11"/>
        <v>30.701388888890506</v>
      </c>
      <c r="M31" s="101" t="s">
        <v>164</v>
      </c>
      <c r="N31" s="102">
        <f t="shared" si="4"/>
        <v>2.9777777777781012</v>
      </c>
      <c r="O31" s="101">
        <f>IFERROR(VLOOKUP($A31,IF(C31=1,'30.07.18'!$A$17:$N$36,IF(C31=2,'02.08.18'!$A$17:$N$36,IF(C31=3,'06.08.18'!$A$17:$N$36,IF(C31=4,'09.08.18'!$A$17:$N$36,IF(C31=5,'13.08.18'!$A$17:$N$36,IF(C31=6,'20.08.18'!$A$17:$N$36,IF(C31=7,'24.08.18'!$A$38:$N$40,IF(C31=8,'27.08.18'!$A$38:$N$40,'03.09.18'!$A$38:$N$40)))))))),14,FALSE),"")</f>
        <v>7.9497081554538278</v>
      </c>
      <c r="P31" s="102">
        <f t="shared" si="5"/>
        <v>2.9777777777781012</v>
      </c>
    </row>
    <row r="32" spans="1:16">
      <c r="A32" s="101" t="s">
        <v>20</v>
      </c>
      <c r="B32" s="101" t="str">
        <f t="shared" si="0"/>
        <v>SB</v>
      </c>
      <c r="C32" s="101">
        <f t="shared" si="12"/>
        <v>2</v>
      </c>
      <c r="D32" s="101" t="str">
        <f t="shared" si="6"/>
        <v/>
      </c>
      <c r="E32" s="101">
        <f>VLOOKUP($A32,'30.07.18'!$A$17:$I$36,9,FALSE)</f>
        <v>43308.723611111112</v>
      </c>
      <c r="F32" s="101">
        <f t="shared" si="1"/>
        <v>2018</v>
      </c>
      <c r="G32" s="101">
        <f t="shared" si="7"/>
        <v>7</v>
      </c>
      <c r="H32" s="101">
        <f t="shared" si="8"/>
        <v>27.723611111112405</v>
      </c>
      <c r="I32" s="103">
        <f>VLOOKUP($A32,IF(C32=1,'30.07.18'!$A$17:$N$36,IF(C32=2,'02.08.18'!$A$17:$N$36,IF(C32=3,'06.08.18'!$A$17:$N$36,IF(C32=4,'09.08.18'!$A$17:$N$36,IF(C32=5,'13.08.18'!$A$17:$N$36,IF(C32=6,'20.08.18'!$A$17:$N$36,IF(C32=7,'24.08.18'!$A$38:$N$40,IF(C32=8,'27.08.18'!$A$38:$N$40,'03.09.18'!$A$38:$N$40)))))))),2,FALSE)</f>
        <v>43311.70208333333</v>
      </c>
      <c r="J32" s="101">
        <f t="shared" si="9"/>
        <v>2018</v>
      </c>
      <c r="K32" s="101">
        <f t="shared" si="10"/>
        <v>7</v>
      </c>
      <c r="L32" s="101">
        <f t="shared" si="11"/>
        <v>30.702083333329938</v>
      </c>
      <c r="M32" s="101" t="s">
        <v>164</v>
      </c>
      <c r="N32" s="102">
        <f t="shared" si="4"/>
        <v>2.9784722222175333</v>
      </c>
      <c r="O32" s="101">
        <f>IFERROR(VLOOKUP($A32,IF(C32=1,'30.07.18'!$A$17:$N$36,IF(C32=2,'02.08.18'!$A$17:$N$36,IF(C32=3,'06.08.18'!$A$17:$N$36,IF(C32=4,'09.08.18'!$A$17:$N$36,IF(C32=5,'13.08.18'!$A$17:$N$36,IF(C32=6,'20.08.18'!$A$17:$N$36,IF(C32=7,'24.08.18'!$A$38:$N$40,IF(C32=8,'27.08.18'!$A$38:$N$40,'03.09.18'!$A$38:$N$40)))))))),14,FALSE),"")</f>
        <v>8.0194841938484522</v>
      </c>
      <c r="P32" s="102">
        <f t="shared" si="5"/>
        <v>2.9784722222175333</v>
      </c>
    </row>
    <row r="33" spans="1:16">
      <c r="A33" s="101" t="s">
        <v>21</v>
      </c>
      <c r="B33" s="101" t="str">
        <f t="shared" si="0"/>
        <v>SB</v>
      </c>
      <c r="C33" s="101">
        <f t="shared" si="12"/>
        <v>2</v>
      </c>
      <c r="D33" s="101" t="str">
        <f t="shared" si="6"/>
        <v/>
      </c>
      <c r="E33" s="101">
        <f>VLOOKUP($A33,'30.07.18'!$A$17:$I$36,9,FALSE)</f>
        <v>43308.729166666664</v>
      </c>
      <c r="F33" s="101">
        <f t="shared" si="1"/>
        <v>2018</v>
      </c>
      <c r="G33" s="101">
        <f t="shared" si="7"/>
        <v>7</v>
      </c>
      <c r="H33" s="101">
        <f t="shared" si="8"/>
        <v>27.729166666664241</v>
      </c>
      <c r="I33" s="103">
        <f>VLOOKUP($A33,IF(C33=1,'30.07.18'!$A$17:$N$36,IF(C33=2,'02.08.18'!$A$17:$N$36,IF(C33=3,'06.08.18'!$A$17:$N$36,IF(C33=4,'09.08.18'!$A$17:$N$36,IF(C33=5,'13.08.18'!$A$17:$N$36,IF(C33=6,'20.08.18'!$A$17:$N$36,IF(C33=7,'24.08.18'!$A$38:$N$40,IF(C33=8,'27.08.18'!$A$38:$N$40,'03.09.18'!$A$38:$N$40)))))))),2,FALSE)</f>
        <v>43311.702777777777</v>
      </c>
      <c r="J33" s="101">
        <f t="shared" si="9"/>
        <v>2018</v>
      </c>
      <c r="K33" s="101">
        <f t="shared" si="10"/>
        <v>7</v>
      </c>
      <c r="L33" s="101">
        <f t="shared" si="11"/>
        <v>30.702777777776646</v>
      </c>
      <c r="M33" s="101" t="s">
        <v>164</v>
      </c>
      <c r="N33" s="102">
        <f t="shared" si="4"/>
        <v>2.9736111111124046</v>
      </c>
      <c r="O33" s="101">
        <f>IFERROR(VLOOKUP($A33,IF(C33=1,'30.07.18'!$A$17:$N$36,IF(C33=2,'02.08.18'!$A$17:$N$36,IF(C33=3,'06.08.18'!$A$17:$N$36,IF(C33=4,'09.08.18'!$A$17:$N$36,IF(C33=5,'13.08.18'!$A$17:$N$36,IF(C33=6,'20.08.18'!$A$17:$N$36,IF(C33=7,'24.08.18'!$A$38:$N$40,IF(C33=8,'27.08.18'!$A$38:$N$40,'03.09.18'!$A$38:$N$40)))))))),14,FALSE),"")</f>
        <v>8.2459377755519636</v>
      </c>
      <c r="P33" s="102">
        <f t="shared" si="5"/>
        <v>2.9736111111124046</v>
      </c>
    </row>
    <row r="34" spans="1:16">
      <c r="A34" s="101" t="s">
        <v>22</v>
      </c>
      <c r="B34" s="101" t="str">
        <f t="shared" si="0"/>
        <v>Du123</v>
      </c>
      <c r="C34" s="101">
        <f t="shared" si="12"/>
        <v>2</v>
      </c>
      <c r="D34" s="101" t="str">
        <f t="shared" si="6"/>
        <v/>
      </c>
      <c r="E34" s="101">
        <f>VLOOKUP($A34,'30.07.18'!$A$17:$I$36,9,FALSE)</f>
        <v>43308.729166666664</v>
      </c>
      <c r="F34" s="101">
        <f t="shared" si="1"/>
        <v>2018</v>
      </c>
      <c r="G34" s="101">
        <f t="shared" si="7"/>
        <v>7</v>
      </c>
      <c r="H34" s="101">
        <f t="shared" si="8"/>
        <v>27.729166666664241</v>
      </c>
      <c r="I34" s="103">
        <f>VLOOKUP($A34,IF(C34=1,'30.07.18'!$A$17:$N$36,IF(C34=2,'02.08.18'!$A$17:$N$36,IF(C34=3,'06.08.18'!$A$17:$N$36,IF(C34=4,'09.08.18'!$A$17:$N$36,IF(C34=5,'13.08.18'!$A$17:$N$36,IF(C34=6,'20.08.18'!$A$17:$N$36,IF(C34=7,'24.08.18'!$A$38:$N$40,IF(C34=8,'27.08.18'!$A$38:$N$40,'03.09.18'!$A$38:$N$40)))))))),2,FALSE)</f>
        <v>43311.70416666667</v>
      </c>
      <c r="J34" s="101">
        <f t="shared" si="9"/>
        <v>2018</v>
      </c>
      <c r="K34" s="101">
        <f t="shared" si="10"/>
        <v>7</v>
      </c>
      <c r="L34" s="101">
        <f t="shared" si="11"/>
        <v>30.704166666670062</v>
      </c>
      <c r="M34" s="101" t="s">
        <v>164</v>
      </c>
      <c r="N34" s="102">
        <f t="shared" si="4"/>
        <v>2.9750000000058208</v>
      </c>
      <c r="O34" s="101">
        <f>IFERROR(VLOOKUP($A34,IF(C34=1,'30.07.18'!$A$17:$N$36,IF(C34=2,'02.08.18'!$A$17:$N$36,IF(C34=3,'06.08.18'!$A$17:$N$36,IF(C34=4,'09.08.18'!$A$17:$N$36,IF(C34=5,'13.08.18'!$A$17:$N$36,IF(C34=6,'20.08.18'!$A$17:$N$36,IF(C34=7,'24.08.18'!$A$38:$N$40,IF(C34=8,'27.08.18'!$A$38:$N$40,'03.09.18'!$A$38:$N$40)))))))),14,FALSE),"")</f>
        <v>68.28138864779163</v>
      </c>
      <c r="P34" s="102">
        <f t="shared" si="5"/>
        <v>2.9750000000058208</v>
      </c>
    </row>
    <row r="35" spans="1:16">
      <c r="A35" s="101" t="s">
        <v>23</v>
      </c>
      <c r="B35" s="101" t="str">
        <f t="shared" si="0"/>
        <v>Du120</v>
      </c>
      <c r="C35" s="101">
        <f t="shared" si="12"/>
        <v>2</v>
      </c>
      <c r="D35" s="101" t="str">
        <f t="shared" si="6"/>
        <v/>
      </c>
      <c r="E35" s="101">
        <f>VLOOKUP($A35,'30.07.18'!$A$17:$I$36,9,FALSE)</f>
        <v>43308.729166666664</v>
      </c>
      <c r="F35" s="101">
        <f t="shared" si="1"/>
        <v>2018</v>
      </c>
      <c r="G35" s="101">
        <f t="shared" si="7"/>
        <v>7</v>
      </c>
      <c r="H35" s="101">
        <f t="shared" si="8"/>
        <v>27.729166666664241</v>
      </c>
      <c r="I35" s="103">
        <f>VLOOKUP($A35,IF(C35=1,'30.07.18'!$A$17:$N$36,IF(C35=2,'02.08.18'!$A$17:$N$36,IF(C35=3,'06.08.18'!$A$17:$N$36,IF(C35=4,'09.08.18'!$A$17:$N$36,IF(C35=5,'13.08.18'!$A$17:$N$36,IF(C35=6,'20.08.18'!$A$17:$N$36,IF(C35=7,'24.08.18'!$A$38:$N$40,IF(C35=8,'27.08.18'!$A$38:$N$40,'03.09.18'!$A$38:$N$40)))))))),2,FALSE)</f>
        <v>43311.705555555556</v>
      </c>
      <c r="J35" s="101">
        <f t="shared" si="9"/>
        <v>2018</v>
      </c>
      <c r="K35" s="101">
        <f t="shared" si="10"/>
        <v>7</v>
      </c>
      <c r="L35" s="101">
        <f t="shared" si="11"/>
        <v>30.705555555556202</v>
      </c>
      <c r="M35" s="101" t="s">
        <v>164</v>
      </c>
      <c r="N35" s="102">
        <f t="shared" si="4"/>
        <v>2.976388888891961</v>
      </c>
      <c r="O35" s="101">
        <f>IFERROR(VLOOKUP($A35,IF(C35=1,'30.07.18'!$A$17:$N$36,IF(C35=2,'02.08.18'!$A$17:$N$36,IF(C35=3,'06.08.18'!$A$17:$N$36,IF(C35=4,'09.08.18'!$A$17:$N$36,IF(C35=5,'13.08.18'!$A$17:$N$36,IF(C35=6,'20.08.18'!$A$17:$N$36,IF(C35=7,'24.08.18'!$A$38:$N$40,IF(C35=8,'27.08.18'!$A$38:$N$40,'03.09.18'!$A$38:$N$40)))))))),14,FALSE),"")</f>
        <v>5.7391918757945399</v>
      </c>
      <c r="P35" s="102">
        <f t="shared" si="5"/>
        <v>2.976388888891961</v>
      </c>
    </row>
    <row r="36" spans="1:16">
      <c r="A36" s="101" t="s">
        <v>24</v>
      </c>
      <c r="B36" s="101" t="str">
        <f t="shared" si="0"/>
        <v>TVA 4E C</v>
      </c>
      <c r="C36" s="101">
        <f t="shared" si="12"/>
        <v>2</v>
      </c>
      <c r="D36" s="101" t="str">
        <f t="shared" si="6"/>
        <v/>
      </c>
      <c r="E36" s="101">
        <f>VLOOKUP($A36,'30.07.18'!$A$17:$I$36,9,FALSE)</f>
        <v>43308.729166666664</v>
      </c>
      <c r="F36" s="101">
        <f t="shared" si="1"/>
        <v>2018</v>
      </c>
      <c r="G36" s="101">
        <f t="shared" si="7"/>
        <v>7</v>
      </c>
      <c r="H36" s="101">
        <f t="shared" si="8"/>
        <v>27.729166666664241</v>
      </c>
      <c r="I36" s="103">
        <f>VLOOKUP($A36,IF(C36=1,'30.07.18'!$A$17:$N$36,IF(C36=2,'02.08.18'!$A$17:$N$36,IF(C36=3,'06.08.18'!$A$17:$N$36,IF(C36=4,'09.08.18'!$A$17:$N$36,IF(C36=5,'13.08.18'!$A$17:$N$36,IF(C36=6,'20.08.18'!$A$17:$N$36,IF(C36=7,'24.08.18'!$A$38:$N$40,IF(C36=8,'27.08.18'!$A$38:$N$40,'03.09.18'!$A$38:$N$40)))))))),2,FALSE)</f>
        <v>43311.709027777775</v>
      </c>
      <c r="J36" s="101">
        <f t="shared" si="9"/>
        <v>2018</v>
      </c>
      <c r="K36" s="101">
        <f t="shared" si="10"/>
        <v>7</v>
      </c>
      <c r="L36" s="101">
        <f t="shared" si="11"/>
        <v>30.709027777775191</v>
      </c>
      <c r="M36" s="101" t="s">
        <v>164</v>
      </c>
      <c r="N36" s="102">
        <f t="shared" si="4"/>
        <v>2.9798611111109494</v>
      </c>
      <c r="O36" s="101">
        <f>IFERROR(VLOOKUP($A36,IF(C36=1,'30.07.18'!$A$17:$N$36,IF(C36=2,'02.08.18'!$A$17:$N$36,IF(C36=3,'06.08.18'!$A$17:$N$36,IF(C36=4,'09.08.18'!$A$17:$N$36,IF(C36=5,'13.08.18'!$A$17:$N$36,IF(C36=6,'20.08.18'!$A$17:$N$36,IF(C36=7,'24.08.18'!$A$38:$N$40,IF(C36=8,'27.08.18'!$A$38:$N$40,'03.09.18'!$A$38:$N$40)))))))),14,FALSE),"")</f>
        <v>43.666392177512961</v>
      </c>
      <c r="P36" s="102">
        <f t="shared" si="5"/>
        <v>2.9798611111109494</v>
      </c>
    </row>
    <row r="37" spans="1:16">
      <c r="A37" s="101" t="s">
        <v>25</v>
      </c>
      <c r="B37" s="101" t="str">
        <f t="shared" si="0"/>
        <v>TVA 6E C</v>
      </c>
      <c r="C37" s="101">
        <f t="shared" si="12"/>
        <v>2</v>
      </c>
      <c r="D37" s="101" t="str">
        <f t="shared" si="6"/>
        <v/>
      </c>
      <c r="E37" s="101">
        <f>VLOOKUP($A37,'30.07.18'!$A$17:$I$36,9,FALSE)</f>
        <v>43308.73541666667</v>
      </c>
      <c r="F37" s="101">
        <f t="shared" si="1"/>
        <v>2018</v>
      </c>
      <c r="G37" s="101">
        <f t="shared" si="7"/>
        <v>7</v>
      </c>
      <c r="H37" s="101">
        <f t="shared" si="8"/>
        <v>27.735416666670062</v>
      </c>
      <c r="I37" s="103">
        <f>VLOOKUP($A37,IF(C37=1,'30.07.18'!$A$17:$N$36,IF(C37=2,'02.08.18'!$A$17:$N$36,IF(C37=3,'06.08.18'!$A$17:$N$36,IF(C37=4,'09.08.18'!$A$17:$N$36,IF(C37=5,'13.08.18'!$A$17:$N$36,IF(C37=6,'20.08.18'!$A$17:$N$36,IF(C37=7,'24.08.18'!$A$38:$N$40,IF(C37=8,'27.08.18'!$A$38:$N$40,'03.09.18'!$A$38:$N$40)))))))),2,FALSE)</f>
        <v>43311.711805555555</v>
      </c>
      <c r="J37" s="101">
        <f t="shared" si="9"/>
        <v>2018</v>
      </c>
      <c r="K37" s="101">
        <f t="shared" si="10"/>
        <v>7</v>
      </c>
      <c r="L37" s="101">
        <f t="shared" si="11"/>
        <v>30.711805555554747</v>
      </c>
      <c r="M37" s="101" t="s">
        <v>164</v>
      </c>
      <c r="N37" s="102">
        <f t="shared" si="4"/>
        <v>2.976388888884685</v>
      </c>
      <c r="O37" s="101">
        <f>IFERROR(VLOOKUP($A37,IF(C37=1,'30.07.18'!$A$17:$N$36,IF(C37=2,'02.08.18'!$A$17:$N$36,IF(C37=3,'06.08.18'!$A$17:$N$36,IF(C37=4,'09.08.18'!$A$17:$N$36,IF(C37=5,'13.08.18'!$A$17:$N$36,IF(C37=6,'20.08.18'!$A$17:$N$36,IF(C37=7,'24.08.18'!$A$38:$N$40,IF(C37=8,'27.08.18'!$A$38:$N$40,'03.09.18'!$A$38:$N$40)))))))),14,FALSE),"")</f>
        <v>61.663546833923448</v>
      </c>
      <c r="P37" s="102">
        <f t="shared" si="5"/>
        <v>2.976388888884685</v>
      </c>
    </row>
    <row r="38" spans="1:16">
      <c r="A38" s="101" t="s">
        <v>26</v>
      </c>
      <c r="B38" s="101" t="str">
        <f t="shared" si="0"/>
        <v>TVA 8E C</v>
      </c>
      <c r="C38" s="101">
        <f t="shared" si="12"/>
        <v>2</v>
      </c>
      <c r="D38" s="101" t="str">
        <f t="shared" si="6"/>
        <v/>
      </c>
      <c r="E38" s="101">
        <f>VLOOKUP($A38,'30.07.18'!$A$17:$I$36,9,FALSE)</f>
        <v>43308.73541666667</v>
      </c>
      <c r="F38" s="101">
        <f t="shared" si="1"/>
        <v>2018</v>
      </c>
      <c r="G38" s="101">
        <f t="shared" si="7"/>
        <v>7</v>
      </c>
      <c r="H38" s="101">
        <f t="shared" si="8"/>
        <v>27.735416666670062</v>
      </c>
      <c r="I38" s="103">
        <f>VLOOKUP($A38,IF(C38=1,'30.07.18'!$A$17:$N$36,IF(C38=2,'02.08.18'!$A$17:$N$36,IF(C38=3,'06.08.18'!$A$17:$N$36,IF(C38=4,'09.08.18'!$A$17:$N$36,IF(C38=5,'13.08.18'!$A$17:$N$36,IF(C38=6,'20.08.18'!$A$17:$N$36,IF(C38=7,'24.08.18'!$A$38:$N$40,IF(C38=8,'27.08.18'!$A$38:$N$40,'03.09.18'!$A$38:$N$40)))))))),2,FALSE)</f>
        <v>43311.714583333334</v>
      </c>
      <c r="J38" s="101">
        <f t="shared" si="9"/>
        <v>2018</v>
      </c>
      <c r="K38" s="101">
        <f t="shared" si="10"/>
        <v>7</v>
      </c>
      <c r="L38" s="101">
        <f t="shared" si="11"/>
        <v>30.714583333334303</v>
      </c>
      <c r="M38" s="101" t="s">
        <v>164</v>
      </c>
      <c r="N38" s="102">
        <f t="shared" si="4"/>
        <v>2.9791666666642413</v>
      </c>
      <c r="O38" s="101">
        <f>IFERROR(VLOOKUP($A38,IF(C38=1,'30.07.18'!$A$17:$N$36,IF(C38=2,'02.08.18'!$A$17:$N$36,IF(C38=3,'06.08.18'!$A$17:$N$36,IF(C38=4,'09.08.18'!$A$17:$N$36,IF(C38=5,'13.08.18'!$A$17:$N$36,IF(C38=6,'20.08.18'!$A$17:$N$36,IF(C38=7,'24.08.18'!$A$38:$N$40,IF(C38=8,'27.08.18'!$A$38:$N$40,'03.09.18'!$A$38:$N$40)))))))),14,FALSE),"")</f>
        <v>13.402909302459006</v>
      </c>
      <c r="P38" s="102">
        <f t="shared" si="5"/>
        <v>2.9791666666642413</v>
      </c>
    </row>
    <row r="39" spans="1:16">
      <c r="A39" s="101" t="s">
        <v>27</v>
      </c>
      <c r="B39" s="101" t="str">
        <f t="shared" si="0"/>
        <v>TVA 2B C</v>
      </c>
      <c r="C39" s="101">
        <f t="shared" si="12"/>
        <v>2</v>
      </c>
      <c r="D39" s="101" t="str">
        <f t="shared" si="6"/>
        <v/>
      </c>
      <c r="E39" s="101">
        <f>VLOOKUP($A39,'30.07.18'!$A$17:$I$36,9,FALSE)</f>
        <v>43308.73541666667</v>
      </c>
      <c r="F39" s="101">
        <f t="shared" si="1"/>
        <v>2018</v>
      </c>
      <c r="G39" s="101">
        <f t="shared" si="7"/>
        <v>7</v>
      </c>
      <c r="H39" s="101">
        <f t="shared" si="8"/>
        <v>27.735416666670062</v>
      </c>
      <c r="I39" s="103">
        <f>VLOOKUP($A39,IF(C39=1,'30.07.18'!$A$17:$N$36,IF(C39=2,'02.08.18'!$A$17:$N$36,IF(C39=3,'06.08.18'!$A$17:$N$36,IF(C39=4,'09.08.18'!$A$17:$N$36,IF(C39=5,'13.08.18'!$A$17:$N$36,IF(C39=6,'20.08.18'!$A$17:$N$36,IF(C39=7,'24.08.18'!$A$38:$N$40,IF(C39=8,'27.08.18'!$A$38:$N$40,'03.09.18'!$A$38:$N$40)))))))),2,FALSE)</f>
        <v>43311.715277777781</v>
      </c>
      <c r="J39" s="101">
        <f t="shared" si="9"/>
        <v>2018</v>
      </c>
      <c r="K39" s="101">
        <f t="shared" si="10"/>
        <v>7</v>
      </c>
      <c r="L39" s="101">
        <f t="shared" si="11"/>
        <v>30.715277777781012</v>
      </c>
      <c r="M39" s="101" t="s">
        <v>164</v>
      </c>
      <c r="N39" s="102">
        <f t="shared" si="4"/>
        <v>2.9798611111109494</v>
      </c>
      <c r="O39" s="101">
        <f>IFERROR(VLOOKUP($A39,IF(C39=1,'30.07.18'!$A$17:$N$36,IF(C39=2,'02.08.18'!$A$17:$N$36,IF(C39=3,'06.08.18'!$A$17:$N$36,IF(C39=4,'09.08.18'!$A$17:$N$36,IF(C39=5,'13.08.18'!$A$17:$N$36,IF(C39=6,'20.08.18'!$A$17:$N$36,IF(C39=7,'24.08.18'!$A$38:$N$40,IF(C39=8,'27.08.18'!$A$38:$N$40,'03.09.18'!$A$38:$N$40)))))))),14,FALSE),"")</f>
        <v>49.735744488892315</v>
      </c>
      <c r="P39" s="102">
        <f t="shared" si="5"/>
        <v>2.9798611111109494</v>
      </c>
    </row>
    <row r="40" spans="1:16">
      <c r="A40" s="101" t="s">
        <v>28</v>
      </c>
      <c r="B40" s="101" t="str">
        <f t="shared" si="0"/>
        <v>TVA 3B C</v>
      </c>
      <c r="C40" s="101">
        <f t="shared" si="12"/>
        <v>2</v>
      </c>
      <c r="D40" s="101" t="str">
        <f t="shared" si="6"/>
        <v/>
      </c>
      <c r="E40" s="101">
        <f>VLOOKUP($A40,'30.07.18'!$A$17:$I$36,9,FALSE)</f>
        <v>43308.73541666667</v>
      </c>
      <c r="F40" s="101">
        <f t="shared" si="1"/>
        <v>2018</v>
      </c>
      <c r="G40" s="101">
        <f t="shared" si="7"/>
        <v>7</v>
      </c>
      <c r="H40" s="101">
        <f t="shared" si="8"/>
        <v>27.735416666670062</v>
      </c>
      <c r="I40" s="103">
        <f>VLOOKUP($A40,IF(C40=1,'30.07.18'!$A$17:$N$36,IF(C40=2,'02.08.18'!$A$17:$N$36,IF(C40=3,'06.08.18'!$A$17:$N$36,IF(C40=4,'09.08.18'!$A$17:$N$36,IF(C40=5,'13.08.18'!$A$17:$N$36,IF(C40=6,'20.08.18'!$A$17:$N$36,IF(C40=7,'24.08.18'!$A$38:$N$40,IF(C40=8,'27.08.18'!$A$38:$N$40,'03.09.18'!$A$38:$N$40)))))))),2,FALSE)</f>
        <v>43311.716666666667</v>
      </c>
      <c r="J40" s="101">
        <f t="shared" si="9"/>
        <v>2018</v>
      </c>
      <c r="K40" s="101">
        <f t="shared" si="10"/>
        <v>7</v>
      </c>
      <c r="L40" s="101">
        <f t="shared" si="11"/>
        <v>30.716666666667152</v>
      </c>
      <c r="M40" s="101" t="s">
        <v>164</v>
      </c>
      <c r="N40" s="102">
        <f t="shared" si="4"/>
        <v>2.9812499999970896</v>
      </c>
      <c r="O40" s="101">
        <f>IFERROR(VLOOKUP($A40,IF(C40=1,'30.07.18'!$A$17:$N$36,IF(C40=2,'02.08.18'!$A$17:$N$36,IF(C40=3,'06.08.18'!$A$17:$N$36,IF(C40=4,'09.08.18'!$A$17:$N$36,IF(C40=5,'13.08.18'!$A$17:$N$36,IF(C40=6,'20.08.18'!$A$17:$N$36,IF(C40=7,'24.08.18'!$A$38:$N$40,IF(C40=8,'27.08.18'!$A$38:$N$40,'03.09.18'!$A$38:$N$40)))))))),14,FALSE),"")</f>
        <v>21.39410856524993</v>
      </c>
      <c r="P40" s="102">
        <f t="shared" si="5"/>
        <v>2.9812499999970896</v>
      </c>
    </row>
    <row r="41" spans="1:16">
      <c r="A41" s="101" t="s">
        <v>29</v>
      </c>
      <c r="B41" s="101" t="str">
        <f t="shared" si="0"/>
        <v>TVA 5B C</v>
      </c>
      <c r="C41" s="101">
        <f t="shared" si="12"/>
        <v>2</v>
      </c>
      <c r="D41" s="101" t="str">
        <f t="shared" si="6"/>
        <v/>
      </c>
      <c r="E41" s="101">
        <f>VLOOKUP($A41,'30.07.18'!$A$17:$I$36,9,FALSE)</f>
        <v>43308.73541666667</v>
      </c>
      <c r="F41" s="101">
        <f t="shared" si="1"/>
        <v>2018</v>
      </c>
      <c r="G41" s="101">
        <f t="shared" si="7"/>
        <v>7</v>
      </c>
      <c r="H41" s="101">
        <f t="shared" si="8"/>
        <v>27.735416666670062</v>
      </c>
      <c r="I41" s="103">
        <f>VLOOKUP($A41,IF(C41=1,'30.07.18'!$A$17:$N$36,IF(C41=2,'02.08.18'!$A$17:$N$36,IF(C41=3,'06.08.18'!$A$17:$N$36,IF(C41=4,'09.08.18'!$A$17:$N$36,IF(C41=5,'13.08.18'!$A$17:$N$36,IF(C41=6,'20.08.18'!$A$17:$N$36,IF(C41=7,'24.08.18'!$A$38:$N$40,IF(C41=8,'27.08.18'!$A$38:$N$40,'03.09.18'!$A$38:$N$40)))))))),2,FALSE)</f>
        <v>43314.46875</v>
      </c>
      <c r="J41" s="101">
        <f t="shared" si="9"/>
        <v>2018</v>
      </c>
      <c r="K41" s="101">
        <f t="shared" si="10"/>
        <v>8</v>
      </c>
      <c r="L41" s="101">
        <f t="shared" si="11"/>
        <v>2.46875</v>
      </c>
      <c r="M41" s="101" t="s">
        <v>164</v>
      </c>
      <c r="N41" s="102">
        <f t="shared" si="4"/>
        <v>5.7333333333299379</v>
      </c>
      <c r="O41" s="101">
        <f>IFERROR(VLOOKUP($A41,IF(C41=1,'30.07.18'!$A$17:$N$36,IF(C41=2,'02.08.18'!$A$17:$N$36,IF(C41=3,'06.08.18'!$A$17:$N$36,IF(C41=4,'09.08.18'!$A$17:$N$36,IF(C41=5,'13.08.18'!$A$17:$N$36,IF(C41=6,'20.08.18'!$A$17:$N$36,IF(C41=7,'24.08.18'!$A$38:$N$40,IF(C41=8,'27.08.18'!$A$38:$N$40,'03.09.18'!$A$38:$N$40)))))))),14,FALSE),"")</f>
        <v>61.831281846342151</v>
      </c>
      <c r="P41" s="102">
        <f t="shared" si="5"/>
        <v>5.7333333333299379</v>
      </c>
    </row>
    <row r="42" spans="1:16">
      <c r="A42" s="101" t="s">
        <v>9</v>
      </c>
      <c r="B42" s="101" t="str">
        <f t="shared" si="0"/>
        <v>MA</v>
      </c>
      <c r="C42" s="101">
        <v>3</v>
      </c>
      <c r="D42" s="101" t="str">
        <f t="shared" si="6"/>
        <v/>
      </c>
      <c r="E42" s="101">
        <f>VLOOKUP($A42,'30.07.18'!$A$17:$I$36,9,FALSE)</f>
        <v>43308.701388888891</v>
      </c>
      <c r="F42" s="101">
        <f t="shared" si="1"/>
        <v>2018</v>
      </c>
      <c r="G42" s="101">
        <f t="shared" si="7"/>
        <v>7</v>
      </c>
      <c r="H42" s="101">
        <f t="shared" si="8"/>
        <v>27.701388888890506</v>
      </c>
      <c r="I42" s="103">
        <f>VLOOKUP($A42,IF(C42=1,'30.07.18'!$A$17:$N$36,IF(C42=2,'02.08.18'!$A$17:$N$36,IF(C42=3,'06.08.18'!$A$17:$N$36,IF(C42=4,'09.08.18'!$A$17:$N$36,IF(C42=5,'13.08.18'!$A$17:$N$36,IF(C42=6,'20.08.18'!$A$17:$N$36,IF(C42=7,'24.08.18'!$A$38:$N$40,IF(C42=8,'27.08.18'!$A$38:$N$40,'03.09.18'!$A$38:$N$40)))))))),2,FALSE)</f>
        <v>0</v>
      </c>
      <c r="J42" s="101">
        <f t="shared" si="9"/>
        <v>1900</v>
      </c>
      <c r="K42" s="101">
        <f t="shared" si="10"/>
        <v>1</v>
      </c>
      <c r="L42" s="101">
        <f t="shared" si="11"/>
        <v>0</v>
      </c>
      <c r="M42" s="101" t="s">
        <v>164</v>
      </c>
      <c r="N42" s="102" t="str">
        <f t="shared" si="4"/>
        <v/>
      </c>
      <c r="O42" s="101" t="str">
        <f>IFERROR(VLOOKUP($A42,IF(C42=1,'30.07.18'!$A$17:$N$36,IF(C42=2,'02.08.18'!$A$17:$N$36,IF(C42=3,'06.08.18'!$A$17:$N$36,IF(C42=4,'09.08.18'!$A$17:$N$36,IF(C42=5,'13.08.18'!$A$17:$N$36,IF(C42=6,'20.08.18'!$A$17:$N$36,IF(C42=7,'24.08.18'!$A$38:$N$40,IF(C42=8,'27.08.18'!$A$38:$N$40,'03.09.18'!$A$38:$N$40)))))))),14,FALSE),"")</f>
        <v/>
      </c>
      <c r="P42" s="102" t="str">
        <f t="shared" si="5"/>
        <v/>
      </c>
    </row>
    <row r="43" spans="1:16">
      <c r="A43" s="101" t="s">
        <v>11</v>
      </c>
      <c r="B43" s="101" t="str">
        <f t="shared" si="0"/>
        <v>MA</v>
      </c>
      <c r="C43" s="101">
        <f t="shared" ref="C43:C74" si="13">C42</f>
        <v>3</v>
      </c>
      <c r="D43" s="101" t="str">
        <f t="shared" si="6"/>
        <v/>
      </c>
      <c r="E43" s="101">
        <f>VLOOKUP($A43,'30.07.18'!$A$17:$I$36,9,FALSE)</f>
        <v>43308.701388888891</v>
      </c>
      <c r="F43" s="101">
        <f t="shared" si="1"/>
        <v>2018</v>
      </c>
      <c r="G43" s="101">
        <f t="shared" si="7"/>
        <v>7</v>
      </c>
      <c r="H43" s="101">
        <f t="shared" si="8"/>
        <v>27.701388888890506</v>
      </c>
      <c r="I43" s="103">
        <f>VLOOKUP($A43,IF(C43=1,'30.07.18'!$A$17:$N$36,IF(C43=2,'02.08.18'!$A$17:$N$36,IF(C43=3,'06.08.18'!$A$17:$N$36,IF(C43=4,'09.08.18'!$A$17:$N$36,IF(C43=5,'13.08.18'!$A$17:$N$36,IF(C43=6,'20.08.18'!$A$17:$N$36,IF(C43=7,'24.08.18'!$A$38:$N$40,IF(C43=8,'27.08.18'!$A$38:$N$40,'03.09.18'!$A$38:$N$40)))))))),2,FALSE)</f>
        <v>0</v>
      </c>
      <c r="J43" s="101">
        <f t="shared" si="9"/>
        <v>1900</v>
      </c>
      <c r="K43" s="101">
        <f t="shared" si="10"/>
        <v>1</v>
      </c>
      <c r="L43" s="101">
        <f t="shared" si="11"/>
        <v>0</v>
      </c>
      <c r="M43" s="101" t="s">
        <v>164</v>
      </c>
      <c r="N43" s="102" t="str">
        <f t="shared" si="4"/>
        <v/>
      </c>
      <c r="O43" s="101" t="str">
        <f>IFERROR(VLOOKUP($A43,IF(C43=1,'30.07.18'!$A$17:$N$36,IF(C43=2,'02.08.18'!$A$17:$N$36,IF(C43=3,'06.08.18'!$A$17:$N$36,IF(C43=4,'09.08.18'!$A$17:$N$36,IF(C43=5,'13.08.18'!$A$17:$N$36,IF(C43=6,'20.08.18'!$A$17:$N$36,IF(C43=7,'24.08.18'!$A$38:$N$40,IF(C43=8,'27.08.18'!$A$38:$N$40,'03.09.18'!$A$38:$N$40)))))))),14,FALSE),"")</f>
        <v/>
      </c>
      <c r="P43" s="102" t="str">
        <f t="shared" si="5"/>
        <v/>
      </c>
    </row>
    <row r="44" spans="1:16">
      <c r="A44" s="101" t="s">
        <v>12</v>
      </c>
      <c r="B44" s="101" t="str">
        <f t="shared" si="0"/>
        <v>MA</v>
      </c>
      <c r="C44" s="101">
        <f t="shared" si="13"/>
        <v>3</v>
      </c>
      <c r="D44" s="101" t="str">
        <f t="shared" si="6"/>
        <v/>
      </c>
      <c r="E44" s="101">
        <f>VLOOKUP($A44,'30.07.18'!$A$17:$I$36,9,FALSE)</f>
        <v>43308.701388888891</v>
      </c>
      <c r="F44" s="101">
        <f t="shared" si="1"/>
        <v>2018</v>
      </c>
      <c r="G44" s="101">
        <f t="shared" si="7"/>
        <v>7</v>
      </c>
      <c r="H44" s="101">
        <f t="shared" si="8"/>
        <v>27.701388888890506</v>
      </c>
      <c r="I44" s="103">
        <f>VLOOKUP($A44,IF(C44=1,'30.07.18'!$A$17:$N$36,IF(C44=2,'02.08.18'!$A$17:$N$36,IF(C44=3,'06.08.18'!$A$17:$N$36,IF(C44=4,'09.08.18'!$A$17:$N$36,IF(C44=5,'13.08.18'!$A$17:$N$36,IF(C44=6,'20.08.18'!$A$17:$N$36,IF(C44=7,'24.08.18'!$A$38:$N$40,IF(C44=8,'27.08.18'!$A$38:$N$40,'03.09.18'!$A$38:$N$40)))))))),2,FALSE)</f>
        <v>0</v>
      </c>
      <c r="J44" s="101">
        <f t="shared" si="9"/>
        <v>1900</v>
      </c>
      <c r="K44" s="101">
        <f t="shared" si="10"/>
        <v>1</v>
      </c>
      <c r="L44" s="101">
        <f t="shared" si="11"/>
        <v>0</v>
      </c>
      <c r="M44" s="101" t="s">
        <v>164</v>
      </c>
      <c r="N44" s="102" t="str">
        <f t="shared" si="4"/>
        <v/>
      </c>
      <c r="O44" s="101" t="str">
        <f>IFERROR(VLOOKUP($A44,IF(C44=1,'30.07.18'!$A$17:$N$36,IF(C44=2,'02.08.18'!$A$17:$N$36,IF(C44=3,'06.08.18'!$A$17:$N$36,IF(C44=4,'09.08.18'!$A$17:$N$36,IF(C44=5,'13.08.18'!$A$17:$N$36,IF(C44=6,'20.08.18'!$A$17:$N$36,IF(C44=7,'24.08.18'!$A$38:$N$40,IF(C44=8,'27.08.18'!$A$38:$N$40,'03.09.18'!$A$38:$N$40)))))))),14,FALSE),"")</f>
        <v/>
      </c>
      <c r="P44" s="102" t="str">
        <f t="shared" si="5"/>
        <v/>
      </c>
    </row>
    <row r="45" spans="1:16">
      <c r="A45" s="101" t="s">
        <v>13</v>
      </c>
      <c r="B45" s="101" t="str">
        <f t="shared" si="0"/>
        <v>MB</v>
      </c>
      <c r="C45" s="101">
        <f t="shared" si="13"/>
        <v>3</v>
      </c>
      <c r="D45" s="101" t="str">
        <f t="shared" si="6"/>
        <v/>
      </c>
      <c r="E45" s="101">
        <f>VLOOKUP($A45,'30.07.18'!$A$17:$I$36,9,FALSE)</f>
        <v>43308.701388888891</v>
      </c>
      <c r="F45" s="101">
        <f t="shared" si="1"/>
        <v>2018</v>
      </c>
      <c r="G45" s="101">
        <f t="shared" si="7"/>
        <v>7</v>
      </c>
      <c r="H45" s="101">
        <f t="shared" si="8"/>
        <v>27.701388888890506</v>
      </c>
      <c r="I45" s="103">
        <f>VLOOKUP($A45,IF(C45=1,'30.07.18'!$A$17:$N$36,IF(C45=2,'02.08.18'!$A$17:$N$36,IF(C45=3,'06.08.18'!$A$17:$N$36,IF(C45=4,'09.08.18'!$A$17:$N$36,IF(C45=5,'13.08.18'!$A$17:$N$36,IF(C45=6,'20.08.18'!$A$17:$N$36,IF(C45=7,'24.08.18'!$A$38:$N$40,IF(C45=8,'27.08.18'!$A$38:$N$40,'03.09.18'!$A$38:$N$40)))))))),2,FALSE)</f>
        <v>43318.431250000001</v>
      </c>
      <c r="J45" s="101">
        <f t="shared" si="9"/>
        <v>2018</v>
      </c>
      <c r="K45" s="101">
        <f t="shared" si="10"/>
        <v>8</v>
      </c>
      <c r="L45" s="101">
        <f t="shared" si="11"/>
        <v>6.4312500000014552</v>
      </c>
      <c r="M45" s="101" t="s">
        <v>164</v>
      </c>
      <c r="N45" s="102">
        <f t="shared" si="4"/>
        <v>9.7298611111109494</v>
      </c>
      <c r="O45" s="101">
        <f>IFERROR(VLOOKUP($A45,IF(C45=1,'30.07.18'!$A$17:$N$36,IF(C45=2,'02.08.18'!$A$17:$N$36,IF(C45=3,'06.08.18'!$A$17:$N$36,IF(C45=4,'09.08.18'!$A$17:$N$36,IF(C45=5,'13.08.18'!$A$17:$N$36,IF(C45=6,'20.08.18'!$A$17:$N$36,IF(C45=7,'24.08.18'!$A$38:$N$40,IF(C45=8,'27.08.18'!$A$38:$N$40,'03.09.18'!$A$38:$N$40)))))))),14,FALSE),"")</f>
        <v>7.2352113764503629</v>
      </c>
      <c r="P45" s="102">
        <f t="shared" si="5"/>
        <v>9.7298611111109494</v>
      </c>
    </row>
    <row r="46" spans="1:16">
      <c r="A46" s="101" t="s">
        <v>14</v>
      </c>
      <c r="B46" s="101" t="str">
        <f t="shared" si="0"/>
        <v>MB</v>
      </c>
      <c r="C46" s="101">
        <f t="shared" si="13"/>
        <v>3</v>
      </c>
      <c r="D46" s="101" t="str">
        <f t="shared" si="6"/>
        <v/>
      </c>
      <c r="E46" s="101">
        <f>VLOOKUP($A46,'30.07.18'!$A$17:$I$36,9,FALSE)</f>
        <v>43308.701388888891</v>
      </c>
      <c r="F46" s="101">
        <f t="shared" si="1"/>
        <v>2018</v>
      </c>
      <c r="G46" s="101">
        <f t="shared" si="7"/>
        <v>7</v>
      </c>
      <c r="H46" s="101">
        <f t="shared" si="8"/>
        <v>27.701388888890506</v>
      </c>
      <c r="I46" s="103">
        <f>VLOOKUP($A46,IF(C46=1,'30.07.18'!$A$17:$N$36,IF(C46=2,'02.08.18'!$A$17:$N$36,IF(C46=3,'06.08.18'!$A$17:$N$36,IF(C46=4,'09.08.18'!$A$17:$N$36,IF(C46=5,'13.08.18'!$A$17:$N$36,IF(C46=6,'20.08.18'!$A$17:$N$36,IF(C46=7,'24.08.18'!$A$38:$N$40,IF(C46=8,'27.08.18'!$A$38:$N$40,'03.09.18'!$A$38:$N$40)))))))),2,FALSE)</f>
        <v>43318.428472222222</v>
      </c>
      <c r="J46" s="101">
        <f t="shared" si="9"/>
        <v>2018</v>
      </c>
      <c r="K46" s="101">
        <f t="shared" si="10"/>
        <v>8</v>
      </c>
      <c r="L46" s="101">
        <f t="shared" si="11"/>
        <v>6.4284722222218988</v>
      </c>
      <c r="M46" s="101" t="s">
        <v>164</v>
      </c>
      <c r="N46" s="102">
        <f t="shared" si="4"/>
        <v>9.7270833333313931</v>
      </c>
      <c r="O46" s="101">
        <f>IFERROR(VLOOKUP($A46,IF(C46=1,'30.07.18'!$A$17:$N$36,IF(C46=2,'02.08.18'!$A$17:$N$36,IF(C46=3,'06.08.18'!$A$17:$N$36,IF(C46=4,'09.08.18'!$A$17:$N$36,IF(C46=5,'13.08.18'!$A$17:$N$36,IF(C46=6,'20.08.18'!$A$17:$N$36,IF(C46=7,'24.08.18'!$A$38:$N$40,IF(C46=8,'27.08.18'!$A$38:$N$40,'03.09.18'!$A$38:$N$40)))))))),14,FALSE),"")</f>
        <v>7.301531778700447</v>
      </c>
      <c r="P46" s="102">
        <f t="shared" si="5"/>
        <v>9.7270833333313931</v>
      </c>
    </row>
    <row r="47" spans="1:16">
      <c r="A47" s="101" t="s">
        <v>15</v>
      </c>
      <c r="B47" s="101" t="str">
        <f t="shared" si="0"/>
        <v>MB</v>
      </c>
      <c r="C47" s="101">
        <f t="shared" si="13"/>
        <v>3</v>
      </c>
      <c r="D47" s="101" t="str">
        <f t="shared" si="6"/>
        <v/>
      </c>
      <c r="E47" s="101">
        <f>VLOOKUP($A47,'30.07.18'!$A$17:$I$36,9,FALSE)</f>
        <v>43308.701388888891</v>
      </c>
      <c r="F47" s="101">
        <f t="shared" si="1"/>
        <v>2018</v>
      </c>
      <c r="G47" s="101">
        <f t="shared" si="7"/>
        <v>7</v>
      </c>
      <c r="H47" s="101">
        <f t="shared" si="8"/>
        <v>27.701388888890506</v>
      </c>
      <c r="I47" s="103">
        <f>VLOOKUP($A47,IF(C47=1,'30.07.18'!$A$17:$N$36,IF(C47=2,'02.08.18'!$A$17:$N$36,IF(C47=3,'06.08.18'!$A$17:$N$36,IF(C47=4,'09.08.18'!$A$17:$N$36,IF(C47=5,'13.08.18'!$A$17:$N$36,IF(C47=6,'20.08.18'!$A$17:$N$36,IF(C47=7,'24.08.18'!$A$38:$N$40,IF(C47=8,'27.08.18'!$A$38:$N$40,'03.09.18'!$A$38:$N$40)))))))),2,FALSE)</f>
        <v>43318.427083333336</v>
      </c>
      <c r="J47" s="101">
        <f t="shared" si="9"/>
        <v>2018</v>
      </c>
      <c r="K47" s="101">
        <f t="shared" si="10"/>
        <v>8</v>
      </c>
      <c r="L47" s="101">
        <f t="shared" si="11"/>
        <v>6.4270833333357587</v>
      </c>
      <c r="M47" s="101" t="s">
        <v>164</v>
      </c>
      <c r="N47" s="102">
        <f t="shared" si="4"/>
        <v>9.7256944444452529</v>
      </c>
      <c r="O47" s="101">
        <f>IFERROR(VLOOKUP($A47,IF(C47=1,'30.07.18'!$A$17:$N$36,IF(C47=2,'02.08.18'!$A$17:$N$36,IF(C47=3,'06.08.18'!$A$17:$N$36,IF(C47=4,'09.08.18'!$A$17:$N$36,IF(C47=5,'13.08.18'!$A$17:$N$36,IF(C47=6,'20.08.18'!$A$17:$N$36,IF(C47=7,'24.08.18'!$A$38:$N$40,IF(C47=8,'27.08.18'!$A$38:$N$40,'03.09.18'!$A$38:$N$40)))))))),14,FALSE),"")</f>
        <v>7.2076258471620127</v>
      </c>
      <c r="P47" s="102">
        <f t="shared" si="5"/>
        <v>9.7256944444452529</v>
      </c>
    </row>
    <row r="48" spans="1:16">
      <c r="A48" s="101" t="s">
        <v>16</v>
      </c>
      <c r="B48" s="101" t="str">
        <f t="shared" si="0"/>
        <v>SA</v>
      </c>
      <c r="C48" s="101">
        <f t="shared" si="13"/>
        <v>3</v>
      </c>
      <c r="D48" s="101" t="str">
        <f t="shared" si="6"/>
        <v/>
      </c>
      <c r="E48" s="101">
        <f>VLOOKUP($A48,'30.07.18'!$A$17:$I$36,9,FALSE)</f>
        <v>43308.723611111112</v>
      </c>
      <c r="F48" s="101">
        <f t="shared" si="1"/>
        <v>2018</v>
      </c>
      <c r="G48" s="101">
        <f t="shared" si="7"/>
        <v>7</v>
      </c>
      <c r="H48" s="101">
        <f t="shared" si="8"/>
        <v>27.723611111112405</v>
      </c>
      <c r="I48" s="103">
        <f>VLOOKUP($A48,IF(C48=1,'30.07.18'!$A$17:$N$36,IF(C48=2,'02.08.18'!$A$17:$N$36,IF(C48=3,'06.08.18'!$A$17:$N$36,IF(C48=4,'09.08.18'!$A$17:$N$36,IF(C48=5,'13.08.18'!$A$17:$N$36,IF(C48=6,'20.08.18'!$A$17:$N$36,IF(C48=7,'24.08.18'!$A$38:$N$40,IF(C48=8,'27.08.18'!$A$38:$N$40,'03.09.18'!$A$38:$N$40)))))))),2,FALSE)</f>
        <v>0</v>
      </c>
      <c r="J48" s="101">
        <f t="shared" si="9"/>
        <v>1900</v>
      </c>
      <c r="K48" s="101">
        <f t="shared" si="10"/>
        <v>1</v>
      </c>
      <c r="L48" s="101">
        <f t="shared" si="11"/>
        <v>0</v>
      </c>
      <c r="M48" s="101" t="s">
        <v>164</v>
      </c>
      <c r="N48" s="102" t="str">
        <f t="shared" si="4"/>
        <v/>
      </c>
      <c r="O48" s="101" t="str">
        <f>IFERROR(VLOOKUP($A48,IF(C48=1,'30.07.18'!$A$17:$N$36,IF(C48=2,'02.08.18'!$A$17:$N$36,IF(C48=3,'06.08.18'!$A$17:$N$36,IF(C48=4,'09.08.18'!$A$17:$N$36,IF(C48=5,'13.08.18'!$A$17:$N$36,IF(C48=6,'20.08.18'!$A$17:$N$36,IF(C48=7,'24.08.18'!$A$38:$N$40,IF(C48=8,'27.08.18'!$A$38:$N$40,'03.09.18'!$A$38:$N$40)))))))),14,FALSE),"")</f>
        <v/>
      </c>
      <c r="P48" s="102" t="str">
        <f t="shared" si="5"/>
        <v/>
      </c>
    </row>
    <row r="49" spans="1:16">
      <c r="A49" s="101" t="s">
        <v>17</v>
      </c>
      <c r="B49" s="101" t="str">
        <f t="shared" si="0"/>
        <v>SA</v>
      </c>
      <c r="C49" s="101">
        <f t="shared" si="13"/>
        <v>3</v>
      </c>
      <c r="D49" s="101" t="str">
        <f t="shared" si="6"/>
        <v/>
      </c>
      <c r="E49" s="101">
        <f>VLOOKUP($A49,'30.07.18'!$A$17:$I$36,9,FALSE)</f>
        <v>43308.723611111112</v>
      </c>
      <c r="F49" s="101">
        <f t="shared" si="1"/>
        <v>2018</v>
      </c>
      <c r="G49" s="101">
        <f t="shared" si="7"/>
        <v>7</v>
      </c>
      <c r="H49" s="101">
        <f t="shared" si="8"/>
        <v>27.723611111112405</v>
      </c>
      <c r="I49" s="103">
        <f>VLOOKUP($A49,IF(C49=1,'30.07.18'!$A$17:$N$36,IF(C49=2,'02.08.18'!$A$17:$N$36,IF(C49=3,'06.08.18'!$A$17:$N$36,IF(C49=4,'09.08.18'!$A$17:$N$36,IF(C49=5,'13.08.18'!$A$17:$N$36,IF(C49=6,'20.08.18'!$A$17:$N$36,IF(C49=7,'24.08.18'!$A$38:$N$40,IF(C49=8,'27.08.18'!$A$38:$N$40,'03.09.18'!$A$38:$N$40)))))))),2,FALSE)</f>
        <v>0</v>
      </c>
      <c r="J49" s="101">
        <f t="shared" si="9"/>
        <v>1900</v>
      </c>
      <c r="K49" s="101">
        <f t="shared" si="10"/>
        <v>1</v>
      </c>
      <c r="L49" s="101">
        <f t="shared" si="11"/>
        <v>0</v>
      </c>
      <c r="M49" s="101" t="s">
        <v>164</v>
      </c>
      <c r="N49" s="102" t="str">
        <f t="shared" si="4"/>
        <v/>
      </c>
      <c r="O49" s="101" t="str">
        <f>IFERROR(VLOOKUP($A49,IF(C49=1,'30.07.18'!$A$17:$N$36,IF(C49=2,'02.08.18'!$A$17:$N$36,IF(C49=3,'06.08.18'!$A$17:$N$36,IF(C49=4,'09.08.18'!$A$17:$N$36,IF(C49=5,'13.08.18'!$A$17:$N$36,IF(C49=6,'20.08.18'!$A$17:$N$36,IF(C49=7,'24.08.18'!$A$38:$N$40,IF(C49=8,'27.08.18'!$A$38:$N$40,'03.09.18'!$A$38:$N$40)))))))),14,FALSE),"")</f>
        <v/>
      </c>
      <c r="P49" s="102" t="str">
        <f t="shared" si="5"/>
        <v/>
      </c>
    </row>
    <row r="50" spans="1:16">
      <c r="A50" s="101" t="s">
        <v>18</v>
      </c>
      <c r="B50" s="101" t="str">
        <f t="shared" si="0"/>
        <v>SA</v>
      </c>
      <c r="C50" s="101">
        <f t="shared" si="13"/>
        <v>3</v>
      </c>
      <c r="D50" s="101" t="str">
        <f t="shared" si="6"/>
        <v/>
      </c>
      <c r="E50" s="101">
        <f>VLOOKUP($A50,'30.07.18'!$A$17:$I$36,9,FALSE)</f>
        <v>43308.723611111112</v>
      </c>
      <c r="F50" s="101">
        <f t="shared" si="1"/>
        <v>2018</v>
      </c>
      <c r="G50" s="101">
        <f t="shared" si="7"/>
        <v>7</v>
      </c>
      <c r="H50" s="101">
        <f t="shared" si="8"/>
        <v>27.723611111112405</v>
      </c>
      <c r="I50" s="103">
        <f>VLOOKUP($A50,IF(C50=1,'30.07.18'!$A$17:$N$36,IF(C50=2,'02.08.18'!$A$17:$N$36,IF(C50=3,'06.08.18'!$A$17:$N$36,IF(C50=4,'09.08.18'!$A$17:$N$36,IF(C50=5,'13.08.18'!$A$17:$N$36,IF(C50=6,'20.08.18'!$A$17:$N$36,IF(C50=7,'24.08.18'!$A$38:$N$40,IF(C50=8,'27.08.18'!$A$38:$N$40,'03.09.18'!$A$38:$N$40)))))))),2,FALSE)</f>
        <v>0</v>
      </c>
      <c r="J50" s="101">
        <f t="shared" si="9"/>
        <v>1900</v>
      </c>
      <c r="K50" s="101">
        <f t="shared" si="10"/>
        <v>1</v>
      </c>
      <c r="L50" s="101">
        <f t="shared" si="11"/>
        <v>0</v>
      </c>
      <c r="M50" s="101" t="s">
        <v>164</v>
      </c>
      <c r="N50" s="102" t="str">
        <f t="shared" si="4"/>
        <v/>
      </c>
      <c r="O50" s="101" t="str">
        <f>IFERROR(VLOOKUP($A50,IF(C50=1,'30.07.18'!$A$17:$N$36,IF(C50=2,'02.08.18'!$A$17:$N$36,IF(C50=3,'06.08.18'!$A$17:$N$36,IF(C50=4,'09.08.18'!$A$17:$N$36,IF(C50=5,'13.08.18'!$A$17:$N$36,IF(C50=6,'20.08.18'!$A$17:$N$36,IF(C50=7,'24.08.18'!$A$38:$N$40,IF(C50=8,'27.08.18'!$A$38:$N$40,'03.09.18'!$A$38:$N$40)))))))),14,FALSE),"")</f>
        <v/>
      </c>
      <c r="P50" s="102" t="str">
        <f t="shared" si="5"/>
        <v/>
      </c>
    </row>
    <row r="51" spans="1:16">
      <c r="A51" s="101" t="s">
        <v>19</v>
      </c>
      <c r="B51" s="101" t="str">
        <f t="shared" si="0"/>
        <v>SB</v>
      </c>
      <c r="C51" s="101">
        <f t="shared" si="13"/>
        <v>3</v>
      </c>
      <c r="D51" s="101" t="str">
        <f t="shared" si="6"/>
        <v/>
      </c>
      <c r="E51" s="101">
        <f>VLOOKUP($A51,'30.07.18'!$A$17:$I$36,9,FALSE)</f>
        <v>43308.723611111112</v>
      </c>
      <c r="F51" s="101">
        <f t="shared" si="1"/>
        <v>2018</v>
      </c>
      <c r="G51" s="101">
        <f t="shared" si="7"/>
        <v>7</v>
      </c>
      <c r="H51" s="101">
        <f t="shared" si="8"/>
        <v>27.723611111112405</v>
      </c>
      <c r="I51" s="103">
        <f>VLOOKUP($A51,IF(C51=1,'30.07.18'!$A$17:$N$36,IF(C51=2,'02.08.18'!$A$17:$N$36,IF(C51=3,'06.08.18'!$A$17:$N$36,IF(C51=4,'09.08.18'!$A$17:$N$36,IF(C51=5,'13.08.18'!$A$17:$N$36,IF(C51=6,'20.08.18'!$A$17:$N$36,IF(C51=7,'24.08.18'!$A$38:$N$40,IF(C51=8,'27.08.18'!$A$38:$N$40,'03.09.18'!$A$38:$N$40)))))))),2,FALSE)</f>
        <v>43318.423611111109</v>
      </c>
      <c r="J51" s="101">
        <f t="shared" si="9"/>
        <v>2018</v>
      </c>
      <c r="K51" s="101">
        <f t="shared" si="10"/>
        <v>8</v>
      </c>
      <c r="L51" s="101">
        <f t="shared" si="11"/>
        <v>6.4236111111094942</v>
      </c>
      <c r="M51" s="101" t="s">
        <v>164</v>
      </c>
      <c r="N51" s="102">
        <f t="shared" si="4"/>
        <v>9.6999999999970896</v>
      </c>
      <c r="O51" s="101">
        <f>IFERROR(VLOOKUP($A51,IF(C51=1,'30.07.18'!$A$17:$N$36,IF(C51=2,'02.08.18'!$A$17:$N$36,IF(C51=3,'06.08.18'!$A$17:$N$36,IF(C51=4,'09.08.18'!$A$17:$N$36,IF(C51=5,'13.08.18'!$A$17:$N$36,IF(C51=6,'20.08.18'!$A$17:$N$36,IF(C51=7,'24.08.18'!$A$38:$N$40,IF(C51=8,'27.08.18'!$A$38:$N$40,'03.09.18'!$A$38:$N$40)))))))),14,FALSE),"")</f>
        <v>12.902300605543143</v>
      </c>
      <c r="P51" s="102">
        <f t="shared" si="5"/>
        <v>9.6999999999970896</v>
      </c>
    </row>
    <row r="52" spans="1:16">
      <c r="A52" s="101" t="s">
        <v>20</v>
      </c>
      <c r="B52" s="101" t="str">
        <f t="shared" si="0"/>
        <v>SB</v>
      </c>
      <c r="C52" s="101">
        <f t="shared" si="13"/>
        <v>3</v>
      </c>
      <c r="D52" s="101" t="str">
        <f t="shared" si="6"/>
        <v/>
      </c>
      <c r="E52" s="101">
        <f>VLOOKUP($A52,'30.07.18'!$A$17:$I$36,9,FALSE)</f>
        <v>43308.723611111112</v>
      </c>
      <c r="F52" s="101">
        <f t="shared" si="1"/>
        <v>2018</v>
      </c>
      <c r="G52" s="101">
        <f t="shared" si="7"/>
        <v>7</v>
      </c>
      <c r="H52" s="101">
        <f t="shared" si="8"/>
        <v>27.723611111112405</v>
      </c>
      <c r="I52" s="103">
        <f>VLOOKUP($A52,IF(C52=1,'30.07.18'!$A$17:$N$36,IF(C52=2,'02.08.18'!$A$17:$N$36,IF(C52=3,'06.08.18'!$A$17:$N$36,IF(C52=4,'09.08.18'!$A$17:$N$36,IF(C52=5,'13.08.18'!$A$17:$N$36,IF(C52=6,'20.08.18'!$A$17:$N$36,IF(C52=7,'24.08.18'!$A$38:$N$40,IF(C52=8,'27.08.18'!$A$38:$N$40,'03.09.18'!$A$38:$N$40)))))))),2,FALSE)</f>
        <v>43318.422222222223</v>
      </c>
      <c r="J52" s="101">
        <f t="shared" si="9"/>
        <v>2018</v>
      </c>
      <c r="K52" s="101">
        <f t="shared" si="10"/>
        <v>8</v>
      </c>
      <c r="L52" s="101">
        <f t="shared" si="11"/>
        <v>6.422222222223354</v>
      </c>
      <c r="M52" s="101" t="s">
        <v>164</v>
      </c>
      <c r="N52" s="102">
        <f t="shared" si="4"/>
        <v>9.6986111111109494</v>
      </c>
      <c r="O52" s="101">
        <f>IFERROR(VLOOKUP($A52,IF(C52=1,'30.07.18'!$A$17:$N$36,IF(C52=2,'02.08.18'!$A$17:$N$36,IF(C52=3,'06.08.18'!$A$17:$N$36,IF(C52=4,'09.08.18'!$A$17:$N$36,IF(C52=5,'13.08.18'!$A$17:$N$36,IF(C52=6,'20.08.18'!$A$17:$N$36,IF(C52=7,'24.08.18'!$A$38:$N$40,IF(C52=8,'27.08.18'!$A$38:$N$40,'03.09.18'!$A$38:$N$40)))))))),14,FALSE),"")</f>
        <v>13.435830370119884</v>
      </c>
      <c r="P52" s="102">
        <f t="shared" si="5"/>
        <v>9.6986111111109494</v>
      </c>
    </row>
    <row r="53" spans="1:16">
      <c r="A53" s="101" t="s">
        <v>21</v>
      </c>
      <c r="B53" s="101" t="str">
        <f t="shared" si="0"/>
        <v>SB</v>
      </c>
      <c r="C53" s="101">
        <f t="shared" si="13"/>
        <v>3</v>
      </c>
      <c r="D53" s="101" t="str">
        <f t="shared" si="6"/>
        <v/>
      </c>
      <c r="E53" s="101">
        <f>VLOOKUP($A53,'30.07.18'!$A$17:$I$36,9,FALSE)</f>
        <v>43308.729166666664</v>
      </c>
      <c r="F53" s="101">
        <f t="shared" si="1"/>
        <v>2018</v>
      </c>
      <c r="G53" s="101">
        <f t="shared" si="7"/>
        <v>7</v>
      </c>
      <c r="H53" s="101">
        <f t="shared" si="8"/>
        <v>27.729166666664241</v>
      </c>
      <c r="I53" s="103">
        <f>VLOOKUP($A53,IF(C53=1,'30.07.18'!$A$17:$N$36,IF(C53=2,'02.08.18'!$A$17:$N$36,IF(C53=3,'06.08.18'!$A$17:$N$36,IF(C53=4,'09.08.18'!$A$17:$N$36,IF(C53=5,'13.08.18'!$A$17:$N$36,IF(C53=6,'20.08.18'!$A$17:$N$36,IF(C53=7,'24.08.18'!$A$38:$N$40,IF(C53=8,'27.08.18'!$A$38:$N$40,'03.09.18'!$A$38:$N$40)))))))),2,FALSE)</f>
        <v>43318.42083333333</v>
      </c>
      <c r="J53" s="101">
        <f t="shared" si="9"/>
        <v>2018</v>
      </c>
      <c r="K53" s="101">
        <f t="shared" si="10"/>
        <v>8</v>
      </c>
      <c r="L53" s="101">
        <f t="shared" si="11"/>
        <v>6.4208333333299379</v>
      </c>
      <c r="M53" s="101" t="s">
        <v>164</v>
      </c>
      <c r="N53" s="102">
        <f t="shared" si="4"/>
        <v>9.6916666666656965</v>
      </c>
      <c r="O53" s="101">
        <f>IFERROR(VLOOKUP($A53,IF(C53=1,'30.07.18'!$A$17:$N$36,IF(C53=2,'02.08.18'!$A$17:$N$36,IF(C53=3,'06.08.18'!$A$17:$N$36,IF(C53=4,'09.08.18'!$A$17:$N$36,IF(C53=5,'13.08.18'!$A$17:$N$36,IF(C53=6,'20.08.18'!$A$17:$N$36,IF(C53=7,'24.08.18'!$A$38:$N$40,IF(C53=8,'27.08.18'!$A$38:$N$40,'03.09.18'!$A$38:$N$40)))))))),14,FALSE),"")</f>
        <v>13.093738116895368</v>
      </c>
      <c r="P53" s="102">
        <f t="shared" si="5"/>
        <v>9.6916666666656965</v>
      </c>
    </row>
    <row r="54" spans="1:16">
      <c r="A54" s="101" t="s">
        <v>22</v>
      </c>
      <c r="B54" s="101" t="str">
        <f t="shared" si="0"/>
        <v>Du123</v>
      </c>
      <c r="C54" s="101">
        <f t="shared" si="13"/>
        <v>3</v>
      </c>
      <c r="D54" s="101" t="str">
        <f t="shared" si="6"/>
        <v/>
      </c>
      <c r="E54" s="101">
        <f>VLOOKUP($A54,'30.07.18'!$A$17:$I$36,9,FALSE)</f>
        <v>43308.729166666664</v>
      </c>
      <c r="F54" s="101">
        <f t="shared" si="1"/>
        <v>2018</v>
      </c>
      <c r="G54" s="101">
        <f t="shared" si="7"/>
        <v>7</v>
      </c>
      <c r="H54" s="101">
        <f t="shared" si="8"/>
        <v>27.729166666664241</v>
      </c>
      <c r="I54" s="103">
        <f>VLOOKUP($A54,IF(C54=1,'30.07.18'!$A$17:$N$36,IF(C54=2,'02.08.18'!$A$17:$N$36,IF(C54=3,'06.08.18'!$A$17:$N$36,IF(C54=4,'09.08.18'!$A$17:$N$36,IF(C54=5,'13.08.18'!$A$17:$N$36,IF(C54=6,'20.08.18'!$A$17:$N$36,IF(C54=7,'24.08.18'!$A$38:$N$40,IF(C54=8,'27.08.18'!$A$38:$N$40,'03.09.18'!$A$38:$N$40)))))))),2,FALSE)</f>
        <v>0</v>
      </c>
      <c r="J54" s="101">
        <f t="shared" si="9"/>
        <v>1900</v>
      </c>
      <c r="K54" s="101">
        <f t="shared" si="10"/>
        <v>1</v>
      </c>
      <c r="L54" s="101">
        <f t="shared" si="11"/>
        <v>0</v>
      </c>
      <c r="M54" s="101" t="s">
        <v>164</v>
      </c>
      <c r="N54" s="102" t="str">
        <f t="shared" si="4"/>
        <v/>
      </c>
      <c r="O54" s="101" t="str">
        <f>IFERROR(VLOOKUP($A54,IF(C54=1,'30.07.18'!$A$17:$N$36,IF(C54=2,'02.08.18'!$A$17:$N$36,IF(C54=3,'06.08.18'!$A$17:$N$36,IF(C54=4,'09.08.18'!$A$17:$N$36,IF(C54=5,'13.08.18'!$A$17:$N$36,IF(C54=6,'20.08.18'!$A$17:$N$36,IF(C54=7,'24.08.18'!$A$38:$N$40,IF(C54=8,'27.08.18'!$A$38:$N$40,'03.09.18'!$A$38:$N$40)))))))),14,FALSE),"")</f>
        <v/>
      </c>
      <c r="P54" s="102" t="str">
        <f t="shared" si="5"/>
        <v/>
      </c>
    </row>
    <row r="55" spans="1:16">
      <c r="A55" s="101" t="s">
        <v>23</v>
      </c>
      <c r="B55" s="101" t="str">
        <f t="shared" si="0"/>
        <v>Du120</v>
      </c>
      <c r="C55" s="101">
        <f t="shared" si="13"/>
        <v>3</v>
      </c>
      <c r="D55" s="101" t="str">
        <f t="shared" si="6"/>
        <v/>
      </c>
      <c r="E55" s="101">
        <f>VLOOKUP($A55,'30.07.18'!$A$17:$I$36,9,FALSE)</f>
        <v>43308.729166666664</v>
      </c>
      <c r="F55" s="101">
        <f t="shared" si="1"/>
        <v>2018</v>
      </c>
      <c r="G55" s="101">
        <f t="shared" si="7"/>
        <v>7</v>
      </c>
      <c r="H55" s="101">
        <f t="shared" si="8"/>
        <v>27.729166666664241</v>
      </c>
      <c r="I55" s="103">
        <f>VLOOKUP($A55,IF(C55=1,'30.07.18'!$A$17:$N$36,IF(C55=2,'02.08.18'!$A$17:$N$36,IF(C55=3,'06.08.18'!$A$17:$N$36,IF(C55=4,'09.08.18'!$A$17:$N$36,IF(C55=5,'13.08.18'!$A$17:$N$36,IF(C55=6,'20.08.18'!$A$17:$N$36,IF(C55=7,'24.08.18'!$A$38:$N$40,IF(C55=8,'27.08.18'!$A$38:$N$40,'03.09.18'!$A$38:$N$40)))))))),2,FALSE)</f>
        <v>43318.425000000003</v>
      </c>
      <c r="J55" s="101">
        <f t="shared" si="9"/>
        <v>2018</v>
      </c>
      <c r="K55" s="101">
        <f t="shared" si="10"/>
        <v>8</v>
      </c>
      <c r="L55" s="101">
        <f t="shared" si="11"/>
        <v>6.4250000000029104</v>
      </c>
      <c r="M55" s="101" t="s">
        <v>164</v>
      </c>
      <c r="N55" s="102">
        <f t="shared" si="4"/>
        <v>9.695833333338669</v>
      </c>
      <c r="O55" s="101">
        <f>IFERROR(VLOOKUP($A55,IF(C55=1,'30.07.18'!$A$17:$N$36,IF(C55=2,'02.08.18'!$A$17:$N$36,IF(C55=3,'06.08.18'!$A$17:$N$36,IF(C55=4,'09.08.18'!$A$17:$N$36,IF(C55=5,'13.08.18'!$A$17:$N$36,IF(C55=6,'20.08.18'!$A$17:$N$36,IF(C55=7,'24.08.18'!$A$38:$N$40,IF(C55=8,'27.08.18'!$A$38:$N$40,'03.09.18'!$A$38:$N$40)))))))),14,FALSE),"")</f>
        <v>12.794018919774029</v>
      </c>
      <c r="P55" s="102">
        <f t="shared" si="5"/>
        <v>9.695833333338669</v>
      </c>
    </row>
    <row r="56" spans="1:16">
      <c r="A56" s="101" t="s">
        <v>24</v>
      </c>
      <c r="B56" s="101" t="str">
        <f t="shared" si="0"/>
        <v>TVA 4E C</v>
      </c>
      <c r="C56" s="101">
        <f t="shared" si="13"/>
        <v>3</v>
      </c>
      <c r="D56" s="101" t="str">
        <f t="shared" si="6"/>
        <v/>
      </c>
      <c r="E56" s="101">
        <f>VLOOKUP($A56,'30.07.18'!$A$17:$I$36,9,FALSE)</f>
        <v>43308.729166666664</v>
      </c>
      <c r="F56" s="101">
        <f t="shared" si="1"/>
        <v>2018</v>
      </c>
      <c r="G56" s="101">
        <f t="shared" si="7"/>
        <v>7</v>
      </c>
      <c r="H56" s="101">
        <f t="shared" si="8"/>
        <v>27.729166666664241</v>
      </c>
      <c r="I56" s="103">
        <f>VLOOKUP($A56,IF(C56=1,'30.07.18'!$A$17:$N$36,IF(C56=2,'02.08.18'!$A$17:$N$36,IF(C56=3,'06.08.18'!$A$17:$N$36,IF(C56=4,'09.08.18'!$A$17:$N$36,IF(C56=5,'13.08.18'!$A$17:$N$36,IF(C56=6,'20.08.18'!$A$17:$N$36,IF(C56=7,'24.08.18'!$A$38:$N$40,IF(C56=8,'27.08.18'!$A$38:$N$40,'03.09.18'!$A$38:$N$40)))))))),2,FALSE)</f>
        <v>0</v>
      </c>
      <c r="J56" s="101">
        <f t="shared" si="9"/>
        <v>1900</v>
      </c>
      <c r="K56" s="101">
        <f t="shared" si="10"/>
        <v>1</v>
      </c>
      <c r="L56" s="101">
        <f t="shared" si="11"/>
        <v>0</v>
      </c>
      <c r="M56" s="101" t="s">
        <v>164</v>
      </c>
      <c r="N56" s="102" t="str">
        <f t="shared" si="4"/>
        <v/>
      </c>
      <c r="O56" s="101" t="str">
        <f>IFERROR(VLOOKUP($A56,IF(C56=1,'30.07.18'!$A$17:$N$36,IF(C56=2,'02.08.18'!$A$17:$N$36,IF(C56=3,'06.08.18'!$A$17:$N$36,IF(C56=4,'09.08.18'!$A$17:$N$36,IF(C56=5,'13.08.18'!$A$17:$N$36,IF(C56=6,'20.08.18'!$A$17:$N$36,IF(C56=7,'24.08.18'!$A$38:$N$40,IF(C56=8,'27.08.18'!$A$38:$N$40,'03.09.18'!$A$38:$N$40)))))))),14,FALSE),"")</f>
        <v/>
      </c>
      <c r="P56" s="102" t="str">
        <f t="shared" si="5"/>
        <v/>
      </c>
    </row>
    <row r="57" spans="1:16">
      <c r="A57" s="101" t="s">
        <v>25</v>
      </c>
      <c r="B57" s="101" t="str">
        <f t="shared" si="0"/>
        <v>TVA 6E C</v>
      </c>
      <c r="C57" s="101">
        <f t="shared" si="13"/>
        <v>3</v>
      </c>
      <c r="D57" s="101" t="str">
        <f t="shared" si="6"/>
        <v/>
      </c>
      <c r="E57" s="101">
        <f>VLOOKUP($A57,'30.07.18'!$A$17:$I$36,9,FALSE)</f>
        <v>43308.73541666667</v>
      </c>
      <c r="F57" s="101">
        <f t="shared" si="1"/>
        <v>2018</v>
      </c>
      <c r="G57" s="101">
        <f t="shared" si="7"/>
        <v>7</v>
      </c>
      <c r="H57" s="101">
        <f t="shared" si="8"/>
        <v>27.735416666670062</v>
      </c>
      <c r="I57" s="103">
        <f>VLOOKUP($A57,IF(C57=1,'30.07.18'!$A$17:$N$36,IF(C57=2,'02.08.18'!$A$17:$N$36,IF(C57=3,'06.08.18'!$A$17:$N$36,IF(C57=4,'09.08.18'!$A$17:$N$36,IF(C57=5,'13.08.18'!$A$17:$N$36,IF(C57=6,'20.08.18'!$A$17:$N$36,IF(C57=7,'24.08.18'!$A$38:$N$40,IF(C57=8,'27.08.18'!$A$38:$N$40,'03.09.18'!$A$38:$N$40)))))))),2,FALSE)</f>
        <v>0</v>
      </c>
      <c r="J57" s="101">
        <f t="shared" si="9"/>
        <v>1900</v>
      </c>
      <c r="K57" s="101">
        <f t="shared" si="10"/>
        <v>1</v>
      </c>
      <c r="L57" s="101">
        <f t="shared" si="11"/>
        <v>0</v>
      </c>
      <c r="M57" s="101" t="s">
        <v>164</v>
      </c>
      <c r="N57" s="102" t="str">
        <f t="shared" si="4"/>
        <v/>
      </c>
      <c r="O57" s="101" t="str">
        <f>IFERROR(VLOOKUP($A57,IF(C57=1,'30.07.18'!$A$17:$N$36,IF(C57=2,'02.08.18'!$A$17:$N$36,IF(C57=3,'06.08.18'!$A$17:$N$36,IF(C57=4,'09.08.18'!$A$17:$N$36,IF(C57=5,'13.08.18'!$A$17:$N$36,IF(C57=6,'20.08.18'!$A$17:$N$36,IF(C57=7,'24.08.18'!$A$38:$N$40,IF(C57=8,'27.08.18'!$A$38:$N$40,'03.09.18'!$A$38:$N$40)))))))),14,FALSE),"")</f>
        <v/>
      </c>
      <c r="P57" s="102" t="str">
        <f t="shared" si="5"/>
        <v/>
      </c>
    </row>
    <row r="58" spans="1:16">
      <c r="A58" s="101" t="s">
        <v>26</v>
      </c>
      <c r="B58" s="101" t="str">
        <f t="shared" si="0"/>
        <v>TVA 8E C</v>
      </c>
      <c r="C58" s="101">
        <f t="shared" si="13"/>
        <v>3</v>
      </c>
      <c r="D58" s="101" t="str">
        <f t="shared" si="6"/>
        <v/>
      </c>
      <c r="E58" s="101">
        <f>VLOOKUP($A58,'30.07.18'!$A$17:$I$36,9,FALSE)</f>
        <v>43308.73541666667</v>
      </c>
      <c r="F58" s="101">
        <f t="shared" si="1"/>
        <v>2018</v>
      </c>
      <c r="G58" s="101">
        <f t="shared" si="7"/>
        <v>7</v>
      </c>
      <c r="H58" s="101">
        <f t="shared" si="8"/>
        <v>27.735416666670062</v>
      </c>
      <c r="I58" s="103">
        <f>VLOOKUP($A58,IF(C58=1,'30.07.18'!$A$17:$N$36,IF(C58=2,'02.08.18'!$A$17:$N$36,IF(C58=3,'06.08.18'!$A$17:$N$36,IF(C58=4,'09.08.18'!$A$17:$N$36,IF(C58=5,'13.08.18'!$A$17:$N$36,IF(C58=6,'20.08.18'!$A$17:$N$36,IF(C58=7,'24.08.18'!$A$38:$N$40,IF(C58=8,'27.08.18'!$A$38:$N$40,'03.09.18'!$A$38:$N$40)))))))),2,FALSE)</f>
        <v>43318.419444444444</v>
      </c>
      <c r="J58" s="101">
        <f t="shared" si="9"/>
        <v>2018</v>
      </c>
      <c r="K58" s="101">
        <f t="shared" si="10"/>
        <v>8</v>
      </c>
      <c r="L58" s="101">
        <f t="shared" si="11"/>
        <v>6.4194444444437977</v>
      </c>
      <c r="M58" s="101" t="s">
        <v>164</v>
      </c>
      <c r="N58" s="102">
        <f t="shared" si="4"/>
        <v>9.6840277777737356</v>
      </c>
      <c r="O58" s="101">
        <f>IFERROR(VLOOKUP($A58,IF(C58=1,'30.07.18'!$A$17:$N$36,IF(C58=2,'02.08.18'!$A$17:$N$36,IF(C58=3,'06.08.18'!$A$17:$N$36,IF(C58=4,'09.08.18'!$A$17:$N$36,IF(C58=5,'13.08.18'!$A$17:$N$36,IF(C58=6,'20.08.18'!$A$17:$N$36,IF(C58=7,'24.08.18'!$A$38:$N$40,IF(C58=8,'27.08.18'!$A$38:$N$40,'03.09.18'!$A$38:$N$40)))))))),14,FALSE),"")</f>
        <v>70.776319489710019</v>
      </c>
      <c r="P58" s="102">
        <f t="shared" si="5"/>
        <v>9.6840277777737356</v>
      </c>
    </row>
    <row r="59" spans="1:16">
      <c r="A59" s="101" t="s">
        <v>27</v>
      </c>
      <c r="B59" s="101" t="str">
        <f t="shared" si="0"/>
        <v>TVA 2B C</v>
      </c>
      <c r="C59" s="101">
        <f t="shared" si="13"/>
        <v>3</v>
      </c>
      <c r="D59" s="101" t="str">
        <f t="shared" si="6"/>
        <v/>
      </c>
      <c r="E59" s="101">
        <f>VLOOKUP($A59,'30.07.18'!$A$17:$I$36,9,FALSE)</f>
        <v>43308.73541666667</v>
      </c>
      <c r="F59" s="101">
        <f t="shared" si="1"/>
        <v>2018</v>
      </c>
      <c r="G59" s="101">
        <f t="shared" si="7"/>
        <v>7</v>
      </c>
      <c r="H59" s="101">
        <f t="shared" si="8"/>
        <v>27.735416666670062</v>
      </c>
      <c r="I59" s="103">
        <f>VLOOKUP($A59,IF(C59=1,'30.07.18'!$A$17:$N$36,IF(C59=2,'02.08.18'!$A$17:$N$36,IF(C59=3,'06.08.18'!$A$17:$N$36,IF(C59=4,'09.08.18'!$A$17:$N$36,IF(C59=5,'13.08.18'!$A$17:$N$36,IF(C59=6,'20.08.18'!$A$17:$N$36,IF(C59=7,'24.08.18'!$A$38:$N$40,IF(C59=8,'27.08.18'!$A$38:$N$40,'03.09.18'!$A$38:$N$40)))))))),2,FALSE)</f>
        <v>0</v>
      </c>
      <c r="J59" s="101">
        <f t="shared" si="9"/>
        <v>1900</v>
      </c>
      <c r="K59" s="101">
        <f t="shared" si="10"/>
        <v>1</v>
      </c>
      <c r="L59" s="101">
        <f t="shared" si="11"/>
        <v>0</v>
      </c>
      <c r="M59" s="101" t="s">
        <v>164</v>
      </c>
      <c r="N59" s="102" t="str">
        <f t="shared" si="4"/>
        <v/>
      </c>
      <c r="O59" s="101" t="str">
        <f>IFERROR(VLOOKUP($A59,IF(C59=1,'30.07.18'!$A$17:$N$36,IF(C59=2,'02.08.18'!$A$17:$N$36,IF(C59=3,'06.08.18'!$A$17:$N$36,IF(C59=4,'09.08.18'!$A$17:$N$36,IF(C59=5,'13.08.18'!$A$17:$N$36,IF(C59=6,'20.08.18'!$A$17:$N$36,IF(C59=7,'24.08.18'!$A$38:$N$40,IF(C59=8,'27.08.18'!$A$38:$N$40,'03.09.18'!$A$38:$N$40)))))))),14,FALSE),"")</f>
        <v/>
      </c>
      <c r="P59" s="102" t="str">
        <f t="shared" si="5"/>
        <v/>
      </c>
    </row>
    <row r="60" spans="1:16">
      <c r="A60" s="101" t="s">
        <v>28</v>
      </c>
      <c r="B60" s="101" t="str">
        <f t="shared" si="0"/>
        <v>TVA 3B C</v>
      </c>
      <c r="C60" s="101">
        <f t="shared" si="13"/>
        <v>3</v>
      </c>
      <c r="D60" s="101" t="str">
        <f t="shared" si="6"/>
        <v/>
      </c>
      <c r="E60" s="101">
        <f>VLOOKUP($A60,'30.07.18'!$A$17:$I$36,9,FALSE)</f>
        <v>43308.73541666667</v>
      </c>
      <c r="F60" s="101">
        <f t="shared" si="1"/>
        <v>2018</v>
      </c>
      <c r="G60" s="101">
        <f t="shared" si="7"/>
        <v>7</v>
      </c>
      <c r="H60" s="101">
        <f t="shared" si="8"/>
        <v>27.735416666670062</v>
      </c>
      <c r="I60" s="103">
        <f>VLOOKUP($A60,IF(C60=1,'30.07.18'!$A$17:$N$36,IF(C60=2,'02.08.18'!$A$17:$N$36,IF(C60=3,'06.08.18'!$A$17:$N$36,IF(C60=4,'09.08.18'!$A$17:$N$36,IF(C60=5,'13.08.18'!$A$17:$N$36,IF(C60=6,'20.08.18'!$A$17:$N$36,IF(C60=7,'24.08.18'!$A$38:$N$40,IF(C60=8,'27.08.18'!$A$38:$N$40,'03.09.18'!$A$38:$N$40)))))))),2,FALSE)</f>
        <v>0</v>
      </c>
      <c r="J60" s="101">
        <f t="shared" si="9"/>
        <v>1900</v>
      </c>
      <c r="K60" s="101">
        <f t="shared" si="10"/>
        <v>1</v>
      </c>
      <c r="L60" s="101">
        <f t="shared" si="11"/>
        <v>0</v>
      </c>
      <c r="M60" s="101" t="s">
        <v>164</v>
      </c>
      <c r="N60" s="102" t="str">
        <f t="shared" si="4"/>
        <v/>
      </c>
      <c r="O60" s="101" t="str">
        <f>IFERROR(VLOOKUP($A60,IF(C60=1,'30.07.18'!$A$17:$N$36,IF(C60=2,'02.08.18'!$A$17:$N$36,IF(C60=3,'06.08.18'!$A$17:$N$36,IF(C60=4,'09.08.18'!$A$17:$N$36,IF(C60=5,'13.08.18'!$A$17:$N$36,IF(C60=6,'20.08.18'!$A$17:$N$36,IF(C60=7,'24.08.18'!$A$38:$N$40,IF(C60=8,'27.08.18'!$A$38:$N$40,'03.09.18'!$A$38:$N$40)))))))),14,FALSE),"")</f>
        <v/>
      </c>
      <c r="P60" s="102" t="str">
        <f t="shared" si="5"/>
        <v/>
      </c>
    </row>
    <row r="61" spans="1:16">
      <c r="A61" s="101" t="s">
        <v>29</v>
      </c>
      <c r="B61" s="101" t="str">
        <f t="shared" si="0"/>
        <v>TVA 5B C</v>
      </c>
      <c r="C61" s="101">
        <f t="shared" si="13"/>
        <v>3</v>
      </c>
      <c r="D61" s="101" t="str">
        <f t="shared" si="6"/>
        <v/>
      </c>
      <c r="E61" s="101">
        <f>VLOOKUP($A61,'30.07.18'!$A$17:$I$36,9,FALSE)</f>
        <v>43308.73541666667</v>
      </c>
      <c r="F61" s="101">
        <f t="shared" si="1"/>
        <v>2018</v>
      </c>
      <c r="G61" s="101">
        <f t="shared" si="7"/>
        <v>7</v>
      </c>
      <c r="H61" s="101">
        <f t="shared" si="8"/>
        <v>27.735416666670062</v>
      </c>
      <c r="I61" s="103">
        <f>VLOOKUP($A61,IF(C61=1,'30.07.18'!$A$17:$N$36,IF(C61=2,'02.08.18'!$A$17:$N$36,IF(C61=3,'06.08.18'!$A$17:$N$36,IF(C61=4,'09.08.18'!$A$17:$N$36,IF(C61=5,'13.08.18'!$A$17:$N$36,IF(C61=6,'20.08.18'!$A$17:$N$36,IF(C61=7,'24.08.18'!$A$38:$N$40,IF(C61=8,'27.08.18'!$A$38:$N$40,'03.09.18'!$A$38:$N$40)))))))),2,FALSE)</f>
        <v>0</v>
      </c>
      <c r="J61" s="101">
        <f t="shared" si="9"/>
        <v>1900</v>
      </c>
      <c r="K61" s="101">
        <f t="shared" si="10"/>
        <v>1</v>
      </c>
      <c r="L61" s="101">
        <f t="shared" si="11"/>
        <v>0</v>
      </c>
      <c r="M61" s="101" t="s">
        <v>164</v>
      </c>
      <c r="N61" s="102" t="str">
        <f t="shared" si="4"/>
        <v/>
      </c>
      <c r="O61" s="101" t="str">
        <f>IFERROR(VLOOKUP($A61,IF(C61=1,'30.07.18'!$A$17:$N$36,IF(C61=2,'02.08.18'!$A$17:$N$36,IF(C61=3,'06.08.18'!$A$17:$N$36,IF(C61=4,'09.08.18'!$A$17:$N$36,IF(C61=5,'13.08.18'!$A$17:$N$36,IF(C61=6,'20.08.18'!$A$17:$N$36,IF(C61=7,'24.08.18'!$A$38:$N$40,IF(C61=8,'27.08.18'!$A$38:$N$40,'03.09.18'!$A$38:$N$40)))))))),14,FALSE),"")</f>
        <v/>
      </c>
      <c r="P61" s="102" t="str">
        <f t="shared" si="5"/>
        <v/>
      </c>
    </row>
    <row r="62" spans="1:16">
      <c r="A62" s="101" t="s">
        <v>9</v>
      </c>
      <c r="B62" s="101" t="str">
        <f t="shared" si="0"/>
        <v>MA</v>
      </c>
      <c r="C62" s="101">
        <v>4</v>
      </c>
      <c r="D62" s="101" t="str">
        <f t="shared" si="6"/>
        <v>fix meas date</v>
      </c>
      <c r="E62" s="101">
        <f>VLOOKUP($A62,'30.07.18'!$A$17:$I$36,9,FALSE)</f>
        <v>43308.701388888891</v>
      </c>
      <c r="F62" s="101">
        <f t="shared" si="1"/>
        <v>2018</v>
      </c>
      <c r="G62" s="101">
        <f t="shared" si="7"/>
        <v>7</v>
      </c>
      <c r="H62" s="101">
        <f t="shared" si="8"/>
        <v>27.701388888890506</v>
      </c>
      <c r="I62" s="103">
        <f>VLOOKUP($A62,IF(C62=1,'30.07.18'!$A$17:$N$36,IF(C62=2,'02.08.18'!$A$17:$N$36,IF(C62=3,'06.08.18'!$A$17:$N$36,IF(C62=4,'09.08.18'!$A$17:$N$36,IF(C62=5,'13.08.18'!$A$17:$N$36,IF(C62=6,'20.08.18'!$A$17:$N$36,IF(C62=7,'24.08.18'!$A$38:$N$40,IF(C62=8,'27.08.18'!$A$38:$N$40,'03.09.18'!$A$38:$N$40)))))))),2,FALSE)</f>
        <v>0</v>
      </c>
      <c r="J62" s="101">
        <f t="shared" si="9"/>
        <v>1900</v>
      </c>
      <c r="K62" s="101">
        <f t="shared" si="10"/>
        <v>1</v>
      </c>
      <c r="L62" s="101">
        <f t="shared" si="11"/>
        <v>0</v>
      </c>
      <c r="M62" s="101" t="s">
        <v>164</v>
      </c>
      <c r="N62" s="102" t="str">
        <f t="shared" si="4"/>
        <v/>
      </c>
      <c r="O62" s="101" t="str">
        <f>IFERROR(VLOOKUP($A62,IF(C62=1,'30.07.18'!$A$17:$N$36,IF(C62=2,'02.08.18'!$A$17:$N$36,IF(C62=3,'06.08.18'!$A$17:$N$36,IF(C62=4,'09.08.18'!$A$17:$N$36,IF(C62=5,'13.08.18'!$A$17:$N$36,IF(C62=6,'20.08.18'!$A$17:$N$36,IF(C62=7,'24.08.18'!$A$38:$N$40,IF(C62=8,'27.08.18'!$A$38:$N$40,'03.09.18'!$A$38:$N$40)))))))),14,FALSE),"")</f>
        <v/>
      </c>
      <c r="P62" s="102" t="str">
        <f t="shared" si="5"/>
        <v/>
      </c>
    </row>
    <row r="63" spans="1:16">
      <c r="A63" s="101" t="s">
        <v>11</v>
      </c>
      <c r="B63" s="101" t="str">
        <f t="shared" si="0"/>
        <v>MA</v>
      </c>
      <c r="C63" s="101">
        <f t="shared" ref="C63:C94" si="14">C62</f>
        <v>4</v>
      </c>
      <c r="D63" s="101" t="str">
        <f t="shared" si="6"/>
        <v/>
      </c>
      <c r="E63" s="101">
        <f>VLOOKUP($A63,'30.07.18'!$A$17:$I$36,9,FALSE)</f>
        <v>43308.701388888891</v>
      </c>
      <c r="F63" s="101">
        <f t="shared" si="1"/>
        <v>2018</v>
      </c>
      <c r="G63" s="101">
        <f t="shared" si="7"/>
        <v>7</v>
      </c>
      <c r="H63" s="101">
        <f t="shared" si="8"/>
        <v>27.701388888890506</v>
      </c>
      <c r="I63" s="103">
        <f>VLOOKUP($A63,IF(C63=1,'30.07.18'!$A$17:$N$36,IF(C63=2,'02.08.18'!$A$17:$N$36,IF(C63=3,'06.08.18'!$A$17:$N$36,IF(C63=4,'09.08.18'!$A$17:$N$36,IF(C63=5,'13.08.18'!$A$17:$N$36,IF(C63=6,'20.08.18'!$A$17:$N$36,IF(C63=7,'24.08.18'!$A$38:$N$40,IF(C63=8,'27.08.18'!$A$38:$N$40,'03.09.18'!$A$38:$N$40)))))))),2,FALSE)</f>
        <v>0</v>
      </c>
      <c r="J63" s="101">
        <f t="shared" si="9"/>
        <v>1900</v>
      </c>
      <c r="K63" s="101">
        <f t="shared" si="10"/>
        <v>1</v>
      </c>
      <c r="L63" s="101">
        <f t="shared" si="11"/>
        <v>0</v>
      </c>
      <c r="M63" s="101" t="s">
        <v>164</v>
      </c>
      <c r="N63" s="102" t="str">
        <f t="shared" si="4"/>
        <v/>
      </c>
      <c r="O63" s="101" t="str">
        <f>IFERROR(VLOOKUP($A63,IF(C63=1,'30.07.18'!$A$17:$N$36,IF(C63=2,'02.08.18'!$A$17:$N$36,IF(C63=3,'06.08.18'!$A$17:$N$36,IF(C63=4,'09.08.18'!$A$17:$N$36,IF(C63=5,'13.08.18'!$A$17:$N$36,IF(C63=6,'20.08.18'!$A$17:$N$36,IF(C63=7,'24.08.18'!$A$38:$N$40,IF(C63=8,'27.08.18'!$A$38:$N$40,'03.09.18'!$A$38:$N$40)))))))),14,FALSE),"")</f>
        <v/>
      </c>
      <c r="P63" s="102" t="str">
        <f t="shared" si="5"/>
        <v/>
      </c>
    </row>
    <row r="64" spans="1:16">
      <c r="A64" s="101" t="s">
        <v>12</v>
      </c>
      <c r="B64" s="101" t="str">
        <f t="shared" si="0"/>
        <v>MA</v>
      </c>
      <c r="C64" s="101">
        <f t="shared" si="14"/>
        <v>4</v>
      </c>
      <c r="D64" s="101" t="str">
        <f t="shared" si="6"/>
        <v/>
      </c>
      <c r="E64" s="101">
        <f>VLOOKUP($A64,'30.07.18'!$A$17:$I$36,9,FALSE)</f>
        <v>43308.701388888891</v>
      </c>
      <c r="F64" s="101">
        <f t="shared" si="1"/>
        <v>2018</v>
      </c>
      <c r="G64" s="101">
        <f t="shared" si="7"/>
        <v>7</v>
      </c>
      <c r="H64" s="101">
        <f t="shared" si="8"/>
        <v>27.701388888890506</v>
      </c>
      <c r="I64" s="103">
        <f>VLOOKUP($A64,IF(C64=1,'30.07.18'!$A$17:$N$36,IF(C64=2,'02.08.18'!$A$17:$N$36,IF(C64=3,'06.08.18'!$A$17:$N$36,IF(C64=4,'09.08.18'!$A$17:$N$36,IF(C64=5,'13.08.18'!$A$17:$N$36,IF(C64=6,'20.08.18'!$A$17:$N$36,IF(C64=7,'24.08.18'!$A$38:$N$40,IF(C64=8,'27.08.18'!$A$38:$N$40,'03.09.18'!$A$38:$N$40)))))))),2,FALSE)</f>
        <v>0</v>
      </c>
      <c r="J64" s="101">
        <f t="shared" si="9"/>
        <v>1900</v>
      </c>
      <c r="K64" s="101">
        <f t="shared" si="10"/>
        <v>1</v>
      </c>
      <c r="L64" s="101">
        <f t="shared" si="11"/>
        <v>0</v>
      </c>
      <c r="M64" s="101" t="s">
        <v>164</v>
      </c>
      <c r="N64" s="102" t="str">
        <f t="shared" si="4"/>
        <v/>
      </c>
      <c r="O64" s="101" t="str">
        <f>IFERROR(VLOOKUP($A64,IF(C64=1,'30.07.18'!$A$17:$N$36,IF(C64=2,'02.08.18'!$A$17:$N$36,IF(C64=3,'06.08.18'!$A$17:$N$36,IF(C64=4,'09.08.18'!$A$17:$N$36,IF(C64=5,'13.08.18'!$A$17:$N$36,IF(C64=6,'20.08.18'!$A$17:$N$36,IF(C64=7,'24.08.18'!$A$38:$N$40,IF(C64=8,'27.08.18'!$A$38:$N$40,'03.09.18'!$A$38:$N$40)))))))),14,FALSE),"")</f>
        <v/>
      </c>
      <c r="P64" s="102" t="str">
        <f t="shared" si="5"/>
        <v/>
      </c>
    </row>
    <row r="65" spans="1:16">
      <c r="A65" s="101" t="s">
        <v>13</v>
      </c>
      <c r="B65" s="101" t="str">
        <f t="shared" si="0"/>
        <v>MB</v>
      </c>
      <c r="C65" s="101">
        <f t="shared" si="14"/>
        <v>4</v>
      </c>
      <c r="D65" s="101" t="str">
        <f t="shared" si="6"/>
        <v/>
      </c>
      <c r="E65" s="101">
        <f>VLOOKUP($A65,'30.07.18'!$A$17:$I$36,9,FALSE)</f>
        <v>43308.701388888891</v>
      </c>
      <c r="F65" s="101">
        <f t="shared" si="1"/>
        <v>2018</v>
      </c>
      <c r="G65" s="101">
        <f t="shared" si="7"/>
        <v>7</v>
      </c>
      <c r="H65" s="101">
        <f t="shared" si="8"/>
        <v>27.701388888890506</v>
      </c>
      <c r="I65" s="103">
        <f>VLOOKUP($A65,IF(C65=1,'30.07.18'!$A$17:$N$36,IF(C65=2,'02.08.18'!$A$17:$N$36,IF(C65=3,'06.08.18'!$A$17:$N$36,IF(C65=4,'09.08.18'!$A$17:$N$36,IF(C65=5,'13.08.18'!$A$17:$N$36,IF(C65=6,'20.08.18'!$A$17:$N$36,IF(C65=7,'24.08.18'!$A$38:$N$40,IF(C65=8,'27.08.18'!$A$38:$N$40,'03.09.18'!$A$38:$N$40)))))))),2,FALSE)</f>
        <v>43321.493055555555</v>
      </c>
      <c r="J65" s="101">
        <f t="shared" si="9"/>
        <v>2018</v>
      </c>
      <c r="K65" s="101">
        <f t="shared" si="10"/>
        <v>8</v>
      </c>
      <c r="L65" s="101">
        <f t="shared" si="11"/>
        <v>9.4930555555547471</v>
      </c>
      <c r="M65" s="101" t="s">
        <v>164</v>
      </c>
      <c r="N65" s="102">
        <f t="shared" si="4"/>
        <v>12.791666666664241</v>
      </c>
      <c r="O65" s="101">
        <f>IFERROR(VLOOKUP($A65,IF(C65=1,'30.07.18'!$A$17:$N$36,IF(C65=2,'02.08.18'!$A$17:$N$36,IF(C65=3,'06.08.18'!$A$17:$N$36,IF(C65=4,'09.08.18'!$A$17:$N$36,IF(C65=5,'13.08.18'!$A$17:$N$36,IF(C65=6,'20.08.18'!$A$17:$N$36,IF(C65=7,'24.08.18'!$A$38:$N$40,IF(C65=8,'27.08.18'!$A$38:$N$40,'03.09.18'!$A$38:$N$40)))))))),14,FALSE),"")</f>
        <v>9.2227752367866067</v>
      </c>
      <c r="P65" s="102">
        <f t="shared" si="5"/>
        <v>12.791666666664241</v>
      </c>
    </row>
    <row r="66" spans="1:16">
      <c r="A66" s="101" t="s">
        <v>14</v>
      </c>
      <c r="B66" s="101" t="str">
        <f t="shared" si="0"/>
        <v>MB</v>
      </c>
      <c r="C66" s="101">
        <f t="shared" si="14"/>
        <v>4</v>
      </c>
      <c r="D66" s="101" t="str">
        <f t="shared" si="6"/>
        <v/>
      </c>
      <c r="E66" s="101">
        <f>VLOOKUP($A66,'30.07.18'!$A$17:$I$36,9,FALSE)</f>
        <v>43308.701388888891</v>
      </c>
      <c r="F66" s="101">
        <f t="shared" si="1"/>
        <v>2018</v>
      </c>
      <c r="G66" s="101">
        <f t="shared" si="7"/>
        <v>7</v>
      </c>
      <c r="H66" s="101">
        <f t="shared" si="8"/>
        <v>27.701388888890506</v>
      </c>
      <c r="I66" s="103">
        <f>VLOOKUP($A66,IF(C66=1,'30.07.18'!$A$17:$N$36,IF(C66=2,'02.08.18'!$A$17:$N$36,IF(C66=3,'06.08.18'!$A$17:$N$36,IF(C66=4,'09.08.18'!$A$17:$N$36,IF(C66=5,'13.08.18'!$A$17:$N$36,IF(C66=6,'20.08.18'!$A$17:$N$36,IF(C66=7,'24.08.18'!$A$38:$N$40,IF(C66=8,'27.08.18'!$A$38:$N$40,'03.09.18'!$A$38:$N$40)))))))),2,FALSE)</f>
        <v>43321.494444444441</v>
      </c>
      <c r="J66" s="101">
        <f t="shared" si="9"/>
        <v>2018</v>
      </c>
      <c r="K66" s="101">
        <f t="shared" si="10"/>
        <v>8</v>
      </c>
      <c r="L66" s="101">
        <f t="shared" si="11"/>
        <v>9.4944444444408873</v>
      </c>
      <c r="M66" s="101" t="s">
        <v>164</v>
      </c>
      <c r="N66" s="102">
        <f t="shared" si="4"/>
        <v>12.793055555550382</v>
      </c>
      <c r="O66" s="101">
        <f>IFERROR(VLOOKUP($A66,IF(C66=1,'30.07.18'!$A$17:$N$36,IF(C66=2,'02.08.18'!$A$17:$N$36,IF(C66=3,'06.08.18'!$A$17:$N$36,IF(C66=4,'09.08.18'!$A$17:$N$36,IF(C66=5,'13.08.18'!$A$17:$N$36,IF(C66=6,'20.08.18'!$A$17:$N$36,IF(C66=7,'24.08.18'!$A$38:$N$40,IF(C66=8,'27.08.18'!$A$38:$N$40,'03.09.18'!$A$38:$N$40)))))))),14,FALSE),"")</f>
        <v>9.243170690064618</v>
      </c>
      <c r="P66" s="102">
        <f t="shared" si="5"/>
        <v>12.793055555550382</v>
      </c>
    </row>
    <row r="67" spans="1:16">
      <c r="A67" s="101" t="s">
        <v>15</v>
      </c>
      <c r="B67" s="101" t="str">
        <f t="shared" ref="B67:B130" si="15">LEFT(A67,LEN(A67)-2)</f>
        <v>MB</v>
      </c>
      <c r="C67" s="101">
        <f t="shared" si="14"/>
        <v>4</v>
      </c>
      <c r="D67" s="101" t="str">
        <f t="shared" si="6"/>
        <v/>
      </c>
      <c r="E67" s="101">
        <f>VLOOKUP($A67,'30.07.18'!$A$17:$I$36,9,FALSE)</f>
        <v>43308.701388888891</v>
      </c>
      <c r="F67" s="101">
        <f t="shared" ref="F67:F130" si="16">YEAR(E67)</f>
        <v>2018</v>
      </c>
      <c r="G67" s="101">
        <f t="shared" si="7"/>
        <v>7</v>
      </c>
      <c r="H67" s="101">
        <f t="shared" si="8"/>
        <v>27.701388888890506</v>
      </c>
      <c r="I67" s="103">
        <f>VLOOKUP($A67,IF(C67=1,'30.07.18'!$A$17:$N$36,IF(C67=2,'02.08.18'!$A$17:$N$36,IF(C67=3,'06.08.18'!$A$17:$N$36,IF(C67=4,'09.08.18'!$A$17:$N$36,IF(C67=5,'13.08.18'!$A$17:$N$36,IF(C67=6,'20.08.18'!$A$17:$N$36,IF(C67=7,'24.08.18'!$A$38:$N$40,IF(C67=8,'27.08.18'!$A$38:$N$40,'03.09.18'!$A$38:$N$40)))))))),2,FALSE)</f>
        <v>43321.495833333334</v>
      </c>
      <c r="J67" s="101">
        <f t="shared" si="9"/>
        <v>2018</v>
      </c>
      <c r="K67" s="101">
        <f t="shared" si="10"/>
        <v>8</v>
      </c>
      <c r="L67" s="101">
        <f t="shared" si="11"/>
        <v>9.4958333333343035</v>
      </c>
      <c r="M67" s="101" t="s">
        <v>164</v>
      </c>
      <c r="N67" s="102">
        <f t="shared" ref="N67:N130" si="17">IFERROR(IF(OR(I67=0,E67=0),"",I67-E67),"")</f>
        <v>12.794444444443798</v>
      </c>
      <c r="O67" s="101">
        <f>IFERROR(VLOOKUP($A67,IF(C67=1,'30.07.18'!$A$17:$N$36,IF(C67=2,'02.08.18'!$A$17:$N$36,IF(C67=3,'06.08.18'!$A$17:$N$36,IF(C67=4,'09.08.18'!$A$17:$N$36,IF(C67=5,'13.08.18'!$A$17:$N$36,IF(C67=6,'20.08.18'!$A$17:$N$36,IF(C67=7,'24.08.18'!$A$38:$N$40,IF(C67=8,'27.08.18'!$A$38:$N$40,'03.09.18'!$A$38:$N$40)))))))),14,FALSE),"")</f>
        <v>9.2019855987422901</v>
      </c>
      <c r="P67" s="102">
        <f t="shared" ref="P67:P130" si="18">N67</f>
        <v>12.794444444443798</v>
      </c>
    </row>
    <row r="68" spans="1:16">
      <c r="A68" s="101" t="s">
        <v>16</v>
      </c>
      <c r="B68" s="101" t="str">
        <f t="shared" si="15"/>
        <v>SA</v>
      </c>
      <c r="C68" s="101">
        <f t="shared" si="14"/>
        <v>4</v>
      </c>
      <c r="D68" s="101" t="str">
        <f t="shared" si="6"/>
        <v/>
      </c>
      <c r="E68" s="101">
        <f>VLOOKUP($A68,'30.07.18'!$A$17:$I$36,9,FALSE)</f>
        <v>43308.723611111112</v>
      </c>
      <c r="F68" s="101">
        <f t="shared" si="16"/>
        <v>2018</v>
      </c>
      <c r="G68" s="101">
        <f t="shared" si="7"/>
        <v>7</v>
      </c>
      <c r="H68" s="101">
        <f t="shared" si="8"/>
        <v>27.723611111112405</v>
      </c>
      <c r="I68" s="103">
        <f>VLOOKUP($A68,IF(C68=1,'30.07.18'!$A$17:$N$36,IF(C68=2,'02.08.18'!$A$17:$N$36,IF(C68=3,'06.08.18'!$A$17:$N$36,IF(C68=4,'09.08.18'!$A$17:$N$36,IF(C68=5,'13.08.18'!$A$17:$N$36,IF(C68=6,'20.08.18'!$A$17:$N$36,IF(C68=7,'24.08.18'!$A$38:$N$40,IF(C68=8,'27.08.18'!$A$38:$N$40,'03.09.18'!$A$38:$N$40)))))))),2,FALSE)</f>
        <v>0</v>
      </c>
      <c r="J68" s="101">
        <f t="shared" si="9"/>
        <v>1900</v>
      </c>
      <c r="K68" s="101">
        <f t="shared" si="10"/>
        <v>1</v>
      </c>
      <c r="L68" s="101">
        <f t="shared" si="11"/>
        <v>0</v>
      </c>
      <c r="M68" s="101" t="s">
        <v>164</v>
      </c>
      <c r="N68" s="102" t="str">
        <f t="shared" si="17"/>
        <v/>
      </c>
      <c r="O68" s="101" t="str">
        <f>IFERROR(VLOOKUP($A68,IF(C68=1,'30.07.18'!$A$17:$N$36,IF(C68=2,'02.08.18'!$A$17:$N$36,IF(C68=3,'06.08.18'!$A$17:$N$36,IF(C68=4,'09.08.18'!$A$17:$N$36,IF(C68=5,'13.08.18'!$A$17:$N$36,IF(C68=6,'20.08.18'!$A$17:$N$36,IF(C68=7,'24.08.18'!$A$38:$N$40,IF(C68=8,'27.08.18'!$A$38:$N$40,'03.09.18'!$A$38:$N$40)))))))),14,FALSE),"")</f>
        <v/>
      </c>
      <c r="P68" s="102" t="str">
        <f t="shared" si="18"/>
        <v/>
      </c>
    </row>
    <row r="69" spans="1:16">
      <c r="A69" s="101" t="s">
        <v>17</v>
      </c>
      <c r="B69" s="101" t="str">
        <f t="shared" si="15"/>
        <v>SA</v>
      </c>
      <c r="C69" s="101">
        <f t="shared" si="14"/>
        <v>4</v>
      </c>
      <c r="D69" s="101" t="str">
        <f t="shared" si="6"/>
        <v/>
      </c>
      <c r="E69" s="101">
        <f>VLOOKUP($A69,'30.07.18'!$A$17:$I$36,9,FALSE)</f>
        <v>43308.723611111112</v>
      </c>
      <c r="F69" s="101">
        <f t="shared" si="16"/>
        <v>2018</v>
      </c>
      <c r="G69" s="101">
        <f t="shared" si="7"/>
        <v>7</v>
      </c>
      <c r="H69" s="101">
        <f t="shared" si="8"/>
        <v>27.723611111112405</v>
      </c>
      <c r="I69" s="103">
        <f>VLOOKUP($A69,IF(C69=1,'30.07.18'!$A$17:$N$36,IF(C69=2,'02.08.18'!$A$17:$N$36,IF(C69=3,'06.08.18'!$A$17:$N$36,IF(C69=4,'09.08.18'!$A$17:$N$36,IF(C69=5,'13.08.18'!$A$17:$N$36,IF(C69=6,'20.08.18'!$A$17:$N$36,IF(C69=7,'24.08.18'!$A$38:$N$40,IF(C69=8,'27.08.18'!$A$38:$N$40,'03.09.18'!$A$38:$N$40)))))))),2,FALSE)</f>
        <v>0</v>
      </c>
      <c r="J69" s="101">
        <f t="shared" si="9"/>
        <v>1900</v>
      </c>
      <c r="K69" s="101">
        <f t="shared" si="10"/>
        <v>1</v>
      </c>
      <c r="L69" s="101">
        <f t="shared" si="11"/>
        <v>0</v>
      </c>
      <c r="M69" s="101" t="s">
        <v>164</v>
      </c>
      <c r="N69" s="102" t="str">
        <f t="shared" si="17"/>
        <v/>
      </c>
      <c r="O69" s="101" t="str">
        <f>IFERROR(VLOOKUP($A69,IF(C69=1,'30.07.18'!$A$17:$N$36,IF(C69=2,'02.08.18'!$A$17:$N$36,IF(C69=3,'06.08.18'!$A$17:$N$36,IF(C69=4,'09.08.18'!$A$17:$N$36,IF(C69=5,'13.08.18'!$A$17:$N$36,IF(C69=6,'20.08.18'!$A$17:$N$36,IF(C69=7,'24.08.18'!$A$38:$N$40,IF(C69=8,'27.08.18'!$A$38:$N$40,'03.09.18'!$A$38:$N$40)))))))),14,FALSE),"")</f>
        <v/>
      </c>
      <c r="P69" s="102" t="str">
        <f t="shared" si="18"/>
        <v/>
      </c>
    </row>
    <row r="70" spans="1:16">
      <c r="A70" s="101" t="s">
        <v>18</v>
      </c>
      <c r="B70" s="101" t="str">
        <f t="shared" si="15"/>
        <v>SA</v>
      </c>
      <c r="C70" s="101">
        <f t="shared" si="14"/>
        <v>4</v>
      </c>
      <c r="D70" s="101" t="str">
        <f t="shared" si="6"/>
        <v/>
      </c>
      <c r="E70" s="101">
        <f>VLOOKUP($A70,'30.07.18'!$A$17:$I$36,9,FALSE)</f>
        <v>43308.723611111112</v>
      </c>
      <c r="F70" s="101">
        <f t="shared" si="16"/>
        <v>2018</v>
      </c>
      <c r="G70" s="101">
        <f t="shared" si="7"/>
        <v>7</v>
      </c>
      <c r="H70" s="101">
        <f t="shared" si="8"/>
        <v>27.723611111112405</v>
      </c>
      <c r="I70" s="103">
        <f>VLOOKUP($A70,IF(C70=1,'30.07.18'!$A$17:$N$36,IF(C70=2,'02.08.18'!$A$17:$N$36,IF(C70=3,'06.08.18'!$A$17:$N$36,IF(C70=4,'09.08.18'!$A$17:$N$36,IF(C70=5,'13.08.18'!$A$17:$N$36,IF(C70=6,'20.08.18'!$A$17:$N$36,IF(C70=7,'24.08.18'!$A$38:$N$40,IF(C70=8,'27.08.18'!$A$38:$N$40,'03.09.18'!$A$38:$N$40)))))))),2,FALSE)</f>
        <v>0</v>
      </c>
      <c r="J70" s="101">
        <f t="shared" si="9"/>
        <v>1900</v>
      </c>
      <c r="K70" s="101">
        <f t="shared" si="10"/>
        <v>1</v>
      </c>
      <c r="L70" s="101">
        <f t="shared" si="11"/>
        <v>0</v>
      </c>
      <c r="M70" s="101" t="s">
        <v>164</v>
      </c>
      <c r="N70" s="102" t="str">
        <f t="shared" si="17"/>
        <v/>
      </c>
      <c r="O70" s="101" t="str">
        <f>IFERROR(VLOOKUP($A70,IF(C70=1,'30.07.18'!$A$17:$N$36,IF(C70=2,'02.08.18'!$A$17:$N$36,IF(C70=3,'06.08.18'!$A$17:$N$36,IF(C70=4,'09.08.18'!$A$17:$N$36,IF(C70=5,'13.08.18'!$A$17:$N$36,IF(C70=6,'20.08.18'!$A$17:$N$36,IF(C70=7,'24.08.18'!$A$38:$N$40,IF(C70=8,'27.08.18'!$A$38:$N$40,'03.09.18'!$A$38:$N$40)))))))),14,FALSE),"")</f>
        <v/>
      </c>
      <c r="P70" s="102" t="str">
        <f t="shared" si="18"/>
        <v/>
      </c>
    </row>
    <row r="71" spans="1:16">
      <c r="A71" s="101" t="s">
        <v>19</v>
      </c>
      <c r="B71" s="101" t="str">
        <f t="shared" si="15"/>
        <v>SB</v>
      </c>
      <c r="C71" s="101">
        <f t="shared" si="14"/>
        <v>4</v>
      </c>
      <c r="D71" s="101" t="str">
        <f t="shared" si="6"/>
        <v/>
      </c>
      <c r="E71" s="101">
        <f>VLOOKUP($A71,'30.07.18'!$A$17:$I$36,9,FALSE)</f>
        <v>43308.723611111112</v>
      </c>
      <c r="F71" s="101">
        <f t="shared" si="16"/>
        <v>2018</v>
      </c>
      <c r="G71" s="101">
        <f t="shared" si="7"/>
        <v>7</v>
      </c>
      <c r="H71" s="101">
        <f t="shared" si="8"/>
        <v>27.723611111112405</v>
      </c>
      <c r="I71" s="103">
        <f>VLOOKUP($A71,IF(C71=1,'30.07.18'!$A$17:$N$36,IF(C71=2,'02.08.18'!$A$17:$N$36,IF(C71=3,'06.08.18'!$A$17:$N$36,IF(C71=4,'09.08.18'!$A$17:$N$36,IF(C71=5,'13.08.18'!$A$17:$N$36,IF(C71=6,'20.08.18'!$A$17:$N$36,IF(C71=7,'24.08.18'!$A$38:$N$40,IF(C71=8,'27.08.18'!$A$38:$N$40,'03.09.18'!$A$38:$N$40)))))))),2,FALSE)</f>
        <v>43321.5</v>
      </c>
      <c r="J71" s="101">
        <f t="shared" si="9"/>
        <v>2018</v>
      </c>
      <c r="K71" s="101">
        <f t="shared" si="10"/>
        <v>8</v>
      </c>
      <c r="L71" s="101">
        <f t="shared" si="11"/>
        <v>9.5</v>
      </c>
      <c r="M71" s="101" t="s">
        <v>164</v>
      </c>
      <c r="N71" s="102">
        <f t="shared" si="17"/>
        <v>12.776388888887595</v>
      </c>
      <c r="O71" s="101">
        <f>IFERROR(VLOOKUP($A71,IF(C71=1,'30.07.18'!$A$17:$N$36,IF(C71=2,'02.08.18'!$A$17:$N$36,IF(C71=3,'06.08.18'!$A$17:$N$36,IF(C71=4,'09.08.18'!$A$17:$N$36,IF(C71=5,'13.08.18'!$A$17:$N$36,IF(C71=6,'20.08.18'!$A$17:$N$36,IF(C71=7,'24.08.18'!$A$38:$N$40,IF(C71=8,'27.08.18'!$A$38:$N$40,'03.09.18'!$A$38:$N$40)))))))),14,FALSE),"")</f>
        <v>15.799952553854485</v>
      </c>
      <c r="P71" s="102">
        <f t="shared" si="18"/>
        <v>12.776388888887595</v>
      </c>
    </row>
    <row r="72" spans="1:16">
      <c r="A72" s="101" t="s">
        <v>20</v>
      </c>
      <c r="B72" s="101" t="str">
        <f t="shared" si="15"/>
        <v>SB</v>
      </c>
      <c r="C72" s="101">
        <f t="shared" si="14"/>
        <v>4</v>
      </c>
      <c r="D72" s="101" t="str">
        <f t="shared" si="6"/>
        <v/>
      </c>
      <c r="E72" s="101">
        <f>VLOOKUP($A72,'30.07.18'!$A$17:$I$36,9,FALSE)</f>
        <v>43308.723611111112</v>
      </c>
      <c r="F72" s="101">
        <f t="shared" si="16"/>
        <v>2018</v>
      </c>
      <c r="G72" s="101">
        <f t="shared" si="7"/>
        <v>7</v>
      </c>
      <c r="H72" s="101">
        <f t="shared" si="8"/>
        <v>27.723611111112405</v>
      </c>
      <c r="I72" s="103">
        <f>VLOOKUP($A72,IF(C72=1,'30.07.18'!$A$17:$N$36,IF(C72=2,'02.08.18'!$A$17:$N$36,IF(C72=3,'06.08.18'!$A$17:$N$36,IF(C72=4,'09.08.18'!$A$17:$N$36,IF(C72=5,'13.08.18'!$A$17:$N$36,IF(C72=6,'20.08.18'!$A$17:$N$36,IF(C72=7,'24.08.18'!$A$38:$N$40,IF(C72=8,'27.08.18'!$A$38:$N$40,'03.09.18'!$A$38:$N$40)))))))),2,FALSE)</f>
        <v>43321.500694444447</v>
      </c>
      <c r="J72" s="101">
        <f t="shared" si="9"/>
        <v>2018</v>
      </c>
      <c r="K72" s="101">
        <f t="shared" si="10"/>
        <v>8</v>
      </c>
      <c r="L72" s="101">
        <f t="shared" si="11"/>
        <v>9.5006944444467081</v>
      </c>
      <c r="M72" s="101" t="s">
        <v>164</v>
      </c>
      <c r="N72" s="102">
        <f t="shared" si="17"/>
        <v>12.777083333334303</v>
      </c>
      <c r="O72" s="101">
        <f>IFERROR(VLOOKUP($A72,IF(C72=1,'30.07.18'!$A$17:$N$36,IF(C72=2,'02.08.18'!$A$17:$N$36,IF(C72=3,'06.08.18'!$A$17:$N$36,IF(C72=4,'09.08.18'!$A$17:$N$36,IF(C72=5,'13.08.18'!$A$17:$N$36,IF(C72=6,'20.08.18'!$A$17:$N$36,IF(C72=7,'24.08.18'!$A$38:$N$40,IF(C72=8,'27.08.18'!$A$38:$N$40,'03.09.18'!$A$38:$N$40)))))))),14,FALSE),"")</f>
        <v>15.505343059095228</v>
      </c>
      <c r="P72" s="102">
        <f t="shared" si="18"/>
        <v>12.777083333334303</v>
      </c>
    </row>
    <row r="73" spans="1:16">
      <c r="A73" s="101" t="s">
        <v>21</v>
      </c>
      <c r="B73" s="101" t="str">
        <f t="shared" si="15"/>
        <v>SB</v>
      </c>
      <c r="C73" s="101">
        <f t="shared" si="14"/>
        <v>4</v>
      </c>
      <c r="D73" s="101" t="str">
        <f t="shared" si="6"/>
        <v/>
      </c>
      <c r="E73" s="101">
        <f>VLOOKUP($A73,'30.07.18'!$A$17:$I$36,9,FALSE)</f>
        <v>43308.729166666664</v>
      </c>
      <c r="F73" s="101">
        <f t="shared" si="16"/>
        <v>2018</v>
      </c>
      <c r="G73" s="101">
        <f t="shared" si="7"/>
        <v>7</v>
      </c>
      <c r="H73" s="101">
        <f t="shared" si="8"/>
        <v>27.729166666664241</v>
      </c>
      <c r="I73" s="103">
        <f>VLOOKUP($A73,IF(C73=1,'30.07.18'!$A$17:$N$36,IF(C73=2,'02.08.18'!$A$17:$N$36,IF(C73=3,'06.08.18'!$A$17:$N$36,IF(C73=4,'09.08.18'!$A$17:$N$36,IF(C73=5,'13.08.18'!$A$17:$N$36,IF(C73=6,'20.08.18'!$A$17:$N$36,IF(C73=7,'24.08.18'!$A$38:$N$40,IF(C73=8,'27.08.18'!$A$38:$N$40,'03.09.18'!$A$38:$N$40)))))))),2,FALSE)</f>
        <v>43321.501388888886</v>
      </c>
      <c r="J73" s="101">
        <f t="shared" si="9"/>
        <v>2018</v>
      </c>
      <c r="K73" s="101">
        <f t="shared" si="10"/>
        <v>8</v>
      </c>
      <c r="L73" s="101">
        <f t="shared" si="11"/>
        <v>9.5013888888861402</v>
      </c>
      <c r="M73" s="101" t="s">
        <v>164</v>
      </c>
      <c r="N73" s="102">
        <f t="shared" si="17"/>
        <v>12.772222222221899</v>
      </c>
      <c r="O73" s="101">
        <f>IFERROR(VLOOKUP($A73,IF(C73=1,'30.07.18'!$A$17:$N$36,IF(C73=2,'02.08.18'!$A$17:$N$36,IF(C73=3,'06.08.18'!$A$17:$N$36,IF(C73=4,'09.08.18'!$A$17:$N$36,IF(C73=5,'13.08.18'!$A$17:$N$36,IF(C73=6,'20.08.18'!$A$17:$N$36,IF(C73=7,'24.08.18'!$A$38:$N$40,IF(C73=8,'27.08.18'!$A$38:$N$40,'03.09.18'!$A$38:$N$40)))))))),14,FALSE),"")</f>
        <v>15.666211994622635</v>
      </c>
      <c r="P73" s="102">
        <f t="shared" si="18"/>
        <v>12.772222222221899</v>
      </c>
    </row>
    <row r="74" spans="1:16">
      <c r="A74" s="101" t="s">
        <v>22</v>
      </c>
      <c r="B74" s="101" t="str">
        <f t="shared" si="15"/>
        <v>Du123</v>
      </c>
      <c r="C74" s="101">
        <f t="shared" si="14"/>
        <v>4</v>
      </c>
      <c r="D74" s="101" t="str">
        <f t="shared" si="6"/>
        <v/>
      </c>
      <c r="E74" s="101">
        <f>VLOOKUP($A74,'30.07.18'!$A$17:$I$36,9,FALSE)</f>
        <v>43308.729166666664</v>
      </c>
      <c r="F74" s="101">
        <f t="shared" si="16"/>
        <v>2018</v>
      </c>
      <c r="G74" s="101">
        <f t="shared" si="7"/>
        <v>7</v>
      </c>
      <c r="H74" s="101">
        <f t="shared" si="8"/>
        <v>27.729166666664241</v>
      </c>
      <c r="I74" s="103">
        <f>VLOOKUP($A74,IF(C74=1,'30.07.18'!$A$17:$N$36,IF(C74=2,'02.08.18'!$A$17:$N$36,IF(C74=3,'06.08.18'!$A$17:$N$36,IF(C74=4,'09.08.18'!$A$17:$N$36,IF(C74=5,'13.08.18'!$A$17:$N$36,IF(C74=6,'20.08.18'!$A$17:$N$36,IF(C74=7,'24.08.18'!$A$38:$N$40,IF(C74=8,'27.08.18'!$A$38:$N$40,'03.09.18'!$A$38:$N$40)))))))),2,FALSE)</f>
        <v>0</v>
      </c>
      <c r="J74" s="101">
        <f t="shared" si="9"/>
        <v>1900</v>
      </c>
      <c r="K74" s="101">
        <f t="shared" si="10"/>
        <v>1</v>
      </c>
      <c r="L74" s="101">
        <f t="shared" si="11"/>
        <v>0</v>
      </c>
      <c r="M74" s="101" t="s">
        <v>164</v>
      </c>
      <c r="N74" s="102" t="str">
        <f t="shared" si="17"/>
        <v/>
      </c>
      <c r="O74" s="101" t="str">
        <f>IFERROR(VLOOKUP($A74,IF(C74=1,'30.07.18'!$A$17:$N$36,IF(C74=2,'02.08.18'!$A$17:$N$36,IF(C74=3,'06.08.18'!$A$17:$N$36,IF(C74=4,'09.08.18'!$A$17:$N$36,IF(C74=5,'13.08.18'!$A$17:$N$36,IF(C74=6,'20.08.18'!$A$17:$N$36,IF(C74=7,'24.08.18'!$A$38:$N$40,IF(C74=8,'27.08.18'!$A$38:$N$40,'03.09.18'!$A$38:$N$40)))))))),14,FALSE),"")</f>
        <v/>
      </c>
      <c r="P74" s="102" t="str">
        <f t="shared" si="18"/>
        <v/>
      </c>
    </row>
    <row r="75" spans="1:16">
      <c r="A75" s="101" t="s">
        <v>23</v>
      </c>
      <c r="B75" s="101" t="str">
        <f t="shared" si="15"/>
        <v>Du120</v>
      </c>
      <c r="C75" s="101">
        <f t="shared" si="14"/>
        <v>4</v>
      </c>
      <c r="D75" s="101" t="str">
        <f t="shared" si="6"/>
        <v/>
      </c>
      <c r="E75" s="101">
        <f>VLOOKUP($A75,'30.07.18'!$A$17:$I$36,9,FALSE)</f>
        <v>43308.729166666664</v>
      </c>
      <c r="F75" s="101">
        <f t="shared" si="16"/>
        <v>2018</v>
      </c>
      <c r="G75" s="101">
        <f t="shared" si="7"/>
        <v>7</v>
      </c>
      <c r="H75" s="101">
        <f t="shared" si="8"/>
        <v>27.729166666664241</v>
      </c>
      <c r="I75" s="103">
        <f>VLOOKUP($A75,IF(C75=1,'30.07.18'!$A$17:$N$36,IF(C75=2,'02.08.18'!$A$17:$N$36,IF(C75=3,'06.08.18'!$A$17:$N$36,IF(C75=4,'09.08.18'!$A$17:$N$36,IF(C75=5,'13.08.18'!$A$17:$N$36,IF(C75=6,'20.08.18'!$A$17:$N$36,IF(C75=7,'24.08.18'!$A$38:$N$40,IF(C75=8,'27.08.18'!$A$38:$N$40,'03.09.18'!$A$38:$N$40)))))))),2,FALSE)</f>
        <v>43321.497916666667</v>
      </c>
      <c r="J75" s="101">
        <f t="shared" si="9"/>
        <v>2018</v>
      </c>
      <c r="K75" s="101">
        <f t="shared" si="10"/>
        <v>8</v>
      </c>
      <c r="L75" s="101">
        <f t="shared" si="11"/>
        <v>9.4979166666671517</v>
      </c>
      <c r="M75" s="101" t="s">
        <v>164</v>
      </c>
      <c r="N75" s="102">
        <f t="shared" si="17"/>
        <v>12.76875000000291</v>
      </c>
      <c r="O75" s="101">
        <f>IFERROR(VLOOKUP($A75,IF(C75=1,'30.07.18'!$A$17:$N$36,IF(C75=2,'02.08.18'!$A$17:$N$36,IF(C75=3,'06.08.18'!$A$17:$N$36,IF(C75=4,'09.08.18'!$A$17:$N$36,IF(C75=5,'13.08.18'!$A$17:$N$36,IF(C75=6,'20.08.18'!$A$17:$N$36,IF(C75=7,'24.08.18'!$A$38:$N$40,IF(C75=8,'27.08.18'!$A$38:$N$40,'03.09.18'!$A$38:$N$40)))))))),14,FALSE),"")</f>
        <v>13.05268554000649</v>
      </c>
      <c r="P75" s="102">
        <f t="shared" si="18"/>
        <v>12.76875000000291</v>
      </c>
    </row>
    <row r="76" spans="1:16">
      <c r="A76" s="101" t="s">
        <v>24</v>
      </c>
      <c r="B76" s="101" t="str">
        <f t="shared" si="15"/>
        <v>TVA 4E C</v>
      </c>
      <c r="C76" s="101">
        <f t="shared" si="14"/>
        <v>4</v>
      </c>
      <c r="D76" s="101" t="str">
        <f t="shared" si="6"/>
        <v/>
      </c>
      <c r="E76" s="101">
        <f>VLOOKUP($A76,'30.07.18'!$A$17:$I$36,9,FALSE)</f>
        <v>43308.729166666664</v>
      </c>
      <c r="F76" s="101">
        <f t="shared" si="16"/>
        <v>2018</v>
      </c>
      <c r="G76" s="101">
        <f t="shared" si="7"/>
        <v>7</v>
      </c>
      <c r="H76" s="101">
        <f t="shared" si="8"/>
        <v>27.729166666664241</v>
      </c>
      <c r="I76" s="103">
        <f>VLOOKUP($A76,IF(C76=1,'30.07.18'!$A$17:$N$36,IF(C76=2,'02.08.18'!$A$17:$N$36,IF(C76=3,'06.08.18'!$A$17:$N$36,IF(C76=4,'09.08.18'!$A$17:$N$36,IF(C76=5,'13.08.18'!$A$17:$N$36,IF(C76=6,'20.08.18'!$A$17:$N$36,IF(C76=7,'24.08.18'!$A$38:$N$40,IF(C76=8,'27.08.18'!$A$38:$N$40,'03.09.18'!$A$38:$N$40)))))))),2,FALSE)</f>
        <v>0</v>
      </c>
      <c r="J76" s="101">
        <f t="shared" si="9"/>
        <v>1900</v>
      </c>
      <c r="K76" s="101">
        <f t="shared" si="10"/>
        <v>1</v>
      </c>
      <c r="L76" s="101">
        <f t="shared" si="11"/>
        <v>0</v>
      </c>
      <c r="M76" s="101" t="s">
        <v>164</v>
      </c>
      <c r="N76" s="102" t="str">
        <f t="shared" si="17"/>
        <v/>
      </c>
      <c r="O76" s="101" t="str">
        <f>IFERROR(VLOOKUP($A76,IF(C76=1,'30.07.18'!$A$17:$N$36,IF(C76=2,'02.08.18'!$A$17:$N$36,IF(C76=3,'06.08.18'!$A$17:$N$36,IF(C76=4,'09.08.18'!$A$17:$N$36,IF(C76=5,'13.08.18'!$A$17:$N$36,IF(C76=6,'20.08.18'!$A$17:$N$36,IF(C76=7,'24.08.18'!$A$38:$N$40,IF(C76=8,'27.08.18'!$A$38:$N$40,'03.09.18'!$A$38:$N$40)))))))),14,FALSE),"")</f>
        <v/>
      </c>
      <c r="P76" s="102" t="str">
        <f t="shared" si="18"/>
        <v/>
      </c>
    </row>
    <row r="77" spans="1:16">
      <c r="A77" s="101" t="s">
        <v>25</v>
      </c>
      <c r="B77" s="101" t="str">
        <f t="shared" si="15"/>
        <v>TVA 6E C</v>
      </c>
      <c r="C77" s="101">
        <f t="shared" si="14"/>
        <v>4</v>
      </c>
      <c r="D77" s="101" t="str">
        <f t="shared" si="6"/>
        <v/>
      </c>
      <c r="E77" s="101">
        <f>VLOOKUP($A77,'30.07.18'!$A$17:$I$36,9,FALSE)</f>
        <v>43308.73541666667</v>
      </c>
      <c r="F77" s="101">
        <f t="shared" si="16"/>
        <v>2018</v>
      </c>
      <c r="G77" s="101">
        <f t="shared" si="7"/>
        <v>7</v>
      </c>
      <c r="H77" s="101">
        <f t="shared" si="8"/>
        <v>27.735416666670062</v>
      </c>
      <c r="I77" s="103">
        <f>VLOOKUP($A77,IF(C77=1,'30.07.18'!$A$17:$N$36,IF(C77=2,'02.08.18'!$A$17:$N$36,IF(C77=3,'06.08.18'!$A$17:$N$36,IF(C77=4,'09.08.18'!$A$17:$N$36,IF(C77=5,'13.08.18'!$A$17:$N$36,IF(C77=6,'20.08.18'!$A$17:$N$36,IF(C77=7,'24.08.18'!$A$38:$N$40,IF(C77=8,'27.08.18'!$A$38:$N$40,'03.09.18'!$A$38:$N$40)))))))),2,FALSE)</f>
        <v>0</v>
      </c>
      <c r="J77" s="101">
        <f t="shared" si="9"/>
        <v>1900</v>
      </c>
      <c r="K77" s="101">
        <f t="shared" si="10"/>
        <v>1</v>
      </c>
      <c r="L77" s="101">
        <f t="shared" si="11"/>
        <v>0</v>
      </c>
      <c r="M77" s="101" t="s">
        <v>164</v>
      </c>
      <c r="N77" s="102" t="str">
        <f t="shared" si="17"/>
        <v/>
      </c>
      <c r="O77" s="101" t="str">
        <f>IFERROR(VLOOKUP($A77,IF(C77=1,'30.07.18'!$A$17:$N$36,IF(C77=2,'02.08.18'!$A$17:$N$36,IF(C77=3,'06.08.18'!$A$17:$N$36,IF(C77=4,'09.08.18'!$A$17:$N$36,IF(C77=5,'13.08.18'!$A$17:$N$36,IF(C77=6,'20.08.18'!$A$17:$N$36,IF(C77=7,'24.08.18'!$A$38:$N$40,IF(C77=8,'27.08.18'!$A$38:$N$40,'03.09.18'!$A$38:$N$40)))))))),14,FALSE),"")</f>
        <v/>
      </c>
      <c r="P77" s="102" t="str">
        <f t="shared" si="18"/>
        <v/>
      </c>
    </row>
    <row r="78" spans="1:16">
      <c r="A78" s="101" t="s">
        <v>26</v>
      </c>
      <c r="B78" s="101" t="str">
        <f t="shared" si="15"/>
        <v>TVA 8E C</v>
      </c>
      <c r="C78" s="101">
        <f t="shared" si="14"/>
        <v>4</v>
      </c>
      <c r="D78" s="101" t="str">
        <f t="shared" si="6"/>
        <v/>
      </c>
      <c r="E78" s="101">
        <f>VLOOKUP($A78,'30.07.18'!$A$17:$I$36,9,FALSE)</f>
        <v>43308.73541666667</v>
      </c>
      <c r="F78" s="101">
        <f t="shared" si="16"/>
        <v>2018</v>
      </c>
      <c r="G78" s="101">
        <f t="shared" si="7"/>
        <v>7</v>
      </c>
      <c r="H78" s="101">
        <f t="shared" si="8"/>
        <v>27.735416666670062</v>
      </c>
      <c r="I78" s="103">
        <f>VLOOKUP($A78,IF(C78=1,'30.07.18'!$A$17:$N$36,IF(C78=2,'02.08.18'!$A$17:$N$36,IF(C78=3,'06.08.18'!$A$17:$N$36,IF(C78=4,'09.08.18'!$A$17:$N$36,IF(C78=5,'13.08.18'!$A$17:$N$36,IF(C78=6,'20.08.18'!$A$17:$N$36,IF(C78=7,'24.08.18'!$A$38:$N$40,IF(C78=8,'27.08.18'!$A$38:$N$40,'03.09.18'!$A$38:$N$40)))))))),2,FALSE)</f>
        <v>43321.50277777778</v>
      </c>
      <c r="J78" s="101">
        <f t="shared" si="9"/>
        <v>2018</v>
      </c>
      <c r="K78" s="101">
        <f t="shared" si="10"/>
        <v>8</v>
      </c>
      <c r="L78" s="101">
        <f t="shared" si="11"/>
        <v>9.5027777777795563</v>
      </c>
      <c r="M78" s="101" t="s">
        <v>164</v>
      </c>
      <c r="N78" s="102">
        <f t="shared" si="17"/>
        <v>12.767361111109494</v>
      </c>
      <c r="O78" s="101">
        <f>IFERROR(VLOOKUP($A78,IF(C78=1,'30.07.18'!$A$17:$N$36,IF(C78=2,'02.08.18'!$A$17:$N$36,IF(C78=3,'06.08.18'!$A$17:$N$36,IF(C78=4,'09.08.18'!$A$17:$N$36,IF(C78=5,'13.08.18'!$A$17:$N$36,IF(C78=6,'20.08.18'!$A$17:$N$36,IF(C78=7,'24.08.18'!$A$38:$N$40,IF(C78=8,'27.08.18'!$A$38:$N$40,'03.09.18'!$A$38:$N$40)))))))),14,FALSE),"")</f>
        <v>86.605441491216851</v>
      </c>
      <c r="P78" s="102">
        <f t="shared" si="18"/>
        <v>12.767361111109494</v>
      </c>
    </row>
    <row r="79" spans="1:16">
      <c r="A79" s="101" t="s">
        <v>27</v>
      </c>
      <c r="B79" s="101" t="str">
        <f t="shared" si="15"/>
        <v>TVA 2B C</v>
      </c>
      <c r="C79" s="101">
        <f t="shared" si="14"/>
        <v>4</v>
      </c>
      <c r="D79" s="101" t="str">
        <f t="shared" si="6"/>
        <v/>
      </c>
      <c r="E79" s="101">
        <f>VLOOKUP($A79,'30.07.18'!$A$17:$I$36,9,FALSE)</f>
        <v>43308.73541666667</v>
      </c>
      <c r="F79" s="101">
        <f t="shared" si="16"/>
        <v>2018</v>
      </c>
      <c r="G79" s="101">
        <f t="shared" si="7"/>
        <v>7</v>
      </c>
      <c r="H79" s="101">
        <f t="shared" si="8"/>
        <v>27.735416666670062</v>
      </c>
      <c r="I79" s="103">
        <f>VLOOKUP($A79,IF(C79=1,'30.07.18'!$A$17:$N$36,IF(C79=2,'02.08.18'!$A$17:$N$36,IF(C79=3,'06.08.18'!$A$17:$N$36,IF(C79=4,'09.08.18'!$A$17:$N$36,IF(C79=5,'13.08.18'!$A$17:$N$36,IF(C79=6,'20.08.18'!$A$17:$N$36,IF(C79=7,'24.08.18'!$A$38:$N$40,IF(C79=8,'27.08.18'!$A$38:$N$40,'03.09.18'!$A$38:$N$40)))))))),2,FALSE)</f>
        <v>0</v>
      </c>
      <c r="J79" s="101">
        <f t="shared" si="9"/>
        <v>1900</v>
      </c>
      <c r="K79" s="101">
        <f t="shared" si="10"/>
        <v>1</v>
      </c>
      <c r="L79" s="101">
        <f t="shared" si="11"/>
        <v>0</v>
      </c>
      <c r="M79" s="101" t="s">
        <v>164</v>
      </c>
      <c r="N79" s="102" t="str">
        <f t="shared" si="17"/>
        <v/>
      </c>
      <c r="O79" s="101" t="str">
        <f>IFERROR(VLOOKUP($A79,IF(C79=1,'30.07.18'!$A$17:$N$36,IF(C79=2,'02.08.18'!$A$17:$N$36,IF(C79=3,'06.08.18'!$A$17:$N$36,IF(C79=4,'09.08.18'!$A$17:$N$36,IF(C79=5,'13.08.18'!$A$17:$N$36,IF(C79=6,'20.08.18'!$A$17:$N$36,IF(C79=7,'24.08.18'!$A$38:$N$40,IF(C79=8,'27.08.18'!$A$38:$N$40,'03.09.18'!$A$38:$N$40)))))))),14,FALSE),"")</f>
        <v/>
      </c>
      <c r="P79" s="102" t="str">
        <f t="shared" si="18"/>
        <v/>
      </c>
    </row>
    <row r="80" spans="1:16">
      <c r="A80" s="101" t="s">
        <v>28</v>
      </c>
      <c r="B80" s="101" t="str">
        <f t="shared" si="15"/>
        <v>TVA 3B C</v>
      </c>
      <c r="C80" s="101">
        <f t="shared" si="14"/>
        <v>4</v>
      </c>
      <c r="D80" s="101" t="str">
        <f t="shared" si="6"/>
        <v/>
      </c>
      <c r="E80" s="101">
        <f>VLOOKUP($A80,'30.07.18'!$A$17:$I$36,9,FALSE)</f>
        <v>43308.73541666667</v>
      </c>
      <c r="F80" s="101">
        <f t="shared" si="16"/>
        <v>2018</v>
      </c>
      <c r="G80" s="101">
        <f t="shared" si="7"/>
        <v>7</v>
      </c>
      <c r="H80" s="101">
        <f t="shared" si="8"/>
        <v>27.735416666670062</v>
      </c>
      <c r="I80" s="103">
        <f>VLOOKUP($A80,IF(C80=1,'30.07.18'!$A$17:$N$36,IF(C80=2,'02.08.18'!$A$17:$N$36,IF(C80=3,'06.08.18'!$A$17:$N$36,IF(C80=4,'09.08.18'!$A$17:$N$36,IF(C80=5,'13.08.18'!$A$17:$N$36,IF(C80=6,'20.08.18'!$A$17:$N$36,IF(C80=7,'24.08.18'!$A$38:$N$40,IF(C80=8,'27.08.18'!$A$38:$N$40,'03.09.18'!$A$38:$N$40)))))))),2,FALSE)</f>
        <v>0</v>
      </c>
      <c r="J80" s="101">
        <f t="shared" si="9"/>
        <v>1900</v>
      </c>
      <c r="K80" s="101">
        <f t="shared" si="10"/>
        <v>1</v>
      </c>
      <c r="L80" s="101">
        <f t="shared" si="11"/>
        <v>0</v>
      </c>
      <c r="M80" s="101" t="s">
        <v>164</v>
      </c>
      <c r="N80" s="102" t="str">
        <f t="shared" si="17"/>
        <v/>
      </c>
      <c r="O80" s="101" t="str">
        <f>IFERROR(VLOOKUP($A80,IF(C80=1,'30.07.18'!$A$17:$N$36,IF(C80=2,'02.08.18'!$A$17:$N$36,IF(C80=3,'06.08.18'!$A$17:$N$36,IF(C80=4,'09.08.18'!$A$17:$N$36,IF(C80=5,'13.08.18'!$A$17:$N$36,IF(C80=6,'20.08.18'!$A$17:$N$36,IF(C80=7,'24.08.18'!$A$38:$N$40,IF(C80=8,'27.08.18'!$A$38:$N$40,'03.09.18'!$A$38:$N$40)))))))),14,FALSE),"")</f>
        <v/>
      </c>
      <c r="P80" s="102" t="str">
        <f t="shared" si="18"/>
        <v/>
      </c>
    </row>
    <row r="81" spans="1:16">
      <c r="A81" s="101" t="s">
        <v>29</v>
      </c>
      <c r="B81" s="101" t="str">
        <f t="shared" si="15"/>
        <v>TVA 5B C</v>
      </c>
      <c r="C81" s="101">
        <f t="shared" si="14"/>
        <v>4</v>
      </c>
      <c r="D81" s="101" t="str">
        <f t="shared" si="6"/>
        <v/>
      </c>
      <c r="E81" s="101">
        <f>VLOOKUP($A81,'30.07.18'!$A$17:$I$36,9,FALSE)</f>
        <v>43308.73541666667</v>
      </c>
      <c r="F81" s="101">
        <f t="shared" si="16"/>
        <v>2018</v>
      </c>
      <c r="G81" s="101">
        <f t="shared" si="7"/>
        <v>7</v>
      </c>
      <c r="H81" s="101">
        <f t="shared" si="8"/>
        <v>27.735416666670062</v>
      </c>
      <c r="I81" s="103">
        <f>VLOOKUP($A81,IF(C81=1,'30.07.18'!$A$17:$N$36,IF(C81=2,'02.08.18'!$A$17:$N$36,IF(C81=3,'06.08.18'!$A$17:$N$36,IF(C81=4,'09.08.18'!$A$17:$N$36,IF(C81=5,'13.08.18'!$A$17:$N$36,IF(C81=6,'20.08.18'!$A$17:$N$36,IF(C81=7,'24.08.18'!$A$38:$N$40,IF(C81=8,'27.08.18'!$A$38:$N$40,'03.09.18'!$A$38:$N$40)))))))),2,FALSE)</f>
        <v>0</v>
      </c>
      <c r="J81" s="101">
        <f t="shared" si="9"/>
        <v>1900</v>
      </c>
      <c r="K81" s="101">
        <f t="shared" si="10"/>
        <v>1</v>
      </c>
      <c r="L81" s="101">
        <f t="shared" si="11"/>
        <v>0</v>
      </c>
      <c r="M81" s="101" t="s">
        <v>164</v>
      </c>
      <c r="N81" s="102" t="str">
        <f t="shared" si="17"/>
        <v/>
      </c>
      <c r="O81" s="101" t="str">
        <f>IFERROR(VLOOKUP($A81,IF(C81=1,'30.07.18'!$A$17:$N$36,IF(C81=2,'02.08.18'!$A$17:$N$36,IF(C81=3,'06.08.18'!$A$17:$N$36,IF(C81=4,'09.08.18'!$A$17:$N$36,IF(C81=5,'13.08.18'!$A$17:$N$36,IF(C81=6,'20.08.18'!$A$17:$N$36,IF(C81=7,'24.08.18'!$A$38:$N$40,IF(C81=8,'27.08.18'!$A$38:$N$40,'03.09.18'!$A$38:$N$40)))))))),14,FALSE),"")</f>
        <v/>
      </c>
      <c r="P81" s="102" t="str">
        <f t="shared" si="18"/>
        <v/>
      </c>
    </row>
    <row r="82" spans="1:16">
      <c r="A82" s="101" t="s">
        <v>9</v>
      </c>
      <c r="B82" s="101" t="str">
        <f t="shared" si="15"/>
        <v>MA</v>
      </c>
      <c r="C82" s="101">
        <v>5</v>
      </c>
      <c r="D82" s="101" t="str">
        <f t="shared" si="6"/>
        <v>fix meas date</v>
      </c>
      <c r="E82" s="101">
        <f>VLOOKUP($A82,'30.07.18'!$A$17:$I$36,9,FALSE)</f>
        <v>43308.701388888891</v>
      </c>
      <c r="F82" s="101">
        <f t="shared" si="16"/>
        <v>2018</v>
      </c>
      <c r="G82" s="101">
        <f t="shared" si="7"/>
        <v>7</v>
      </c>
      <c r="H82" s="101">
        <f t="shared" si="8"/>
        <v>27.701388888890506</v>
      </c>
      <c r="I82" s="103">
        <f>VLOOKUP($A82,IF(C82=1,'30.07.18'!$A$17:$N$36,IF(C82=2,'02.08.18'!$A$17:$N$36,IF(C82=3,'06.08.18'!$A$17:$N$36,IF(C82=4,'09.08.18'!$A$17:$N$36,IF(C82=5,'13.08.18'!$A$17:$N$36,IF(C82=6,'20.08.18'!$A$17:$N$36,IF(C82=7,'24.08.18'!$A$38:$N$40,IF(C82=8,'27.08.18'!$A$38:$N$40,'03.09.18'!$A$38:$N$40)))))))),2,FALSE)</f>
        <v>0</v>
      </c>
      <c r="J82" s="101">
        <f t="shared" si="9"/>
        <v>1900</v>
      </c>
      <c r="K82" s="101">
        <f t="shared" si="10"/>
        <v>1</v>
      </c>
      <c r="L82" s="101">
        <f t="shared" si="11"/>
        <v>0</v>
      </c>
      <c r="M82" s="101" t="s">
        <v>164</v>
      </c>
      <c r="N82" s="102" t="str">
        <f t="shared" si="17"/>
        <v/>
      </c>
      <c r="O82" s="101" t="str">
        <f>IFERROR(VLOOKUP($A82,IF(C82=1,'30.07.18'!$A$17:$N$36,IF(C82=2,'02.08.18'!$A$17:$N$36,IF(C82=3,'06.08.18'!$A$17:$N$36,IF(C82=4,'09.08.18'!$A$17:$N$36,IF(C82=5,'13.08.18'!$A$17:$N$36,IF(C82=6,'20.08.18'!$A$17:$N$36,IF(C82=7,'24.08.18'!$A$38:$N$40,IF(C82=8,'27.08.18'!$A$38:$N$40,'03.09.18'!$A$38:$N$40)))))))),14,FALSE),"")</f>
        <v/>
      </c>
      <c r="P82" s="102" t="str">
        <f t="shared" si="18"/>
        <v/>
      </c>
    </row>
    <row r="83" spans="1:16">
      <c r="A83" s="101" t="s">
        <v>11</v>
      </c>
      <c r="B83" s="101" t="str">
        <f t="shared" si="15"/>
        <v>MA</v>
      </c>
      <c r="C83" s="101">
        <f t="shared" ref="C83:C114" si="19">C82</f>
        <v>5</v>
      </c>
      <c r="D83" s="101" t="str">
        <f t="shared" si="6"/>
        <v/>
      </c>
      <c r="E83" s="101">
        <f>VLOOKUP($A83,'30.07.18'!$A$17:$I$36,9,FALSE)</f>
        <v>43308.701388888891</v>
      </c>
      <c r="F83" s="101">
        <f t="shared" si="16"/>
        <v>2018</v>
      </c>
      <c r="G83" s="101">
        <f t="shared" si="7"/>
        <v>7</v>
      </c>
      <c r="H83" s="101">
        <f t="shared" si="8"/>
        <v>27.701388888890506</v>
      </c>
      <c r="I83" s="103">
        <f>VLOOKUP($A83,IF(C83=1,'30.07.18'!$A$17:$N$36,IF(C83=2,'02.08.18'!$A$17:$N$36,IF(C83=3,'06.08.18'!$A$17:$N$36,IF(C83=4,'09.08.18'!$A$17:$N$36,IF(C83=5,'13.08.18'!$A$17:$N$36,IF(C83=6,'20.08.18'!$A$17:$N$36,IF(C83=7,'24.08.18'!$A$38:$N$40,IF(C83=8,'27.08.18'!$A$38:$N$40,'03.09.18'!$A$38:$N$40)))))))),2,FALSE)</f>
        <v>0</v>
      </c>
      <c r="J83" s="101">
        <f t="shared" si="9"/>
        <v>1900</v>
      </c>
      <c r="K83" s="101">
        <f t="shared" si="10"/>
        <v>1</v>
      </c>
      <c r="L83" s="101">
        <f t="shared" si="11"/>
        <v>0</v>
      </c>
      <c r="M83" s="101" t="s">
        <v>164</v>
      </c>
      <c r="N83" s="102" t="str">
        <f t="shared" si="17"/>
        <v/>
      </c>
      <c r="O83" s="101" t="str">
        <f>IFERROR(VLOOKUP($A83,IF(C83=1,'30.07.18'!$A$17:$N$36,IF(C83=2,'02.08.18'!$A$17:$N$36,IF(C83=3,'06.08.18'!$A$17:$N$36,IF(C83=4,'09.08.18'!$A$17:$N$36,IF(C83=5,'13.08.18'!$A$17:$N$36,IF(C83=6,'20.08.18'!$A$17:$N$36,IF(C83=7,'24.08.18'!$A$38:$N$40,IF(C83=8,'27.08.18'!$A$38:$N$40,'03.09.18'!$A$38:$N$40)))))))),14,FALSE),"")</f>
        <v/>
      </c>
      <c r="P83" s="102" t="str">
        <f t="shared" si="18"/>
        <v/>
      </c>
    </row>
    <row r="84" spans="1:16">
      <c r="A84" s="101" t="s">
        <v>12</v>
      </c>
      <c r="B84" s="101" t="str">
        <f t="shared" si="15"/>
        <v>MA</v>
      </c>
      <c r="C84" s="101">
        <f t="shared" si="19"/>
        <v>5</v>
      </c>
      <c r="D84" s="101" t="str">
        <f t="shared" si="6"/>
        <v/>
      </c>
      <c r="E84" s="101">
        <f>VLOOKUP($A84,'30.07.18'!$A$17:$I$36,9,FALSE)</f>
        <v>43308.701388888891</v>
      </c>
      <c r="F84" s="101">
        <f t="shared" si="16"/>
        <v>2018</v>
      </c>
      <c r="G84" s="101">
        <f t="shared" si="7"/>
        <v>7</v>
      </c>
      <c r="H84" s="101">
        <f t="shared" si="8"/>
        <v>27.701388888890506</v>
      </c>
      <c r="I84" s="103">
        <f>VLOOKUP($A84,IF(C84=1,'30.07.18'!$A$17:$N$36,IF(C84=2,'02.08.18'!$A$17:$N$36,IF(C84=3,'06.08.18'!$A$17:$N$36,IF(C84=4,'09.08.18'!$A$17:$N$36,IF(C84=5,'13.08.18'!$A$17:$N$36,IF(C84=6,'20.08.18'!$A$17:$N$36,IF(C84=7,'24.08.18'!$A$38:$N$40,IF(C84=8,'27.08.18'!$A$38:$N$40,'03.09.18'!$A$38:$N$40)))))))),2,FALSE)</f>
        <v>0</v>
      </c>
      <c r="J84" s="101">
        <f t="shared" si="9"/>
        <v>1900</v>
      </c>
      <c r="K84" s="101">
        <f t="shared" si="10"/>
        <v>1</v>
      </c>
      <c r="L84" s="101">
        <f t="shared" si="11"/>
        <v>0</v>
      </c>
      <c r="M84" s="101" t="s">
        <v>164</v>
      </c>
      <c r="N84" s="102" t="str">
        <f t="shared" si="17"/>
        <v/>
      </c>
      <c r="O84" s="101" t="str">
        <f>IFERROR(VLOOKUP($A84,IF(C84=1,'30.07.18'!$A$17:$N$36,IF(C84=2,'02.08.18'!$A$17:$N$36,IF(C84=3,'06.08.18'!$A$17:$N$36,IF(C84=4,'09.08.18'!$A$17:$N$36,IF(C84=5,'13.08.18'!$A$17:$N$36,IF(C84=6,'20.08.18'!$A$17:$N$36,IF(C84=7,'24.08.18'!$A$38:$N$40,IF(C84=8,'27.08.18'!$A$38:$N$40,'03.09.18'!$A$38:$N$40)))))))),14,FALSE),"")</f>
        <v/>
      </c>
      <c r="P84" s="102" t="str">
        <f t="shared" si="18"/>
        <v/>
      </c>
    </row>
    <row r="85" spans="1:16">
      <c r="A85" s="101" t="s">
        <v>13</v>
      </c>
      <c r="B85" s="101" t="str">
        <f t="shared" si="15"/>
        <v>MB</v>
      </c>
      <c r="C85" s="101">
        <f t="shared" si="19"/>
        <v>5</v>
      </c>
      <c r="D85" s="101" t="str">
        <f t="shared" si="6"/>
        <v/>
      </c>
      <c r="E85" s="101">
        <f>VLOOKUP($A85,'30.07.18'!$A$17:$I$36,9,FALSE)</f>
        <v>43308.701388888891</v>
      </c>
      <c r="F85" s="101">
        <f t="shared" si="16"/>
        <v>2018</v>
      </c>
      <c r="G85" s="101">
        <f t="shared" si="7"/>
        <v>7</v>
      </c>
      <c r="H85" s="101">
        <f t="shared" si="8"/>
        <v>27.701388888890506</v>
      </c>
      <c r="I85" s="103">
        <f>VLOOKUP($A85,IF(C85=1,'30.07.18'!$A$17:$N$36,IF(C85=2,'02.08.18'!$A$17:$N$36,IF(C85=3,'06.08.18'!$A$17:$N$36,IF(C85=4,'09.08.18'!$A$17:$N$36,IF(C85=5,'13.08.18'!$A$17:$N$36,IF(C85=6,'20.08.18'!$A$17:$N$36,IF(C85=7,'24.08.18'!$A$38:$N$40,IF(C85=8,'27.08.18'!$A$38:$N$40,'03.09.18'!$A$38:$N$40)))))))),2,FALSE)</f>
        <v>43325.48333333333</v>
      </c>
      <c r="J85" s="101">
        <f t="shared" si="9"/>
        <v>2018</v>
      </c>
      <c r="K85" s="101">
        <f t="shared" si="10"/>
        <v>8</v>
      </c>
      <c r="L85" s="101">
        <f t="shared" si="11"/>
        <v>13.483333333329938</v>
      </c>
      <c r="M85" s="101" t="s">
        <v>164</v>
      </c>
      <c r="N85" s="102">
        <f t="shared" si="17"/>
        <v>16.781944444439432</v>
      </c>
      <c r="O85" s="101">
        <f>IFERROR(VLOOKUP($A85,IF(C85=1,'30.07.18'!$A$17:$N$36,IF(C85=2,'02.08.18'!$A$17:$N$36,IF(C85=3,'06.08.18'!$A$17:$N$36,IF(C85=4,'09.08.18'!$A$17:$N$36,IF(C85=5,'13.08.18'!$A$17:$N$36,IF(C85=6,'20.08.18'!$A$17:$N$36,IF(C85=7,'24.08.18'!$A$38:$N$40,IF(C85=8,'27.08.18'!$A$38:$N$40,'03.09.18'!$A$38:$N$40)))))))),14,FALSE),"")</f>
        <v>10.241857053586374</v>
      </c>
      <c r="P85" s="102">
        <f t="shared" si="18"/>
        <v>16.781944444439432</v>
      </c>
    </row>
    <row r="86" spans="1:16">
      <c r="A86" s="101" t="s">
        <v>14</v>
      </c>
      <c r="B86" s="101" t="str">
        <f t="shared" si="15"/>
        <v>MB</v>
      </c>
      <c r="C86" s="101">
        <f t="shared" si="19"/>
        <v>5</v>
      </c>
      <c r="D86" s="101" t="str">
        <f t="shared" ref="D86:D149" si="20">IF(AND(C86&lt;&gt;C85,I86=I85),"fix meas date","")</f>
        <v/>
      </c>
      <c r="E86" s="101">
        <f>VLOOKUP($A86,'30.07.18'!$A$17:$I$36,9,FALSE)</f>
        <v>43308.701388888891</v>
      </c>
      <c r="F86" s="101">
        <f t="shared" si="16"/>
        <v>2018</v>
      </c>
      <c r="G86" s="101">
        <f t="shared" ref="G86:G149" si="21">MONTH(E86)</f>
        <v>7</v>
      </c>
      <c r="H86" s="101">
        <f t="shared" ref="H86:H149" si="22">DAY(E86)+E86-ROUNDDOWN(E86,0)</f>
        <v>27.701388888890506</v>
      </c>
      <c r="I86" s="103">
        <f>VLOOKUP($A86,IF(C86=1,'30.07.18'!$A$17:$N$36,IF(C86=2,'02.08.18'!$A$17:$N$36,IF(C86=3,'06.08.18'!$A$17:$N$36,IF(C86=4,'09.08.18'!$A$17:$N$36,IF(C86=5,'13.08.18'!$A$17:$N$36,IF(C86=6,'20.08.18'!$A$17:$N$36,IF(C86=7,'24.08.18'!$A$38:$N$40,IF(C86=8,'27.08.18'!$A$38:$N$40,'03.09.18'!$A$38:$N$40)))))))),2,FALSE)</f>
        <v>43325.484722222223</v>
      </c>
      <c r="J86" s="101">
        <f t="shared" ref="J86:J149" si="23">YEAR(I86)</f>
        <v>2018</v>
      </c>
      <c r="K86" s="101">
        <f t="shared" ref="K86:K149" si="24">MONTH(I86)</f>
        <v>8</v>
      </c>
      <c r="L86" s="101">
        <f t="shared" ref="L86:L149" si="25">DAY(I86)+I86-ROUNDDOWN(I86,0)</f>
        <v>13.484722222223354</v>
      </c>
      <c r="M86" s="101" t="s">
        <v>164</v>
      </c>
      <c r="N86" s="102">
        <f t="shared" si="17"/>
        <v>16.783333333332848</v>
      </c>
      <c r="O86" s="101">
        <f>IFERROR(VLOOKUP($A86,IF(C86=1,'30.07.18'!$A$17:$N$36,IF(C86=2,'02.08.18'!$A$17:$N$36,IF(C86=3,'06.08.18'!$A$17:$N$36,IF(C86=4,'09.08.18'!$A$17:$N$36,IF(C86=5,'13.08.18'!$A$17:$N$36,IF(C86=6,'20.08.18'!$A$17:$N$36,IF(C86=7,'24.08.18'!$A$38:$N$40,IF(C86=8,'27.08.18'!$A$38:$N$40,'03.09.18'!$A$38:$N$40)))))))),14,FALSE),"")</f>
        <v>9.9457037814806171</v>
      </c>
      <c r="P86" s="102">
        <f t="shared" si="18"/>
        <v>16.783333333332848</v>
      </c>
    </row>
    <row r="87" spans="1:16">
      <c r="A87" s="101" t="s">
        <v>15</v>
      </c>
      <c r="B87" s="101" t="str">
        <f t="shared" si="15"/>
        <v>MB</v>
      </c>
      <c r="C87" s="101">
        <f t="shared" si="19"/>
        <v>5</v>
      </c>
      <c r="D87" s="101" t="str">
        <f t="shared" si="20"/>
        <v/>
      </c>
      <c r="E87" s="101">
        <f>VLOOKUP($A87,'30.07.18'!$A$17:$I$36,9,FALSE)</f>
        <v>43308.701388888891</v>
      </c>
      <c r="F87" s="101">
        <f t="shared" si="16"/>
        <v>2018</v>
      </c>
      <c r="G87" s="101">
        <f t="shared" si="21"/>
        <v>7</v>
      </c>
      <c r="H87" s="101">
        <f t="shared" si="22"/>
        <v>27.701388888890506</v>
      </c>
      <c r="I87" s="103">
        <f>VLOOKUP($A87,IF(C87=1,'30.07.18'!$A$17:$N$36,IF(C87=2,'02.08.18'!$A$17:$N$36,IF(C87=3,'06.08.18'!$A$17:$N$36,IF(C87=4,'09.08.18'!$A$17:$N$36,IF(C87=5,'13.08.18'!$A$17:$N$36,IF(C87=6,'20.08.18'!$A$17:$N$36,IF(C87=7,'24.08.18'!$A$38:$N$40,IF(C87=8,'27.08.18'!$A$38:$N$40,'03.09.18'!$A$38:$N$40)))))))),2,FALSE)</f>
        <v>43325.486111111109</v>
      </c>
      <c r="J87" s="101">
        <f t="shared" si="23"/>
        <v>2018</v>
      </c>
      <c r="K87" s="101">
        <f t="shared" si="24"/>
        <v>8</v>
      </c>
      <c r="L87" s="101">
        <f t="shared" si="25"/>
        <v>13.486111111109494</v>
      </c>
      <c r="M87" s="101" t="s">
        <v>164</v>
      </c>
      <c r="N87" s="102">
        <f t="shared" si="17"/>
        <v>16.784722222218988</v>
      </c>
      <c r="O87" s="101">
        <f>IFERROR(VLOOKUP($A87,IF(C87=1,'30.07.18'!$A$17:$N$36,IF(C87=2,'02.08.18'!$A$17:$N$36,IF(C87=3,'06.08.18'!$A$17:$N$36,IF(C87=4,'09.08.18'!$A$17:$N$36,IF(C87=5,'13.08.18'!$A$17:$N$36,IF(C87=6,'20.08.18'!$A$17:$N$36,IF(C87=7,'24.08.18'!$A$38:$N$40,IF(C87=8,'27.08.18'!$A$38:$N$40,'03.09.18'!$A$38:$N$40)))))))),14,FALSE),"")</f>
        <v>10.153657038662336</v>
      </c>
      <c r="P87" s="102">
        <f t="shared" si="18"/>
        <v>16.784722222218988</v>
      </c>
    </row>
    <row r="88" spans="1:16">
      <c r="A88" s="101" t="s">
        <v>16</v>
      </c>
      <c r="B88" s="101" t="str">
        <f t="shared" si="15"/>
        <v>SA</v>
      </c>
      <c r="C88" s="101">
        <f t="shared" si="19"/>
        <v>5</v>
      </c>
      <c r="D88" s="101" t="str">
        <f t="shared" si="20"/>
        <v/>
      </c>
      <c r="E88" s="101">
        <f>VLOOKUP($A88,'30.07.18'!$A$17:$I$36,9,FALSE)</f>
        <v>43308.723611111112</v>
      </c>
      <c r="F88" s="101">
        <f t="shared" si="16"/>
        <v>2018</v>
      </c>
      <c r="G88" s="101">
        <f t="shared" si="21"/>
        <v>7</v>
      </c>
      <c r="H88" s="101">
        <f t="shared" si="22"/>
        <v>27.723611111112405</v>
      </c>
      <c r="I88" s="103">
        <f>VLOOKUP($A88,IF(C88=1,'30.07.18'!$A$17:$N$36,IF(C88=2,'02.08.18'!$A$17:$N$36,IF(C88=3,'06.08.18'!$A$17:$N$36,IF(C88=4,'09.08.18'!$A$17:$N$36,IF(C88=5,'13.08.18'!$A$17:$N$36,IF(C88=6,'20.08.18'!$A$17:$N$36,IF(C88=7,'24.08.18'!$A$38:$N$40,IF(C88=8,'27.08.18'!$A$38:$N$40,'03.09.18'!$A$38:$N$40)))))))),2,FALSE)</f>
        <v>0</v>
      </c>
      <c r="J88" s="101">
        <f t="shared" si="23"/>
        <v>1900</v>
      </c>
      <c r="K88" s="101">
        <f t="shared" si="24"/>
        <v>1</v>
      </c>
      <c r="L88" s="101">
        <f t="shared" si="25"/>
        <v>0</v>
      </c>
      <c r="M88" s="101" t="s">
        <v>164</v>
      </c>
      <c r="N88" s="102" t="str">
        <f t="shared" si="17"/>
        <v/>
      </c>
      <c r="O88" s="101" t="str">
        <f>IFERROR(VLOOKUP($A88,IF(C88=1,'30.07.18'!$A$17:$N$36,IF(C88=2,'02.08.18'!$A$17:$N$36,IF(C88=3,'06.08.18'!$A$17:$N$36,IF(C88=4,'09.08.18'!$A$17:$N$36,IF(C88=5,'13.08.18'!$A$17:$N$36,IF(C88=6,'20.08.18'!$A$17:$N$36,IF(C88=7,'24.08.18'!$A$38:$N$40,IF(C88=8,'27.08.18'!$A$38:$N$40,'03.09.18'!$A$38:$N$40)))))))),14,FALSE),"")</f>
        <v/>
      </c>
      <c r="P88" s="102" t="str">
        <f t="shared" si="18"/>
        <v/>
      </c>
    </row>
    <row r="89" spans="1:16">
      <c r="A89" s="101" t="s">
        <v>17</v>
      </c>
      <c r="B89" s="101" t="str">
        <f t="shared" si="15"/>
        <v>SA</v>
      </c>
      <c r="C89" s="101">
        <f t="shared" si="19"/>
        <v>5</v>
      </c>
      <c r="D89" s="101" t="str">
        <f t="shared" si="20"/>
        <v/>
      </c>
      <c r="E89" s="101">
        <f>VLOOKUP($A89,'30.07.18'!$A$17:$I$36,9,FALSE)</f>
        <v>43308.723611111112</v>
      </c>
      <c r="F89" s="101">
        <f t="shared" si="16"/>
        <v>2018</v>
      </c>
      <c r="G89" s="101">
        <f t="shared" si="21"/>
        <v>7</v>
      </c>
      <c r="H89" s="101">
        <f t="shared" si="22"/>
        <v>27.723611111112405</v>
      </c>
      <c r="I89" s="103">
        <f>VLOOKUP($A89,IF(C89=1,'30.07.18'!$A$17:$N$36,IF(C89=2,'02.08.18'!$A$17:$N$36,IF(C89=3,'06.08.18'!$A$17:$N$36,IF(C89=4,'09.08.18'!$A$17:$N$36,IF(C89=5,'13.08.18'!$A$17:$N$36,IF(C89=6,'20.08.18'!$A$17:$N$36,IF(C89=7,'24.08.18'!$A$38:$N$40,IF(C89=8,'27.08.18'!$A$38:$N$40,'03.09.18'!$A$38:$N$40)))))))),2,FALSE)</f>
        <v>0</v>
      </c>
      <c r="J89" s="101">
        <f t="shared" si="23"/>
        <v>1900</v>
      </c>
      <c r="K89" s="101">
        <f t="shared" si="24"/>
        <v>1</v>
      </c>
      <c r="L89" s="101">
        <f t="shared" si="25"/>
        <v>0</v>
      </c>
      <c r="M89" s="101" t="s">
        <v>164</v>
      </c>
      <c r="N89" s="102" t="str">
        <f t="shared" si="17"/>
        <v/>
      </c>
      <c r="O89" s="101" t="str">
        <f>IFERROR(VLOOKUP($A89,IF(C89=1,'30.07.18'!$A$17:$N$36,IF(C89=2,'02.08.18'!$A$17:$N$36,IF(C89=3,'06.08.18'!$A$17:$N$36,IF(C89=4,'09.08.18'!$A$17:$N$36,IF(C89=5,'13.08.18'!$A$17:$N$36,IF(C89=6,'20.08.18'!$A$17:$N$36,IF(C89=7,'24.08.18'!$A$38:$N$40,IF(C89=8,'27.08.18'!$A$38:$N$40,'03.09.18'!$A$38:$N$40)))))))),14,FALSE),"")</f>
        <v/>
      </c>
      <c r="P89" s="102" t="str">
        <f t="shared" si="18"/>
        <v/>
      </c>
    </row>
    <row r="90" spans="1:16">
      <c r="A90" s="101" t="s">
        <v>18</v>
      </c>
      <c r="B90" s="101" t="str">
        <f t="shared" si="15"/>
        <v>SA</v>
      </c>
      <c r="C90" s="101">
        <f t="shared" si="19"/>
        <v>5</v>
      </c>
      <c r="D90" s="101" t="str">
        <f t="shared" si="20"/>
        <v/>
      </c>
      <c r="E90" s="101">
        <f>VLOOKUP($A90,'30.07.18'!$A$17:$I$36,9,FALSE)</f>
        <v>43308.723611111112</v>
      </c>
      <c r="F90" s="101">
        <f t="shared" si="16"/>
        <v>2018</v>
      </c>
      <c r="G90" s="101">
        <f t="shared" si="21"/>
        <v>7</v>
      </c>
      <c r="H90" s="101">
        <f t="shared" si="22"/>
        <v>27.723611111112405</v>
      </c>
      <c r="I90" s="103">
        <f>VLOOKUP($A90,IF(C90=1,'30.07.18'!$A$17:$N$36,IF(C90=2,'02.08.18'!$A$17:$N$36,IF(C90=3,'06.08.18'!$A$17:$N$36,IF(C90=4,'09.08.18'!$A$17:$N$36,IF(C90=5,'13.08.18'!$A$17:$N$36,IF(C90=6,'20.08.18'!$A$17:$N$36,IF(C90=7,'24.08.18'!$A$38:$N$40,IF(C90=8,'27.08.18'!$A$38:$N$40,'03.09.18'!$A$38:$N$40)))))))),2,FALSE)</f>
        <v>0</v>
      </c>
      <c r="J90" s="101">
        <f t="shared" si="23"/>
        <v>1900</v>
      </c>
      <c r="K90" s="101">
        <f t="shared" si="24"/>
        <v>1</v>
      </c>
      <c r="L90" s="101">
        <f t="shared" si="25"/>
        <v>0</v>
      </c>
      <c r="M90" s="101" t="s">
        <v>164</v>
      </c>
      <c r="N90" s="102" t="str">
        <f t="shared" si="17"/>
        <v/>
      </c>
      <c r="O90" s="101" t="str">
        <f>IFERROR(VLOOKUP($A90,IF(C90=1,'30.07.18'!$A$17:$N$36,IF(C90=2,'02.08.18'!$A$17:$N$36,IF(C90=3,'06.08.18'!$A$17:$N$36,IF(C90=4,'09.08.18'!$A$17:$N$36,IF(C90=5,'13.08.18'!$A$17:$N$36,IF(C90=6,'20.08.18'!$A$17:$N$36,IF(C90=7,'24.08.18'!$A$38:$N$40,IF(C90=8,'27.08.18'!$A$38:$N$40,'03.09.18'!$A$38:$N$40)))))))),14,FALSE),"")</f>
        <v/>
      </c>
      <c r="P90" s="102" t="str">
        <f t="shared" si="18"/>
        <v/>
      </c>
    </row>
    <row r="91" spans="1:16">
      <c r="A91" s="101" t="s">
        <v>19</v>
      </c>
      <c r="B91" s="101" t="str">
        <f t="shared" si="15"/>
        <v>SB</v>
      </c>
      <c r="C91" s="101">
        <f t="shared" si="19"/>
        <v>5</v>
      </c>
      <c r="D91" s="101" t="str">
        <f t="shared" si="20"/>
        <v/>
      </c>
      <c r="E91" s="101">
        <f>VLOOKUP($A91,'30.07.18'!$A$17:$I$36,9,FALSE)</f>
        <v>43308.723611111112</v>
      </c>
      <c r="F91" s="101">
        <f t="shared" si="16"/>
        <v>2018</v>
      </c>
      <c r="G91" s="101">
        <f t="shared" si="21"/>
        <v>7</v>
      </c>
      <c r="H91" s="101">
        <f t="shared" si="22"/>
        <v>27.723611111112405</v>
      </c>
      <c r="I91" s="103">
        <f>VLOOKUP($A91,IF(C91=1,'30.07.18'!$A$17:$N$36,IF(C91=2,'02.08.18'!$A$17:$N$36,IF(C91=3,'06.08.18'!$A$17:$N$36,IF(C91=4,'09.08.18'!$A$17:$N$36,IF(C91=5,'13.08.18'!$A$17:$N$36,IF(C91=6,'20.08.18'!$A$17:$N$36,IF(C91=7,'24.08.18'!$A$38:$N$40,IF(C91=8,'27.08.18'!$A$38:$N$40,'03.09.18'!$A$38:$N$40)))))))),2,FALSE)</f>
        <v>43325.476388888892</v>
      </c>
      <c r="J91" s="101">
        <f t="shared" si="23"/>
        <v>2018</v>
      </c>
      <c r="K91" s="101">
        <f t="shared" si="24"/>
        <v>8</v>
      </c>
      <c r="L91" s="101">
        <f t="shared" si="25"/>
        <v>13.476388888891961</v>
      </c>
      <c r="M91" s="101" t="s">
        <v>164</v>
      </c>
      <c r="N91" s="102">
        <f t="shared" si="17"/>
        <v>16.752777777779556</v>
      </c>
      <c r="O91" s="101">
        <f>IFERROR(VLOOKUP($A91,IF(C91=1,'30.07.18'!$A$17:$N$36,IF(C91=2,'02.08.18'!$A$17:$N$36,IF(C91=3,'06.08.18'!$A$17:$N$36,IF(C91=4,'09.08.18'!$A$17:$N$36,IF(C91=5,'13.08.18'!$A$17:$N$36,IF(C91=6,'20.08.18'!$A$17:$N$36,IF(C91=7,'24.08.18'!$A$38:$N$40,IF(C91=8,'27.08.18'!$A$38:$N$40,'03.09.18'!$A$38:$N$40)))))))),14,FALSE),"")</f>
        <v>18.036319757673677</v>
      </c>
      <c r="P91" s="102">
        <f t="shared" si="18"/>
        <v>16.752777777779556</v>
      </c>
    </row>
    <row r="92" spans="1:16">
      <c r="A92" s="101" t="s">
        <v>20</v>
      </c>
      <c r="B92" s="101" t="str">
        <f t="shared" si="15"/>
        <v>SB</v>
      </c>
      <c r="C92" s="101">
        <f t="shared" si="19"/>
        <v>5</v>
      </c>
      <c r="D92" s="101" t="str">
        <f t="shared" si="20"/>
        <v/>
      </c>
      <c r="E92" s="101">
        <f>VLOOKUP($A92,'30.07.18'!$A$17:$I$36,9,FALSE)</f>
        <v>43308.723611111112</v>
      </c>
      <c r="F92" s="101">
        <f t="shared" si="16"/>
        <v>2018</v>
      </c>
      <c r="G92" s="101">
        <f t="shared" si="21"/>
        <v>7</v>
      </c>
      <c r="H92" s="101">
        <f t="shared" si="22"/>
        <v>27.723611111112405</v>
      </c>
      <c r="I92" s="103">
        <f>VLOOKUP($A92,IF(C92=1,'30.07.18'!$A$17:$N$36,IF(C92=2,'02.08.18'!$A$17:$N$36,IF(C92=3,'06.08.18'!$A$17:$N$36,IF(C92=4,'09.08.18'!$A$17:$N$36,IF(C92=5,'13.08.18'!$A$17:$N$36,IF(C92=6,'20.08.18'!$A$17:$N$36,IF(C92=7,'24.08.18'!$A$38:$N$40,IF(C92=8,'27.08.18'!$A$38:$N$40,'03.09.18'!$A$38:$N$40)))))))),2,FALSE)</f>
        <v>43325.479166666664</v>
      </c>
      <c r="J92" s="101">
        <f t="shared" si="23"/>
        <v>2018</v>
      </c>
      <c r="K92" s="101">
        <f t="shared" si="24"/>
        <v>8</v>
      </c>
      <c r="L92" s="101">
        <f t="shared" si="25"/>
        <v>13.479166666664241</v>
      </c>
      <c r="M92" s="101" t="s">
        <v>164</v>
      </c>
      <c r="N92" s="102">
        <f t="shared" si="17"/>
        <v>16.755555555551837</v>
      </c>
      <c r="O92" s="101">
        <f>IFERROR(VLOOKUP($A92,IF(C92=1,'30.07.18'!$A$17:$N$36,IF(C92=2,'02.08.18'!$A$17:$N$36,IF(C92=3,'06.08.18'!$A$17:$N$36,IF(C92=4,'09.08.18'!$A$17:$N$36,IF(C92=5,'13.08.18'!$A$17:$N$36,IF(C92=6,'20.08.18'!$A$17:$N$36,IF(C92=7,'24.08.18'!$A$38:$N$40,IF(C92=8,'27.08.18'!$A$38:$N$40,'03.09.18'!$A$38:$N$40)))))))),14,FALSE),"")</f>
        <v>17.785493519383866</v>
      </c>
      <c r="P92" s="102">
        <f t="shared" si="18"/>
        <v>16.755555555551837</v>
      </c>
    </row>
    <row r="93" spans="1:16">
      <c r="A93" s="101" t="s">
        <v>21</v>
      </c>
      <c r="B93" s="101" t="str">
        <f t="shared" si="15"/>
        <v>SB</v>
      </c>
      <c r="C93" s="101">
        <f t="shared" si="19"/>
        <v>5</v>
      </c>
      <c r="D93" s="101" t="str">
        <f t="shared" si="20"/>
        <v/>
      </c>
      <c r="E93" s="101">
        <f>VLOOKUP($A93,'30.07.18'!$A$17:$I$36,9,FALSE)</f>
        <v>43308.729166666664</v>
      </c>
      <c r="F93" s="101">
        <f t="shared" si="16"/>
        <v>2018</v>
      </c>
      <c r="G93" s="101">
        <f t="shared" si="21"/>
        <v>7</v>
      </c>
      <c r="H93" s="101">
        <f t="shared" si="22"/>
        <v>27.729166666664241</v>
      </c>
      <c r="I93" s="103">
        <f>VLOOKUP($A93,IF(C93=1,'30.07.18'!$A$17:$N$36,IF(C93=2,'02.08.18'!$A$17:$N$36,IF(C93=3,'06.08.18'!$A$17:$N$36,IF(C93=4,'09.08.18'!$A$17:$N$36,IF(C93=5,'13.08.18'!$A$17:$N$36,IF(C93=6,'20.08.18'!$A$17:$N$36,IF(C93=7,'24.08.18'!$A$38:$N$40,IF(C93=8,'27.08.18'!$A$38:$N$40,'03.09.18'!$A$38:$N$40)))))))),2,FALSE)</f>
        <v>43325.480555555558</v>
      </c>
      <c r="J93" s="101">
        <f t="shared" si="23"/>
        <v>2018</v>
      </c>
      <c r="K93" s="101">
        <f t="shared" si="24"/>
        <v>8</v>
      </c>
      <c r="L93" s="101">
        <f t="shared" si="25"/>
        <v>13.480555555557657</v>
      </c>
      <c r="M93" s="101" t="s">
        <v>164</v>
      </c>
      <c r="N93" s="102">
        <f t="shared" si="17"/>
        <v>16.751388888893416</v>
      </c>
      <c r="O93" s="101">
        <f>IFERROR(VLOOKUP($A93,IF(C93=1,'30.07.18'!$A$17:$N$36,IF(C93=2,'02.08.18'!$A$17:$N$36,IF(C93=3,'06.08.18'!$A$17:$N$36,IF(C93=4,'09.08.18'!$A$17:$N$36,IF(C93=5,'13.08.18'!$A$17:$N$36,IF(C93=6,'20.08.18'!$A$17:$N$36,IF(C93=7,'24.08.18'!$A$38:$N$40,IF(C93=8,'27.08.18'!$A$38:$N$40,'03.09.18'!$A$38:$N$40)))))))),14,FALSE),"")</f>
        <v>18.91371925817441</v>
      </c>
      <c r="P93" s="102">
        <f t="shared" si="18"/>
        <v>16.751388888893416</v>
      </c>
    </row>
    <row r="94" spans="1:16">
      <c r="A94" s="101" t="s">
        <v>22</v>
      </c>
      <c r="B94" s="101" t="str">
        <f t="shared" si="15"/>
        <v>Du123</v>
      </c>
      <c r="C94" s="101">
        <f t="shared" si="19"/>
        <v>5</v>
      </c>
      <c r="D94" s="101" t="str">
        <f t="shared" si="20"/>
        <v/>
      </c>
      <c r="E94" s="101">
        <f>VLOOKUP($A94,'30.07.18'!$A$17:$I$36,9,FALSE)</f>
        <v>43308.729166666664</v>
      </c>
      <c r="F94" s="101">
        <f t="shared" si="16"/>
        <v>2018</v>
      </c>
      <c r="G94" s="101">
        <f t="shared" si="21"/>
        <v>7</v>
      </c>
      <c r="H94" s="101">
        <f t="shared" si="22"/>
        <v>27.729166666664241</v>
      </c>
      <c r="I94" s="103">
        <f>VLOOKUP($A94,IF(C94=1,'30.07.18'!$A$17:$N$36,IF(C94=2,'02.08.18'!$A$17:$N$36,IF(C94=3,'06.08.18'!$A$17:$N$36,IF(C94=4,'09.08.18'!$A$17:$N$36,IF(C94=5,'13.08.18'!$A$17:$N$36,IF(C94=6,'20.08.18'!$A$17:$N$36,IF(C94=7,'24.08.18'!$A$38:$N$40,IF(C94=8,'27.08.18'!$A$38:$N$40,'03.09.18'!$A$38:$N$40)))))))),2,FALSE)</f>
        <v>0</v>
      </c>
      <c r="J94" s="101">
        <f t="shared" si="23"/>
        <v>1900</v>
      </c>
      <c r="K94" s="101">
        <f t="shared" si="24"/>
        <v>1</v>
      </c>
      <c r="L94" s="101">
        <f t="shared" si="25"/>
        <v>0</v>
      </c>
      <c r="M94" s="101" t="s">
        <v>164</v>
      </c>
      <c r="N94" s="102" t="str">
        <f t="shared" si="17"/>
        <v/>
      </c>
      <c r="O94" s="101" t="str">
        <f>IFERROR(VLOOKUP($A94,IF(C94=1,'30.07.18'!$A$17:$N$36,IF(C94=2,'02.08.18'!$A$17:$N$36,IF(C94=3,'06.08.18'!$A$17:$N$36,IF(C94=4,'09.08.18'!$A$17:$N$36,IF(C94=5,'13.08.18'!$A$17:$N$36,IF(C94=6,'20.08.18'!$A$17:$N$36,IF(C94=7,'24.08.18'!$A$38:$N$40,IF(C94=8,'27.08.18'!$A$38:$N$40,'03.09.18'!$A$38:$N$40)))))))),14,FALSE),"")</f>
        <v/>
      </c>
      <c r="P94" s="102" t="str">
        <f t="shared" si="18"/>
        <v/>
      </c>
    </row>
    <row r="95" spans="1:16">
      <c r="A95" s="101" t="s">
        <v>23</v>
      </c>
      <c r="B95" s="101" t="str">
        <f t="shared" si="15"/>
        <v>Du120</v>
      </c>
      <c r="C95" s="101">
        <f t="shared" si="19"/>
        <v>5</v>
      </c>
      <c r="D95" s="101" t="str">
        <f t="shared" si="20"/>
        <v/>
      </c>
      <c r="E95" s="101">
        <f>VLOOKUP($A95,'30.07.18'!$A$17:$I$36,9,FALSE)</f>
        <v>43308.729166666664</v>
      </c>
      <c r="F95" s="101">
        <f t="shared" si="16"/>
        <v>2018</v>
      </c>
      <c r="G95" s="101">
        <f t="shared" si="21"/>
        <v>7</v>
      </c>
      <c r="H95" s="101">
        <f t="shared" si="22"/>
        <v>27.729166666664241</v>
      </c>
      <c r="I95" s="103">
        <f>VLOOKUP($A95,IF(C95=1,'30.07.18'!$A$17:$N$36,IF(C95=2,'02.08.18'!$A$17:$N$36,IF(C95=3,'06.08.18'!$A$17:$N$36,IF(C95=4,'09.08.18'!$A$17:$N$36,IF(C95=5,'13.08.18'!$A$17:$N$36,IF(C95=6,'20.08.18'!$A$17:$N$36,IF(C95=7,'24.08.18'!$A$38:$N$40,IF(C95=8,'27.08.18'!$A$38:$N$40,'03.09.18'!$A$38:$N$40)))))))),2,FALSE)</f>
        <v>43325.481944444444</v>
      </c>
      <c r="J95" s="101">
        <f t="shared" si="23"/>
        <v>2018</v>
      </c>
      <c r="K95" s="101">
        <f t="shared" si="24"/>
        <v>8</v>
      </c>
      <c r="L95" s="101">
        <f t="shared" si="25"/>
        <v>13.481944444443798</v>
      </c>
      <c r="M95" s="101" t="s">
        <v>164</v>
      </c>
      <c r="N95" s="102">
        <f t="shared" si="17"/>
        <v>16.752777777779556</v>
      </c>
      <c r="O95" s="101">
        <f>IFERROR(VLOOKUP($A95,IF(C95=1,'30.07.18'!$A$17:$N$36,IF(C95=2,'02.08.18'!$A$17:$N$36,IF(C95=3,'06.08.18'!$A$17:$N$36,IF(C95=4,'09.08.18'!$A$17:$N$36,IF(C95=5,'13.08.18'!$A$17:$N$36,IF(C95=6,'20.08.18'!$A$17:$N$36,IF(C95=7,'24.08.18'!$A$38:$N$40,IF(C95=8,'27.08.18'!$A$38:$N$40,'03.09.18'!$A$38:$N$40)))))))),14,FALSE),"")</f>
        <v>21.72127094613278</v>
      </c>
      <c r="P95" s="102">
        <f t="shared" si="18"/>
        <v>16.752777777779556</v>
      </c>
    </row>
    <row r="96" spans="1:16">
      <c r="A96" s="101" t="s">
        <v>24</v>
      </c>
      <c r="B96" s="101" t="str">
        <f t="shared" si="15"/>
        <v>TVA 4E C</v>
      </c>
      <c r="C96" s="101">
        <f t="shared" si="19"/>
        <v>5</v>
      </c>
      <c r="D96" s="101" t="str">
        <f t="shared" si="20"/>
        <v/>
      </c>
      <c r="E96" s="101">
        <f>VLOOKUP($A96,'30.07.18'!$A$17:$I$36,9,FALSE)</f>
        <v>43308.729166666664</v>
      </c>
      <c r="F96" s="101">
        <f t="shared" si="16"/>
        <v>2018</v>
      </c>
      <c r="G96" s="101">
        <f t="shared" si="21"/>
        <v>7</v>
      </c>
      <c r="H96" s="101">
        <f t="shared" si="22"/>
        <v>27.729166666664241</v>
      </c>
      <c r="I96" s="103">
        <f>VLOOKUP($A96,IF(C96=1,'30.07.18'!$A$17:$N$36,IF(C96=2,'02.08.18'!$A$17:$N$36,IF(C96=3,'06.08.18'!$A$17:$N$36,IF(C96=4,'09.08.18'!$A$17:$N$36,IF(C96=5,'13.08.18'!$A$17:$N$36,IF(C96=6,'20.08.18'!$A$17:$N$36,IF(C96=7,'24.08.18'!$A$38:$N$40,IF(C96=8,'27.08.18'!$A$38:$N$40,'03.09.18'!$A$38:$N$40)))))))),2,FALSE)</f>
        <v>0</v>
      </c>
      <c r="J96" s="101">
        <f t="shared" si="23"/>
        <v>1900</v>
      </c>
      <c r="K96" s="101">
        <f t="shared" si="24"/>
        <v>1</v>
      </c>
      <c r="L96" s="101">
        <f t="shared" si="25"/>
        <v>0</v>
      </c>
      <c r="M96" s="101" t="s">
        <v>164</v>
      </c>
      <c r="N96" s="102" t="str">
        <f t="shared" si="17"/>
        <v/>
      </c>
      <c r="O96" s="101" t="str">
        <f>IFERROR(VLOOKUP($A96,IF(C96=1,'30.07.18'!$A$17:$N$36,IF(C96=2,'02.08.18'!$A$17:$N$36,IF(C96=3,'06.08.18'!$A$17:$N$36,IF(C96=4,'09.08.18'!$A$17:$N$36,IF(C96=5,'13.08.18'!$A$17:$N$36,IF(C96=6,'20.08.18'!$A$17:$N$36,IF(C96=7,'24.08.18'!$A$38:$N$40,IF(C96=8,'27.08.18'!$A$38:$N$40,'03.09.18'!$A$38:$N$40)))))))),14,FALSE),"")</f>
        <v/>
      </c>
      <c r="P96" s="102" t="str">
        <f t="shared" si="18"/>
        <v/>
      </c>
    </row>
    <row r="97" spans="1:16">
      <c r="A97" s="101" t="s">
        <v>25</v>
      </c>
      <c r="B97" s="101" t="str">
        <f t="shared" si="15"/>
        <v>TVA 6E C</v>
      </c>
      <c r="C97" s="101">
        <f t="shared" si="19"/>
        <v>5</v>
      </c>
      <c r="D97" s="101" t="str">
        <f t="shared" si="20"/>
        <v/>
      </c>
      <c r="E97" s="101">
        <f>VLOOKUP($A97,'30.07.18'!$A$17:$I$36,9,FALSE)</f>
        <v>43308.73541666667</v>
      </c>
      <c r="F97" s="101">
        <f t="shared" si="16"/>
        <v>2018</v>
      </c>
      <c r="G97" s="101">
        <f t="shared" si="21"/>
        <v>7</v>
      </c>
      <c r="H97" s="101">
        <f t="shared" si="22"/>
        <v>27.735416666670062</v>
      </c>
      <c r="I97" s="103">
        <f>VLOOKUP($A97,IF(C97=1,'30.07.18'!$A$17:$N$36,IF(C97=2,'02.08.18'!$A$17:$N$36,IF(C97=3,'06.08.18'!$A$17:$N$36,IF(C97=4,'09.08.18'!$A$17:$N$36,IF(C97=5,'13.08.18'!$A$17:$N$36,IF(C97=6,'20.08.18'!$A$17:$N$36,IF(C97=7,'24.08.18'!$A$38:$N$40,IF(C97=8,'27.08.18'!$A$38:$N$40,'03.09.18'!$A$38:$N$40)))))))),2,FALSE)</f>
        <v>0</v>
      </c>
      <c r="J97" s="101">
        <f t="shared" si="23"/>
        <v>1900</v>
      </c>
      <c r="K97" s="101">
        <f t="shared" si="24"/>
        <v>1</v>
      </c>
      <c r="L97" s="101">
        <f t="shared" si="25"/>
        <v>0</v>
      </c>
      <c r="M97" s="101" t="s">
        <v>164</v>
      </c>
      <c r="N97" s="102" t="str">
        <f t="shared" si="17"/>
        <v/>
      </c>
      <c r="O97" s="101" t="str">
        <f>IFERROR(VLOOKUP($A97,IF(C97=1,'30.07.18'!$A$17:$N$36,IF(C97=2,'02.08.18'!$A$17:$N$36,IF(C97=3,'06.08.18'!$A$17:$N$36,IF(C97=4,'09.08.18'!$A$17:$N$36,IF(C97=5,'13.08.18'!$A$17:$N$36,IF(C97=6,'20.08.18'!$A$17:$N$36,IF(C97=7,'24.08.18'!$A$38:$N$40,IF(C97=8,'27.08.18'!$A$38:$N$40,'03.09.18'!$A$38:$N$40)))))))),14,FALSE),"")</f>
        <v/>
      </c>
      <c r="P97" s="102" t="str">
        <f t="shared" si="18"/>
        <v/>
      </c>
    </row>
    <row r="98" spans="1:16">
      <c r="A98" s="101" t="s">
        <v>26</v>
      </c>
      <c r="B98" s="101" t="str">
        <f t="shared" si="15"/>
        <v>TVA 8E C</v>
      </c>
      <c r="C98" s="101">
        <f t="shared" si="19"/>
        <v>5</v>
      </c>
      <c r="D98" s="101" t="str">
        <f t="shared" si="20"/>
        <v/>
      </c>
      <c r="E98" s="101">
        <f>VLOOKUP($A98,'30.07.18'!$A$17:$I$36,9,FALSE)</f>
        <v>43308.73541666667</v>
      </c>
      <c r="F98" s="101">
        <f t="shared" si="16"/>
        <v>2018</v>
      </c>
      <c r="G98" s="101">
        <f t="shared" si="21"/>
        <v>7</v>
      </c>
      <c r="H98" s="101">
        <f t="shared" si="22"/>
        <v>27.735416666670062</v>
      </c>
      <c r="I98" s="103">
        <f>VLOOKUP($A98,IF(C98=1,'30.07.18'!$A$17:$N$36,IF(C98=2,'02.08.18'!$A$17:$N$36,IF(C98=3,'06.08.18'!$A$17:$N$36,IF(C98=4,'09.08.18'!$A$17:$N$36,IF(C98=5,'13.08.18'!$A$17:$N$36,IF(C98=6,'20.08.18'!$A$17:$N$36,IF(C98=7,'24.08.18'!$A$38:$N$40,IF(C98=8,'27.08.18'!$A$38:$N$40,'03.09.18'!$A$38:$N$40)))))))),2,FALSE)</f>
        <v>0</v>
      </c>
      <c r="J98" s="101">
        <f t="shared" si="23"/>
        <v>1900</v>
      </c>
      <c r="K98" s="101">
        <f t="shared" si="24"/>
        <v>1</v>
      </c>
      <c r="L98" s="101">
        <f t="shared" si="25"/>
        <v>0</v>
      </c>
      <c r="M98" s="101" t="s">
        <v>164</v>
      </c>
      <c r="N98" s="102" t="str">
        <f t="shared" si="17"/>
        <v/>
      </c>
      <c r="O98" s="101" t="str">
        <f>IFERROR(VLOOKUP($A98,IF(C98=1,'30.07.18'!$A$17:$N$36,IF(C98=2,'02.08.18'!$A$17:$N$36,IF(C98=3,'06.08.18'!$A$17:$N$36,IF(C98=4,'09.08.18'!$A$17:$N$36,IF(C98=5,'13.08.18'!$A$17:$N$36,IF(C98=6,'20.08.18'!$A$17:$N$36,IF(C98=7,'24.08.18'!$A$38:$N$40,IF(C98=8,'27.08.18'!$A$38:$N$40,'03.09.18'!$A$38:$N$40)))))))),14,FALSE),"")</f>
        <v/>
      </c>
      <c r="P98" s="102" t="str">
        <f t="shared" si="18"/>
        <v/>
      </c>
    </row>
    <row r="99" spans="1:16">
      <c r="A99" s="101" t="s">
        <v>27</v>
      </c>
      <c r="B99" s="101" t="str">
        <f t="shared" si="15"/>
        <v>TVA 2B C</v>
      </c>
      <c r="C99" s="101">
        <f t="shared" si="19"/>
        <v>5</v>
      </c>
      <c r="D99" s="101" t="str">
        <f t="shared" si="20"/>
        <v/>
      </c>
      <c r="E99" s="101">
        <f>VLOOKUP($A99,'30.07.18'!$A$17:$I$36,9,FALSE)</f>
        <v>43308.73541666667</v>
      </c>
      <c r="F99" s="101">
        <f t="shared" si="16"/>
        <v>2018</v>
      </c>
      <c r="G99" s="101">
        <f t="shared" si="21"/>
        <v>7</v>
      </c>
      <c r="H99" s="101">
        <f t="shared" si="22"/>
        <v>27.735416666670062</v>
      </c>
      <c r="I99" s="103">
        <f>VLOOKUP($A99,IF(C99=1,'30.07.18'!$A$17:$N$36,IF(C99=2,'02.08.18'!$A$17:$N$36,IF(C99=3,'06.08.18'!$A$17:$N$36,IF(C99=4,'09.08.18'!$A$17:$N$36,IF(C99=5,'13.08.18'!$A$17:$N$36,IF(C99=6,'20.08.18'!$A$17:$N$36,IF(C99=7,'24.08.18'!$A$38:$N$40,IF(C99=8,'27.08.18'!$A$38:$N$40,'03.09.18'!$A$38:$N$40)))))))),2,FALSE)</f>
        <v>0</v>
      </c>
      <c r="J99" s="101">
        <f t="shared" si="23"/>
        <v>1900</v>
      </c>
      <c r="K99" s="101">
        <f t="shared" si="24"/>
        <v>1</v>
      </c>
      <c r="L99" s="101">
        <f t="shared" si="25"/>
        <v>0</v>
      </c>
      <c r="M99" s="101" t="s">
        <v>164</v>
      </c>
      <c r="N99" s="102" t="str">
        <f t="shared" si="17"/>
        <v/>
      </c>
      <c r="O99" s="101" t="str">
        <f>IFERROR(VLOOKUP($A99,IF(C99=1,'30.07.18'!$A$17:$N$36,IF(C99=2,'02.08.18'!$A$17:$N$36,IF(C99=3,'06.08.18'!$A$17:$N$36,IF(C99=4,'09.08.18'!$A$17:$N$36,IF(C99=5,'13.08.18'!$A$17:$N$36,IF(C99=6,'20.08.18'!$A$17:$N$36,IF(C99=7,'24.08.18'!$A$38:$N$40,IF(C99=8,'27.08.18'!$A$38:$N$40,'03.09.18'!$A$38:$N$40)))))))),14,FALSE),"")</f>
        <v/>
      </c>
      <c r="P99" s="102" t="str">
        <f t="shared" si="18"/>
        <v/>
      </c>
    </row>
    <row r="100" spans="1:16">
      <c r="A100" s="101" t="s">
        <v>28</v>
      </c>
      <c r="B100" s="101" t="str">
        <f t="shared" si="15"/>
        <v>TVA 3B C</v>
      </c>
      <c r="C100" s="101">
        <f t="shared" si="19"/>
        <v>5</v>
      </c>
      <c r="D100" s="101" t="str">
        <f t="shared" si="20"/>
        <v/>
      </c>
      <c r="E100" s="101">
        <f>VLOOKUP($A100,'30.07.18'!$A$17:$I$36,9,FALSE)</f>
        <v>43308.73541666667</v>
      </c>
      <c r="F100" s="101">
        <f t="shared" si="16"/>
        <v>2018</v>
      </c>
      <c r="G100" s="101">
        <f t="shared" si="21"/>
        <v>7</v>
      </c>
      <c r="H100" s="101">
        <f t="shared" si="22"/>
        <v>27.735416666670062</v>
      </c>
      <c r="I100" s="103">
        <f>VLOOKUP($A100,IF(C100=1,'30.07.18'!$A$17:$N$36,IF(C100=2,'02.08.18'!$A$17:$N$36,IF(C100=3,'06.08.18'!$A$17:$N$36,IF(C100=4,'09.08.18'!$A$17:$N$36,IF(C100=5,'13.08.18'!$A$17:$N$36,IF(C100=6,'20.08.18'!$A$17:$N$36,IF(C100=7,'24.08.18'!$A$38:$N$40,IF(C100=8,'27.08.18'!$A$38:$N$40,'03.09.18'!$A$38:$N$40)))))))),2,FALSE)</f>
        <v>0</v>
      </c>
      <c r="J100" s="101">
        <f t="shared" si="23"/>
        <v>1900</v>
      </c>
      <c r="K100" s="101">
        <f t="shared" si="24"/>
        <v>1</v>
      </c>
      <c r="L100" s="101">
        <f t="shared" si="25"/>
        <v>0</v>
      </c>
      <c r="M100" s="101" t="s">
        <v>164</v>
      </c>
      <c r="N100" s="102" t="str">
        <f t="shared" si="17"/>
        <v/>
      </c>
      <c r="O100" s="101" t="str">
        <f>IFERROR(VLOOKUP($A100,IF(C100=1,'30.07.18'!$A$17:$N$36,IF(C100=2,'02.08.18'!$A$17:$N$36,IF(C100=3,'06.08.18'!$A$17:$N$36,IF(C100=4,'09.08.18'!$A$17:$N$36,IF(C100=5,'13.08.18'!$A$17:$N$36,IF(C100=6,'20.08.18'!$A$17:$N$36,IF(C100=7,'24.08.18'!$A$38:$N$40,IF(C100=8,'27.08.18'!$A$38:$N$40,'03.09.18'!$A$38:$N$40)))))))),14,FALSE),"")</f>
        <v/>
      </c>
      <c r="P100" s="102" t="str">
        <f t="shared" si="18"/>
        <v/>
      </c>
    </row>
    <row r="101" spans="1:16">
      <c r="A101" s="101" t="s">
        <v>29</v>
      </c>
      <c r="B101" s="101" t="str">
        <f t="shared" si="15"/>
        <v>TVA 5B C</v>
      </c>
      <c r="C101" s="101">
        <f t="shared" si="19"/>
        <v>5</v>
      </c>
      <c r="D101" s="101" t="str">
        <f t="shared" si="20"/>
        <v/>
      </c>
      <c r="E101" s="101">
        <f>VLOOKUP($A101,'30.07.18'!$A$17:$I$36,9,FALSE)</f>
        <v>43308.73541666667</v>
      </c>
      <c r="F101" s="101">
        <f t="shared" si="16"/>
        <v>2018</v>
      </c>
      <c r="G101" s="101">
        <f t="shared" si="21"/>
        <v>7</v>
      </c>
      <c r="H101" s="101">
        <f t="shared" si="22"/>
        <v>27.735416666670062</v>
      </c>
      <c r="I101" s="103">
        <f>VLOOKUP($A101,IF(C101=1,'30.07.18'!$A$17:$N$36,IF(C101=2,'02.08.18'!$A$17:$N$36,IF(C101=3,'06.08.18'!$A$17:$N$36,IF(C101=4,'09.08.18'!$A$17:$N$36,IF(C101=5,'13.08.18'!$A$17:$N$36,IF(C101=6,'20.08.18'!$A$17:$N$36,IF(C101=7,'24.08.18'!$A$38:$N$40,IF(C101=8,'27.08.18'!$A$38:$N$40,'03.09.18'!$A$38:$N$40)))))))),2,FALSE)</f>
        <v>0</v>
      </c>
      <c r="J101" s="101">
        <f t="shared" si="23"/>
        <v>1900</v>
      </c>
      <c r="K101" s="101">
        <f t="shared" si="24"/>
        <v>1</v>
      </c>
      <c r="L101" s="101">
        <f t="shared" si="25"/>
        <v>0</v>
      </c>
      <c r="M101" s="101" t="s">
        <v>164</v>
      </c>
      <c r="N101" s="102" t="str">
        <f t="shared" si="17"/>
        <v/>
      </c>
      <c r="O101" s="101" t="str">
        <f>IFERROR(VLOOKUP($A101,IF(C101=1,'30.07.18'!$A$17:$N$36,IF(C101=2,'02.08.18'!$A$17:$N$36,IF(C101=3,'06.08.18'!$A$17:$N$36,IF(C101=4,'09.08.18'!$A$17:$N$36,IF(C101=5,'13.08.18'!$A$17:$N$36,IF(C101=6,'20.08.18'!$A$17:$N$36,IF(C101=7,'24.08.18'!$A$38:$N$40,IF(C101=8,'27.08.18'!$A$38:$N$40,'03.09.18'!$A$38:$N$40)))))))),14,FALSE),"")</f>
        <v/>
      </c>
      <c r="P101" s="102" t="str">
        <f t="shared" si="18"/>
        <v/>
      </c>
    </row>
    <row r="102" spans="1:16">
      <c r="A102" s="101" t="s">
        <v>9</v>
      </c>
      <c r="B102" s="101" t="str">
        <f t="shared" si="15"/>
        <v>MA</v>
      </c>
      <c r="C102" s="101">
        <v>6</v>
      </c>
      <c r="D102" s="101" t="str">
        <f t="shared" si="20"/>
        <v>fix meas date</v>
      </c>
      <c r="E102" s="101">
        <f>VLOOKUP($A102,'30.07.18'!$A$17:$I$36,9,FALSE)</f>
        <v>43308.701388888891</v>
      </c>
      <c r="F102" s="101">
        <f t="shared" si="16"/>
        <v>2018</v>
      </c>
      <c r="G102" s="101">
        <f t="shared" si="21"/>
        <v>7</v>
      </c>
      <c r="H102" s="101">
        <f t="shared" si="22"/>
        <v>27.701388888890506</v>
      </c>
      <c r="I102" s="103">
        <f>VLOOKUP($A102,IF(C102=1,'30.07.18'!$A$17:$N$36,IF(C102=2,'02.08.18'!$A$17:$N$36,IF(C102=3,'06.08.18'!$A$17:$N$36,IF(C102=4,'09.08.18'!$A$17:$N$36,IF(C102=5,'13.08.18'!$A$17:$N$36,IF(C102=6,'20.08.18'!$A$17:$N$36,IF(C102=7,'24.08.18'!$A$38:$N$40,IF(C102=8,'27.08.18'!$A$38:$N$40,'03.09.18'!$A$38:$N$40)))))))),2,FALSE)</f>
        <v>0</v>
      </c>
      <c r="J102" s="101">
        <f t="shared" si="23"/>
        <v>1900</v>
      </c>
      <c r="K102" s="101">
        <f t="shared" si="24"/>
        <v>1</v>
      </c>
      <c r="L102" s="101">
        <f t="shared" si="25"/>
        <v>0</v>
      </c>
      <c r="M102" s="101" t="s">
        <v>164</v>
      </c>
      <c r="N102" s="102" t="str">
        <f t="shared" si="17"/>
        <v/>
      </c>
      <c r="O102" s="101" t="str">
        <f>IFERROR(VLOOKUP($A102,IF(C102=1,'30.07.18'!$A$17:$N$36,IF(C102=2,'02.08.18'!$A$17:$N$36,IF(C102=3,'06.08.18'!$A$17:$N$36,IF(C102=4,'09.08.18'!$A$17:$N$36,IF(C102=5,'13.08.18'!$A$17:$N$36,IF(C102=6,'20.08.18'!$A$17:$N$36,IF(C102=7,'24.08.18'!$A$38:$N$40,IF(C102=8,'27.08.18'!$A$38:$N$40,'03.09.18'!$A$38:$N$40)))))))),14,FALSE),"")</f>
        <v/>
      </c>
      <c r="P102" s="102" t="str">
        <f t="shared" si="18"/>
        <v/>
      </c>
    </row>
    <row r="103" spans="1:16">
      <c r="A103" s="101" t="s">
        <v>11</v>
      </c>
      <c r="B103" s="101" t="str">
        <f t="shared" si="15"/>
        <v>MA</v>
      </c>
      <c r="C103" s="101">
        <f t="shared" ref="C103:C134" si="26">C102</f>
        <v>6</v>
      </c>
      <c r="D103" s="101" t="str">
        <f t="shared" si="20"/>
        <v/>
      </c>
      <c r="E103" s="101">
        <f>VLOOKUP($A103,'30.07.18'!$A$17:$I$36,9,FALSE)</f>
        <v>43308.701388888891</v>
      </c>
      <c r="F103" s="101">
        <f t="shared" si="16"/>
        <v>2018</v>
      </c>
      <c r="G103" s="101">
        <f t="shared" si="21"/>
        <v>7</v>
      </c>
      <c r="H103" s="101">
        <f t="shared" si="22"/>
        <v>27.701388888890506</v>
      </c>
      <c r="I103" s="103">
        <f>VLOOKUP($A103,IF(C103=1,'30.07.18'!$A$17:$N$36,IF(C103=2,'02.08.18'!$A$17:$N$36,IF(C103=3,'06.08.18'!$A$17:$N$36,IF(C103=4,'09.08.18'!$A$17:$N$36,IF(C103=5,'13.08.18'!$A$17:$N$36,IF(C103=6,'20.08.18'!$A$17:$N$36,IF(C103=7,'24.08.18'!$A$38:$N$40,IF(C103=8,'27.08.18'!$A$38:$N$40,'03.09.18'!$A$38:$N$40)))))))),2,FALSE)</f>
        <v>0</v>
      </c>
      <c r="J103" s="101">
        <f t="shared" si="23"/>
        <v>1900</v>
      </c>
      <c r="K103" s="101">
        <f t="shared" si="24"/>
        <v>1</v>
      </c>
      <c r="L103" s="101">
        <f t="shared" si="25"/>
        <v>0</v>
      </c>
      <c r="M103" s="101" t="s">
        <v>164</v>
      </c>
      <c r="N103" s="102" t="str">
        <f t="shared" si="17"/>
        <v/>
      </c>
      <c r="O103" s="101" t="str">
        <f>IFERROR(VLOOKUP($A103,IF(C103=1,'30.07.18'!$A$17:$N$36,IF(C103=2,'02.08.18'!$A$17:$N$36,IF(C103=3,'06.08.18'!$A$17:$N$36,IF(C103=4,'09.08.18'!$A$17:$N$36,IF(C103=5,'13.08.18'!$A$17:$N$36,IF(C103=6,'20.08.18'!$A$17:$N$36,IF(C103=7,'24.08.18'!$A$38:$N$40,IF(C103=8,'27.08.18'!$A$38:$N$40,'03.09.18'!$A$38:$N$40)))))))),14,FALSE),"")</f>
        <v/>
      </c>
      <c r="P103" s="102" t="str">
        <f t="shared" si="18"/>
        <v/>
      </c>
    </row>
    <row r="104" spans="1:16">
      <c r="A104" s="101" t="s">
        <v>12</v>
      </c>
      <c r="B104" s="101" t="str">
        <f t="shared" si="15"/>
        <v>MA</v>
      </c>
      <c r="C104" s="101">
        <f t="shared" si="26"/>
        <v>6</v>
      </c>
      <c r="D104" s="101" t="str">
        <f t="shared" si="20"/>
        <v/>
      </c>
      <c r="E104" s="101">
        <f>VLOOKUP($A104,'30.07.18'!$A$17:$I$36,9,FALSE)</f>
        <v>43308.701388888891</v>
      </c>
      <c r="F104" s="101">
        <f t="shared" si="16"/>
        <v>2018</v>
      </c>
      <c r="G104" s="101">
        <f t="shared" si="21"/>
        <v>7</v>
      </c>
      <c r="H104" s="101">
        <f t="shared" si="22"/>
        <v>27.701388888890506</v>
      </c>
      <c r="I104" s="103">
        <f>VLOOKUP($A104,IF(C104=1,'30.07.18'!$A$17:$N$36,IF(C104=2,'02.08.18'!$A$17:$N$36,IF(C104=3,'06.08.18'!$A$17:$N$36,IF(C104=4,'09.08.18'!$A$17:$N$36,IF(C104=5,'13.08.18'!$A$17:$N$36,IF(C104=6,'20.08.18'!$A$17:$N$36,IF(C104=7,'24.08.18'!$A$38:$N$40,IF(C104=8,'27.08.18'!$A$38:$N$40,'03.09.18'!$A$38:$N$40)))))))),2,FALSE)</f>
        <v>0</v>
      </c>
      <c r="J104" s="101">
        <f t="shared" si="23"/>
        <v>1900</v>
      </c>
      <c r="K104" s="101">
        <f t="shared" si="24"/>
        <v>1</v>
      </c>
      <c r="L104" s="101">
        <f t="shared" si="25"/>
        <v>0</v>
      </c>
      <c r="M104" s="101" t="s">
        <v>164</v>
      </c>
      <c r="N104" s="102" t="str">
        <f t="shared" si="17"/>
        <v/>
      </c>
      <c r="O104" s="101" t="str">
        <f>IFERROR(VLOOKUP($A104,IF(C104=1,'30.07.18'!$A$17:$N$36,IF(C104=2,'02.08.18'!$A$17:$N$36,IF(C104=3,'06.08.18'!$A$17:$N$36,IF(C104=4,'09.08.18'!$A$17:$N$36,IF(C104=5,'13.08.18'!$A$17:$N$36,IF(C104=6,'20.08.18'!$A$17:$N$36,IF(C104=7,'24.08.18'!$A$38:$N$40,IF(C104=8,'27.08.18'!$A$38:$N$40,'03.09.18'!$A$38:$N$40)))))))),14,FALSE),"")</f>
        <v/>
      </c>
      <c r="P104" s="102" t="str">
        <f t="shared" si="18"/>
        <v/>
      </c>
    </row>
    <row r="105" spans="1:16">
      <c r="A105" s="101" t="s">
        <v>13</v>
      </c>
      <c r="B105" s="101" t="str">
        <f t="shared" si="15"/>
        <v>MB</v>
      </c>
      <c r="C105" s="101">
        <f t="shared" si="26"/>
        <v>6</v>
      </c>
      <c r="D105" s="101" t="str">
        <f t="shared" si="20"/>
        <v/>
      </c>
      <c r="E105" s="101">
        <f>VLOOKUP($A105,'30.07.18'!$A$17:$I$36,9,FALSE)</f>
        <v>43308.701388888891</v>
      </c>
      <c r="F105" s="101">
        <f t="shared" si="16"/>
        <v>2018</v>
      </c>
      <c r="G105" s="101">
        <f t="shared" si="21"/>
        <v>7</v>
      </c>
      <c r="H105" s="101">
        <f t="shared" si="22"/>
        <v>27.701388888890506</v>
      </c>
      <c r="I105" s="103">
        <f>VLOOKUP($A105,IF(C105=1,'30.07.18'!$A$17:$N$36,IF(C105=2,'02.08.18'!$A$17:$N$36,IF(C105=3,'06.08.18'!$A$17:$N$36,IF(C105=4,'09.08.18'!$A$17:$N$36,IF(C105=5,'13.08.18'!$A$17:$N$36,IF(C105=6,'20.08.18'!$A$17:$N$36,IF(C105=7,'24.08.18'!$A$38:$N$40,IF(C105=8,'27.08.18'!$A$38:$N$40,'03.09.18'!$A$38:$N$40)))))))),2,FALSE)</f>
        <v>43332.416666666664</v>
      </c>
      <c r="J105" s="101">
        <f t="shared" si="23"/>
        <v>2018</v>
      </c>
      <c r="K105" s="101">
        <f t="shared" si="24"/>
        <v>8</v>
      </c>
      <c r="L105" s="101">
        <f t="shared" si="25"/>
        <v>20.416666666664241</v>
      </c>
      <c r="M105" s="101" t="s">
        <v>164</v>
      </c>
      <c r="N105" s="102">
        <f t="shared" si="17"/>
        <v>23.715277777773736</v>
      </c>
      <c r="O105" s="101">
        <f>IFERROR(VLOOKUP($A105,IF(C105=1,'30.07.18'!$A$17:$N$36,IF(C105=2,'02.08.18'!$A$17:$N$36,IF(C105=3,'06.08.18'!$A$17:$N$36,IF(C105=4,'09.08.18'!$A$17:$N$36,IF(C105=5,'13.08.18'!$A$17:$N$36,IF(C105=6,'20.08.18'!$A$17:$N$36,IF(C105=7,'24.08.18'!$A$38:$N$40,IF(C105=8,'27.08.18'!$A$38:$N$40,'03.09.18'!$A$38:$N$40)))))))),14,FALSE),"")</f>
        <v>10.059994880994989</v>
      </c>
      <c r="P105" s="102">
        <f t="shared" si="18"/>
        <v>23.715277777773736</v>
      </c>
    </row>
    <row r="106" spans="1:16">
      <c r="A106" s="101" t="s">
        <v>14</v>
      </c>
      <c r="B106" s="101" t="str">
        <f t="shared" si="15"/>
        <v>MB</v>
      </c>
      <c r="C106" s="101">
        <f t="shared" si="26"/>
        <v>6</v>
      </c>
      <c r="D106" s="101" t="str">
        <f t="shared" si="20"/>
        <v/>
      </c>
      <c r="E106" s="101">
        <f>VLOOKUP($A106,'30.07.18'!$A$17:$I$36,9,FALSE)</f>
        <v>43308.701388888891</v>
      </c>
      <c r="F106" s="101">
        <f t="shared" si="16"/>
        <v>2018</v>
      </c>
      <c r="G106" s="101">
        <f t="shared" si="21"/>
        <v>7</v>
      </c>
      <c r="H106" s="101">
        <f t="shared" si="22"/>
        <v>27.701388888890506</v>
      </c>
      <c r="I106" s="103">
        <f>VLOOKUP($A106,IF(C106=1,'30.07.18'!$A$17:$N$36,IF(C106=2,'02.08.18'!$A$17:$N$36,IF(C106=3,'06.08.18'!$A$17:$N$36,IF(C106=4,'09.08.18'!$A$17:$N$36,IF(C106=5,'13.08.18'!$A$17:$N$36,IF(C106=6,'20.08.18'!$A$17:$N$36,IF(C106=7,'24.08.18'!$A$38:$N$40,IF(C106=8,'27.08.18'!$A$38:$N$40,'03.09.18'!$A$38:$N$40)))))))),2,FALSE)</f>
        <v>43332.416666666664</v>
      </c>
      <c r="J106" s="101">
        <f t="shared" si="23"/>
        <v>2018</v>
      </c>
      <c r="K106" s="101">
        <f t="shared" si="24"/>
        <v>8</v>
      </c>
      <c r="L106" s="101">
        <f t="shared" si="25"/>
        <v>20.416666666664241</v>
      </c>
      <c r="M106" s="101" t="s">
        <v>164</v>
      </c>
      <c r="N106" s="102">
        <f t="shared" si="17"/>
        <v>23.715277777773736</v>
      </c>
      <c r="O106" s="101">
        <f>IFERROR(VLOOKUP($A106,IF(C106=1,'30.07.18'!$A$17:$N$36,IF(C106=2,'02.08.18'!$A$17:$N$36,IF(C106=3,'06.08.18'!$A$17:$N$36,IF(C106=4,'09.08.18'!$A$17:$N$36,IF(C106=5,'13.08.18'!$A$17:$N$36,IF(C106=6,'20.08.18'!$A$17:$N$36,IF(C106=7,'24.08.18'!$A$38:$N$40,IF(C106=8,'27.08.18'!$A$38:$N$40,'03.09.18'!$A$38:$N$40)))))))),14,FALSE),"")</f>
        <v>11.287763052498207</v>
      </c>
      <c r="P106" s="102">
        <f t="shared" si="18"/>
        <v>23.715277777773736</v>
      </c>
    </row>
    <row r="107" spans="1:16">
      <c r="A107" s="101" t="s">
        <v>15</v>
      </c>
      <c r="B107" s="101" t="str">
        <f t="shared" si="15"/>
        <v>MB</v>
      </c>
      <c r="C107" s="101">
        <f t="shared" si="26"/>
        <v>6</v>
      </c>
      <c r="D107" s="101" t="str">
        <f t="shared" si="20"/>
        <v/>
      </c>
      <c r="E107" s="101">
        <f>VLOOKUP($A107,'30.07.18'!$A$17:$I$36,9,FALSE)</f>
        <v>43308.701388888891</v>
      </c>
      <c r="F107" s="101">
        <f t="shared" si="16"/>
        <v>2018</v>
      </c>
      <c r="G107" s="101">
        <f t="shared" si="21"/>
        <v>7</v>
      </c>
      <c r="H107" s="101">
        <f t="shared" si="22"/>
        <v>27.701388888890506</v>
      </c>
      <c r="I107" s="103">
        <f>VLOOKUP($A107,IF(C107=1,'30.07.18'!$A$17:$N$36,IF(C107=2,'02.08.18'!$A$17:$N$36,IF(C107=3,'06.08.18'!$A$17:$N$36,IF(C107=4,'09.08.18'!$A$17:$N$36,IF(C107=5,'13.08.18'!$A$17:$N$36,IF(C107=6,'20.08.18'!$A$17:$N$36,IF(C107=7,'24.08.18'!$A$38:$N$40,IF(C107=8,'27.08.18'!$A$38:$N$40,'03.09.18'!$A$38:$N$40)))))))),2,FALSE)</f>
        <v>43332.416666666664</v>
      </c>
      <c r="J107" s="101">
        <f t="shared" si="23"/>
        <v>2018</v>
      </c>
      <c r="K107" s="101">
        <f t="shared" si="24"/>
        <v>8</v>
      </c>
      <c r="L107" s="101">
        <f t="shared" si="25"/>
        <v>20.416666666664241</v>
      </c>
      <c r="M107" s="101" t="s">
        <v>164</v>
      </c>
      <c r="N107" s="102">
        <f t="shared" si="17"/>
        <v>23.715277777773736</v>
      </c>
      <c r="O107" s="101">
        <f>IFERROR(VLOOKUP($A107,IF(C107=1,'30.07.18'!$A$17:$N$36,IF(C107=2,'02.08.18'!$A$17:$N$36,IF(C107=3,'06.08.18'!$A$17:$N$36,IF(C107=4,'09.08.18'!$A$17:$N$36,IF(C107=5,'13.08.18'!$A$17:$N$36,IF(C107=6,'20.08.18'!$A$17:$N$36,IF(C107=7,'24.08.18'!$A$38:$N$40,IF(C107=8,'27.08.18'!$A$38:$N$40,'03.09.18'!$A$38:$N$40)))))))),14,FALSE),"")</f>
        <v>10.146992499185853</v>
      </c>
      <c r="P107" s="102">
        <f t="shared" si="18"/>
        <v>23.715277777773736</v>
      </c>
    </row>
    <row r="108" spans="1:16">
      <c r="A108" s="101" t="s">
        <v>16</v>
      </c>
      <c r="B108" s="101" t="str">
        <f t="shared" si="15"/>
        <v>SA</v>
      </c>
      <c r="C108" s="101">
        <f t="shared" si="26"/>
        <v>6</v>
      </c>
      <c r="D108" s="101" t="str">
        <f t="shared" si="20"/>
        <v/>
      </c>
      <c r="E108" s="101">
        <f>VLOOKUP($A108,'30.07.18'!$A$17:$I$36,9,FALSE)</f>
        <v>43308.723611111112</v>
      </c>
      <c r="F108" s="101">
        <f t="shared" si="16"/>
        <v>2018</v>
      </c>
      <c r="G108" s="101">
        <f t="shared" si="21"/>
        <v>7</v>
      </c>
      <c r="H108" s="101">
        <f t="shared" si="22"/>
        <v>27.723611111112405</v>
      </c>
      <c r="I108" s="103">
        <f>VLOOKUP($A108,IF(C108=1,'30.07.18'!$A$17:$N$36,IF(C108=2,'02.08.18'!$A$17:$N$36,IF(C108=3,'06.08.18'!$A$17:$N$36,IF(C108=4,'09.08.18'!$A$17:$N$36,IF(C108=5,'13.08.18'!$A$17:$N$36,IF(C108=6,'20.08.18'!$A$17:$N$36,IF(C108=7,'24.08.18'!$A$38:$N$40,IF(C108=8,'27.08.18'!$A$38:$N$40,'03.09.18'!$A$38:$N$40)))))))),2,FALSE)</f>
        <v>0</v>
      </c>
      <c r="J108" s="101">
        <f t="shared" si="23"/>
        <v>1900</v>
      </c>
      <c r="K108" s="101">
        <f t="shared" si="24"/>
        <v>1</v>
      </c>
      <c r="L108" s="101">
        <f t="shared" si="25"/>
        <v>0</v>
      </c>
      <c r="M108" s="101" t="s">
        <v>164</v>
      </c>
      <c r="N108" s="102" t="str">
        <f t="shared" si="17"/>
        <v/>
      </c>
      <c r="O108" s="101" t="str">
        <f>IFERROR(VLOOKUP($A108,IF(C108=1,'30.07.18'!$A$17:$N$36,IF(C108=2,'02.08.18'!$A$17:$N$36,IF(C108=3,'06.08.18'!$A$17:$N$36,IF(C108=4,'09.08.18'!$A$17:$N$36,IF(C108=5,'13.08.18'!$A$17:$N$36,IF(C108=6,'20.08.18'!$A$17:$N$36,IF(C108=7,'24.08.18'!$A$38:$N$40,IF(C108=8,'27.08.18'!$A$38:$N$40,'03.09.18'!$A$38:$N$40)))))))),14,FALSE),"")</f>
        <v/>
      </c>
      <c r="P108" s="102" t="str">
        <f t="shared" si="18"/>
        <v/>
      </c>
    </row>
    <row r="109" spans="1:16">
      <c r="A109" s="101" t="s">
        <v>17</v>
      </c>
      <c r="B109" s="101" t="str">
        <f t="shared" si="15"/>
        <v>SA</v>
      </c>
      <c r="C109" s="101">
        <f t="shared" si="26"/>
        <v>6</v>
      </c>
      <c r="D109" s="101" t="str">
        <f t="shared" si="20"/>
        <v/>
      </c>
      <c r="E109" s="101">
        <f>VLOOKUP($A109,'30.07.18'!$A$17:$I$36,9,FALSE)</f>
        <v>43308.723611111112</v>
      </c>
      <c r="F109" s="101">
        <f t="shared" si="16"/>
        <v>2018</v>
      </c>
      <c r="G109" s="101">
        <f t="shared" si="21"/>
        <v>7</v>
      </c>
      <c r="H109" s="101">
        <f t="shared" si="22"/>
        <v>27.723611111112405</v>
      </c>
      <c r="I109" s="103">
        <f>VLOOKUP($A109,IF(C109=1,'30.07.18'!$A$17:$N$36,IF(C109=2,'02.08.18'!$A$17:$N$36,IF(C109=3,'06.08.18'!$A$17:$N$36,IF(C109=4,'09.08.18'!$A$17:$N$36,IF(C109=5,'13.08.18'!$A$17:$N$36,IF(C109=6,'20.08.18'!$A$17:$N$36,IF(C109=7,'24.08.18'!$A$38:$N$40,IF(C109=8,'27.08.18'!$A$38:$N$40,'03.09.18'!$A$38:$N$40)))))))),2,FALSE)</f>
        <v>0</v>
      </c>
      <c r="J109" s="101">
        <f t="shared" si="23"/>
        <v>1900</v>
      </c>
      <c r="K109" s="101">
        <f t="shared" si="24"/>
        <v>1</v>
      </c>
      <c r="L109" s="101">
        <f t="shared" si="25"/>
        <v>0</v>
      </c>
      <c r="M109" s="101" t="s">
        <v>164</v>
      </c>
      <c r="N109" s="102" t="str">
        <f t="shared" si="17"/>
        <v/>
      </c>
      <c r="O109" s="101" t="str">
        <f>IFERROR(VLOOKUP($A109,IF(C109=1,'30.07.18'!$A$17:$N$36,IF(C109=2,'02.08.18'!$A$17:$N$36,IF(C109=3,'06.08.18'!$A$17:$N$36,IF(C109=4,'09.08.18'!$A$17:$N$36,IF(C109=5,'13.08.18'!$A$17:$N$36,IF(C109=6,'20.08.18'!$A$17:$N$36,IF(C109=7,'24.08.18'!$A$38:$N$40,IF(C109=8,'27.08.18'!$A$38:$N$40,'03.09.18'!$A$38:$N$40)))))))),14,FALSE),"")</f>
        <v/>
      </c>
      <c r="P109" s="102" t="str">
        <f t="shared" si="18"/>
        <v/>
      </c>
    </row>
    <row r="110" spans="1:16">
      <c r="A110" s="101" t="s">
        <v>18</v>
      </c>
      <c r="B110" s="101" t="str">
        <f t="shared" si="15"/>
        <v>SA</v>
      </c>
      <c r="C110" s="101">
        <f t="shared" si="26"/>
        <v>6</v>
      </c>
      <c r="D110" s="101" t="str">
        <f t="shared" si="20"/>
        <v/>
      </c>
      <c r="E110" s="101">
        <f>VLOOKUP($A110,'30.07.18'!$A$17:$I$36,9,FALSE)</f>
        <v>43308.723611111112</v>
      </c>
      <c r="F110" s="101">
        <f t="shared" si="16"/>
        <v>2018</v>
      </c>
      <c r="G110" s="101">
        <f t="shared" si="21"/>
        <v>7</v>
      </c>
      <c r="H110" s="101">
        <f t="shared" si="22"/>
        <v>27.723611111112405</v>
      </c>
      <c r="I110" s="103">
        <f>VLOOKUP($A110,IF(C110=1,'30.07.18'!$A$17:$N$36,IF(C110=2,'02.08.18'!$A$17:$N$36,IF(C110=3,'06.08.18'!$A$17:$N$36,IF(C110=4,'09.08.18'!$A$17:$N$36,IF(C110=5,'13.08.18'!$A$17:$N$36,IF(C110=6,'20.08.18'!$A$17:$N$36,IF(C110=7,'24.08.18'!$A$38:$N$40,IF(C110=8,'27.08.18'!$A$38:$N$40,'03.09.18'!$A$38:$N$40)))))))),2,FALSE)</f>
        <v>0</v>
      </c>
      <c r="J110" s="101">
        <f t="shared" si="23"/>
        <v>1900</v>
      </c>
      <c r="K110" s="101">
        <f t="shared" si="24"/>
        <v>1</v>
      </c>
      <c r="L110" s="101">
        <f t="shared" si="25"/>
        <v>0</v>
      </c>
      <c r="M110" s="101" t="s">
        <v>164</v>
      </c>
      <c r="N110" s="102" t="str">
        <f t="shared" si="17"/>
        <v/>
      </c>
      <c r="O110" s="101" t="str">
        <f>IFERROR(VLOOKUP($A110,IF(C110=1,'30.07.18'!$A$17:$N$36,IF(C110=2,'02.08.18'!$A$17:$N$36,IF(C110=3,'06.08.18'!$A$17:$N$36,IF(C110=4,'09.08.18'!$A$17:$N$36,IF(C110=5,'13.08.18'!$A$17:$N$36,IF(C110=6,'20.08.18'!$A$17:$N$36,IF(C110=7,'24.08.18'!$A$38:$N$40,IF(C110=8,'27.08.18'!$A$38:$N$40,'03.09.18'!$A$38:$N$40)))))))),14,FALSE),"")</f>
        <v/>
      </c>
      <c r="P110" s="102" t="str">
        <f t="shared" si="18"/>
        <v/>
      </c>
    </row>
    <row r="111" spans="1:16">
      <c r="A111" s="101" t="s">
        <v>19</v>
      </c>
      <c r="B111" s="101" t="str">
        <f t="shared" si="15"/>
        <v>SB</v>
      </c>
      <c r="C111" s="101">
        <f t="shared" si="26"/>
        <v>6</v>
      </c>
      <c r="D111" s="101" t="str">
        <f t="shared" si="20"/>
        <v/>
      </c>
      <c r="E111" s="101">
        <f>VLOOKUP($A111,'30.07.18'!$A$17:$I$36,9,FALSE)</f>
        <v>43308.723611111112</v>
      </c>
      <c r="F111" s="101">
        <f t="shared" si="16"/>
        <v>2018</v>
      </c>
      <c r="G111" s="101">
        <f t="shared" si="21"/>
        <v>7</v>
      </c>
      <c r="H111" s="101">
        <f t="shared" si="22"/>
        <v>27.723611111112405</v>
      </c>
      <c r="I111" s="103">
        <f>VLOOKUP($A111,IF(C111=1,'30.07.18'!$A$17:$N$36,IF(C111=2,'02.08.18'!$A$17:$N$36,IF(C111=3,'06.08.18'!$A$17:$N$36,IF(C111=4,'09.08.18'!$A$17:$N$36,IF(C111=5,'13.08.18'!$A$17:$N$36,IF(C111=6,'20.08.18'!$A$17:$N$36,IF(C111=7,'24.08.18'!$A$38:$N$40,IF(C111=8,'27.08.18'!$A$38:$N$40,'03.09.18'!$A$38:$N$40)))))))),2,FALSE)</f>
        <v>43332.416666666664</v>
      </c>
      <c r="J111" s="101">
        <f t="shared" si="23"/>
        <v>2018</v>
      </c>
      <c r="K111" s="101">
        <f t="shared" si="24"/>
        <v>8</v>
      </c>
      <c r="L111" s="101">
        <f t="shared" si="25"/>
        <v>20.416666666664241</v>
      </c>
      <c r="M111" s="101" t="s">
        <v>164</v>
      </c>
      <c r="N111" s="102">
        <f t="shared" si="17"/>
        <v>23.693055555551837</v>
      </c>
      <c r="O111" s="101">
        <f>IFERROR(VLOOKUP($A111,IF(C111=1,'30.07.18'!$A$17:$N$36,IF(C111=2,'02.08.18'!$A$17:$N$36,IF(C111=3,'06.08.18'!$A$17:$N$36,IF(C111=4,'09.08.18'!$A$17:$N$36,IF(C111=5,'13.08.18'!$A$17:$N$36,IF(C111=6,'20.08.18'!$A$17:$N$36,IF(C111=7,'24.08.18'!$A$38:$N$40,IF(C111=8,'27.08.18'!$A$38:$N$40,'03.09.18'!$A$38:$N$40)))))))),14,FALSE),"")</f>
        <v>20.641058006230793</v>
      </c>
      <c r="P111" s="102">
        <f t="shared" si="18"/>
        <v>23.693055555551837</v>
      </c>
    </row>
    <row r="112" spans="1:16">
      <c r="A112" s="101" t="s">
        <v>20</v>
      </c>
      <c r="B112" s="101" t="str">
        <f t="shared" si="15"/>
        <v>SB</v>
      </c>
      <c r="C112" s="101">
        <f t="shared" si="26"/>
        <v>6</v>
      </c>
      <c r="D112" s="101" t="str">
        <f t="shared" si="20"/>
        <v/>
      </c>
      <c r="E112" s="101">
        <f>VLOOKUP($A112,'30.07.18'!$A$17:$I$36,9,FALSE)</f>
        <v>43308.723611111112</v>
      </c>
      <c r="F112" s="101">
        <f t="shared" si="16"/>
        <v>2018</v>
      </c>
      <c r="G112" s="101">
        <f t="shared" si="21"/>
        <v>7</v>
      </c>
      <c r="H112" s="101">
        <f t="shared" si="22"/>
        <v>27.723611111112405</v>
      </c>
      <c r="I112" s="103">
        <f>VLOOKUP($A112,IF(C112=1,'30.07.18'!$A$17:$N$36,IF(C112=2,'02.08.18'!$A$17:$N$36,IF(C112=3,'06.08.18'!$A$17:$N$36,IF(C112=4,'09.08.18'!$A$17:$N$36,IF(C112=5,'13.08.18'!$A$17:$N$36,IF(C112=6,'20.08.18'!$A$17:$N$36,IF(C112=7,'24.08.18'!$A$38:$N$40,IF(C112=8,'27.08.18'!$A$38:$N$40,'03.09.18'!$A$38:$N$40)))))))),2,FALSE)</f>
        <v>43332.416666666664</v>
      </c>
      <c r="J112" s="101">
        <f t="shared" si="23"/>
        <v>2018</v>
      </c>
      <c r="K112" s="101">
        <f t="shared" si="24"/>
        <v>8</v>
      </c>
      <c r="L112" s="101">
        <f t="shared" si="25"/>
        <v>20.416666666664241</v>
      </c>
      <c r="M112" s="101" t="s">
        <v>164</v>
      </c>
      <c r="N112" s="102">
        <f t="shared" si="17"/>
        <v>23.693055555551837</v>
      </c>
      <c r="O112" s="101">
        <f>IFERROR(VLOOKUP($A112,IF(C112=1,'30.07.18'!$A$17:$N$36,IF(C112=2,'02.08.18'!$A$17:$N$36,IF(C112=3,'06.08.18'!$A$17:$N$36,IF(C112=4,'09.08.18'!$A$17:$N$36,IF(C112=5,'13.08.18'!$A$17:$N$36,IF(C112=6,'20.08.18'!$A$17:$N$36,IF(C112=7,'24.08.18'!$A$38:$N$40,IF(C112=8,'27.08.18'!$A$38:$N$40,'03.09.18'!$A$38:$N$40)))))))),14,FALSE),"")</f>
        <v>20.853619465589464</v>
      </c>
      <c r="P112" s="102">
        <f t="shared" si="18"/>
        <v>23.693055555551837</v>
      </c>
    </row>
    <row r="113" spans="1:16">
      <c r="A113" s="101" t="s">
        <v>21</v>
      </c>
      <c r="B113" s="101" t="str">
        <f t="shared" si="15"/>
        <v>SB</v>
      </c>
      <c r="C113" s="101">
        <f t="shared" si="26"/>
        <v>6</v>
      </c>
      <c r="D113" s="101" t="str">
        <f t="shared" si="20"/>
        <v/>
      </c>
      <c r="E113" s="101">
        <f>VLOOKUP($A113,'30.07.18'!$A$17:$I$36,9,FALSE)</f>
        <v>43308.729166666664</v>
      </c>
      <c r="F113" s="101">
        <f t="shared" si="16"/>
        <v>2018</v>
      </c>
      <c r="G113" s="101">
        <f t="shared" si="21"/>
        <v>7</v>
      </c>
      <c r="H113" s="101">
        <f t="shared" si="22"/>
        <v>27.729166666664241</v>
      </c>
      <c r="I113" s="103">
        <f>VLOOKUP($A113,IF(C113=1,'30.07.18'!$A$17:$N$36,IF(C113=2,'02.08.18'!$A$17:$N$36,IF(C113=3,'06.08.18'!$A$17:$N$36,IF(C113=4,'09.08.18'!$A$17:$N$36,IF(C113=5,'13.08.18'!$A$17:$N$36,IF(C113=6,'20.08.18'!$A$17:$N$36,IF(C113=7,'24.08.18'!$A$38:$N$40,IF(C113=8,'27.08.18'!$A$38:$N$40,'03.09.18'!$A$38:$N$40)))))))),2,FALSE)</f>
        <v>43332.416666666664</v>
      </c>
      <c r="J113" s="101">
        <f t="shared" si="23"/>
        <v>2018</v>
      </c>
      <c r="K113" s="101">
        <f t="shared" si="24"/>
        <v>8</v>
      </c>
      <c r="L113" s="101">
        <f t="shared" si="25"/>
        <v>20.416666666664241</v>
      </c>
      <c r="M113" s="101" t="s">
        <v>164</v>
      </c>
      <c r="N113" s="102">
        <f t="shared" si="17"/>
        <v>23.6875</v>
      </c>
      <c r="O113" s="101">
        <f>IFERROR(VLOOKUP($A113,IF(C113=1,'30.07.18'!$A$17:$N$36,IF(C113=2,'02.08.18'!$A$17:$N$36,IF(C113=3,'06.08.18'!$A$17:$N$36,IF(C113=4,'09.08.18'!$A$17:$N$36,IF(C113=5,'13.08.18'!$A$17:$N$36,IF(C113=6,'20.08.18'!$A$17:$N$36,IF(C113=7,'24.08.18'!$A$38:$N$40,IF(C113=8,'27.08.18'!$A$38:$N$40,'03.09.18'!$A$38:$N$40)))))))),14,FALSE),"")</f>
        <v>15.211546740129107</v>
      </c>
      <c r="P113" s="102">
        <f t="shared" si="18"/>
        <v>23.6875</v>
      </c>
    </row>
    <row r="114" spans="1:16">
      <c r="A114" s="101" t="s">
        <v>22</v>
      </c>
      <c r="B114" s="101" t="str">
        <f t="shared" si="15"/>
        <v>Du123</v>
      </c>
      <c r="C114" s="101">
        <f t="shared" si="26"/>
        <v>6</v>
      </c>
      <c r="D114" s="101" t="str">
        <f t="shared" si="20"/>
        <v/>
      </c>
      <c r="E114" s="101">
        <f>VLOOKUP($A114,'30.07.18'!$A$17:$I$36,9,FALSE)</f>
        <v>43308.729166666664</v>
      </c>
      <c r="F114" s="101">
        <f t="shared" si="16"/>
        <v>2018</v>
      </c>
      <c r="G114" s="101">
        <f t="shared" si="21"/>
        <v>7</v>
      </c>
      <c r="H114" s="101">
        <f t="shared" si="22"/>
        <v>27.729166666664241</v>
      </c>
      <c r="I114" s="103">
        <f>VLOOKUP($A114,IF(C114=1,'30.07.18'!$A$17:$N$36,IF(C114=2,'02.08.18'!$A$17:$N$36,IF(C114=3,'06.08.18'!$A$17:$N$36,IF(C114=4,'09.08.18'!$A$17:$N$36,IF(C114=5,'13.08.18'!$A$17:$N$36,IF(C114=6,'20.08.18'!$A$17:$N$36,IF(C114=7,'24.08.18'!$A$38:$N$40,IF(C114=8,'27.08.18'!$A$38:$N$40,'03.09.18'!$A$38:$N$40)))))))),2,FALSE)</f>
        <v>0</v>
      </c>
      <c r="J114" s="101">
        <f t="shared" si="23"/>
        <v>1900</v>
      </c>
      <c r="K114" s="101">
        <f t="shared" si="24"/>
        <v>1</v>
      </c>
      <c r="L114" s="101">
        <f t="shared" si="25"/>
        <v>0</v>
      </c>
      <c r="M114" s="101" t="s">
        <v>164</v>
      </c>
      <c r="N114" s="102" t="str">
        <f t="shared" si="17"/>
        <v/>
      </c>
      <c r="O114" s="101" t="str">
        <f>IFERROR(VLOOKUP($A114,IF(C114=1,'30.07.18'!$A$17:$N$36,IF(C114=2,'02.08.18'!$A$17:$N$36,IF(C114=3,'06.08.18'!$A$17:$N$36,IF(C114=4,'09.08.18'!$A$17:$N$36,IF(C114=5,'13.08.18'!$A$17:$N$36,IF(C114=6,'20.08.18'!$A$17:$N$36,IF(C114=7,'24.08.18'!$A$38:$N$40,IF(C114=8,'27.08.18'!$A$38:$N$40,'03.09.18'!$A$38:$N$40)))))))),14,FALSE),"")</f>
        <v/>
      </c>
      <c r="P114" s="102" t="str">
        <f t="shared" si="18"/>
        <v/>
      </c>
    </row>
    <row r="115" spans="1:16">
      <c r="A115" s="101" t="s">
        <v>23</v>
      </c>
      <c r="B115" s="101" t="str">
        <f t="shared" si="15"/>
        <v>Du120</v>
      </c>
      <c r="C115" s="101">
        <f t="shared" si="26"/>
        <v>6</v>
      </c>
      <c r="D115" s="101" t="str">
        <f t="shared" si="20"/>
        <v/>
      </c>
      <c r="E115" s="101">
        <f>VLOOKUP($A115,'30.07.18'!$A$17:$I$36,9,FALSE)</f>
        <v>43308.729166666664</v>
      </c>
      <c r="F115" s="101">
        <f t="shared" si="16"/>
        <v>2018</v>
      </c>
      <c r="G115" s="101">
        <f t="shared" si="21"/>
        <v>7</v>
      </c>
      <c r="H115" s="101">
        <f t="shared" si="22"/>
        <v>27.729166666664241</v>
      </c>
      <c r="I115" s="103">
        <f>VLOOKUP($A115,IF(C115=1,'30.07.18'!$A$17:$N$36,IF(C115=2,'02.08.18'!$A$17:$N$36,IF(C115=3,'06.08.18'!$A$17:$N$36,IF(C115=4,'09.08.18'!$A$17:$N$36,IF(C115=5,'13.08.18'!$A$17:$N$36,IF(C115=6,'20.08.18'!$A$17:$N$36,IF(C115=7,'24.08.18'!$A$38:$N$40,IF(C115=8,'27.08.18'!$A$38:$N$40,'03.09.18'!$A$38:$N$40)))))))),2,FALSE)</f>
        <v>43332.416666666664</v>
      </c>
      <c r="J115" s="101">
        <f t="shared" si="23"/>
        <v>2018</v>
      </c>
      <c r="K115" s="101">
        <f t="shared" si="24"/>
        <v>8</v>
      </c>
      <c r="L115" s="101">
        <f t="shared" si="25"/>
        <v>20.416666666664241</v>
      </c>
      <c r="M115" s="101" t="s">
        <v>164</v>
      </c>
      <c r="N115" s="102">
        <f t="shared" si="17"/>
        <v>23.6875</v>
      </c>
      <c r="O115" s="101">
        <f>IFERROR(VLOOKUP($A115,IF(C115=1,'30.07.18'!$A$17:$N$36,IF(C115=2,'02.08.18'!$A$17:$N$36,IF(C115=3,'06.08.18'!$A$17:$N$36,IF(C115=4,'09.08.18'!$A$17:$N$36,IF(C115=5,'13.08.18'!$A$17:$N$36,IF(C115=6,'20.08.18'!$A$17:$N$36,IF(C115=7,'24.08.18'!$A$38:$N$40,IF(C115=8,'27.08.18'!$A$38:$N$40,'03.09.18'!$A$38:$N$40)))))))),14,FALSE),"")</f>
        <v>26.323798526224827</v>
      </c>
      <c r="P115" s="102">
        <f t="shared" si="18"/>
        <v>23.6875</v>
      </c>
    </row>
    <row r="116" spans="1:16">
      <c r="A116" s="101" t="s">
        <v>24</v>
      </c>
      <c r="B116" s="101" t="str">
        <f t="shared" si="15"/>
        <v>TVA 4E C</v>
      </c>
      <c r="C116" s="101">
        <f t="shared" si="26"/>
        <v>6</v>
      </c>
      <c r="D116" s="101" t="str">
        <f t="shared" si="20"/>
        <v/>
      </c>
      <c r="E116" s="101">
        <f>VLOOKUP($A116,'30.07.18'!$A$17:$I$36,9,FALSE)</f>
        <v>43308.729166666664</v>
      </c>
      <c r="F116" s="101">
        <f t="shared" si="16"/>
        <v>2018</v>
      </c>
      <c r="G116" s="101">
        <f t="shared" si="21"/>
        <v>7</v>
      </c>
      <c r="H116" s="101">
        <f t="shared" si="22"/>
        <v>27.729166666664241</v>
      </c>
      <c r="I116" s="103">
        <f>VLOOKUP($A116,IF(C116=1,'30.07.18'!$A$17:$N$36,IF(C116=2,'02.08.18'!$A$17:$N$36,IF(C116=3,'06.08.18'!$A$17:$N$36,IF(C116=4,'09.08.18'!$A$17:$N$36,IF(C116=5,'13.08.18'!$A$17:$N$36,IF(C116=6,'20.08.18'!$A$17:$N$36,IF(C116=7,'24.08.18'!$A$38:$N$40,IF(C116=8,'27.08.18'!$A$38:$N$40,'03.09.18'!$A$38:$N$40)))))))),2,FALSE)</f>
        <v>0</v>
      </c>
      <c r="J116" s="101">
        <f t="shared" si="23"/>
        <v>1900</v>
      </c>
      <c r="K116" s="101">
        <f t="shared" si="24"/>
        <v>1</v>
      </c>
      <c r="L116" s="101">
        <f t="shared" si="25"/>
        <v>0</v>
      </c>
      <c r="M116" s="101" t="s">
        <v>164</v>
      </c>
      <c r="N116" s="102" t="str">
        <f t="shared" si="17"/>
        <v/>
      </c>
      <c r="O116" s="101" t="str">
        <f>IFERROR(VLOOKUP($A116,IF(C116=1,'30.07.18'!$A$17:$N$36,IF(C116=2,'02.08.18'!$A$17:$N$36,IF(C116=3,'06.08.18'!$A$17:$N$36,IF(C116=4,'09.08.18'!$A$17:$N$36,IF(C116=5,'13.08.18'!$A$17:$N$36,IF(C116=6,'20.08.18'!$A$17:$N$36,IF(C116=7,'24.08.18'!$A$38:$N$40,IF(C116=8,'27.08.18'!$A$38:$N$40,'03.09.18'!$A$38:$N$40)))))))),14,FALSE),"")</f>
        <v/>
      </c>
      <c r="P116" s="102" t="str">
        <f t="shared" si="18"/>
        <v/>
      </c>
    </row>
    <row r="117" spans="1:16">
      <c r="A117" s="101" t="s">
        <v>25</v>
      </c>
      <c r="B117" s="101" t="str">
        <f t="shared" si="15"/>
        <v>TVA 6E C</v>
      </c>
      <c r="C117" s="101">
        <f t="shared" si="26"/>
        <v>6</v>
      </c>
      <c r="D117" s="101" t="str">
        <f t="shared" si="20"/>
        <v/>
      </c>
      <c r="E117" s="101">
        <f>VLOOKUP($A117,'30.07.18'!$A$17:$I$36,9,FALSE)</f>
        <v>43308.73541666667</v>
      </c>
      <c r="F117" s="101">
        <f t="shared" si="16"/>
        <v>2018</v>
      </c>
      <c r="G117" s="101">
        <f t="shared" si="21"/>
        <v>7</v>
      </c>
      <c r="H117" s="101">
        <f t="shared" si="22"/>
        <v>27.735416666670062</v>
      </c>
      <c r="I117" s="103">
        <f>VLOOKUP($A117,IF(C117=1,'30.07.18'!$A$17:$N$36,IF(C117=2,'02.08.18'!$A$17:$N$36,IF(C117=3,'06.08.18'!$A$17:$N$36,IF(C117=4,'09.08.18'!$A$17:$N$36,IF(C117=5,'13.08.18'!$A$17:$N$36,IF(C117=6,'20.08.18'!$A$17:$N$36,IF(C117=7,'24.08.18'!$A$38:$N$40,IF(C117=8,'27.08.18'!$A$38:$N$40,'03.09.18'!$A$38:$N$40)))))))),2,FALSE)</f>
        <v>0</v>
      </c>
      <c r="J117" s="101">
        <f t="shared" si="23"/>
        <v>1900</v>
      </c>
      <c r="K117" s="101">
        <f t="shared" si="24"/>
        <v>1</v>
      </c>
      <c r="L117" s="101">
        <f t="shared" si="25"/>
        <v>0</v>
      </c>
      <c r="M117" s="101" t="s">
        <v>164</v>
      </c>
      <c r="N117" s="102" t="str">
        <f t="shared" si="17"/>
        <v/>
      </c>
      <c r="O117" s="101" t="str">
        <f>IFERROR(VLOOKUP($A117,IF(C117=1,'30.07.18'!$A$17:$N$36,IF(C117=2,'02.08.18'!$A$17:$N$36,IF(C117=3,'06.08.18'!$A$17:$N$36,IF(C117=4,'09.08.18'!$A$17:$N$36,IF(C117=5,'13.08.18'!$A$17:$N$36,IF(C117=6,'20.08.18'!$A$17:$N$36,IF(C117=7,'24.08.18'!$A$38:$N$40,IF(C117=8,'27.08.18'!$A$38:$N$40,'03.09.18'!$A$38:$N$40)))))))),14,FALSE),"")</f>
        <v/>
      </c>
      <c r="P117" s="102" t="str">
        <f t="shared" si="18"/>
        <v/>
      </c>
    </row>
    <row r="118" spans="1:16">
      <c r="A118" s="101" t="s">
        <v>26</v>
      </c>
      <c r="B118" s="101" t="str">
        <f t="shared" si="15"/>
        <v>TVA 8E C</v>
      </c>
      <c r="C118" s="101">
        <f t="shared" si="26"/>
        <v>6</v>
      </c>
      <c r="D118" s="101" t="str">
        <f t="shared" si="20"/>
        <v/>
      </c>
      <c r="E118" s="101">
        <f>VLOOKUP($A118,'30.07.18'!$A$17:$I$36,9,FALSE)</f>
        <v>43308.73541666667</v>
      </c>
      <c r="F118" s="101">
        <f t="shared" si="16"/>
        <v>2018</v>
      </c>
      <c r="G118" s="101">
        <f t="shared" si="21"/>
        <v>7</v>
      </c>
      <c r="H118" s="101">
        <f t="shared" si="22"/>
        <v>27.735416666670062</v>
      </c>
      <c r="I118" s="103">
        <f>VLOOKUP($A118,IF(C118=1,'30.07.18'!$A$17:$N$36,IF(C118=2,'02.08.18'!$A$17:$N$36,IF(C118=3,'06.08.18'!$A$17:$N$36,IF(C118=4,'09.08.18'!$A$17:$N$36,IF(C118=5,'13.08.18'!$A$17:$N$36,IF(C118=6,'20.08.18'!$A$17:$N$36,IF(C118=7,'24.08.18'!$A$38:$N$40,IF(C118=8,'27.08.18'!$A$38:$N$40,'03.09.18'!$A$38:$N$40)))))))),2,FALSE)</f>
        <v>0</v>
      </c>
      <c r="J118" s="101">
        <f t="shared" si="23"/>
        <v>1900</v>
      </c>
      <c r="K118" s="101">
        <f t="shared" si="24"/>
        <v>1</v>
      </c>
      <c r="L118" s="101">
        <f t="shared" si="25"/>
        <v>0</v>
      </c>
      <c r="M118" s="101" t="s">
        <v>164</v>
      </c>
      <c r="N118" s="102" t="str">
        <f t="shared" si="17"/>
        <v/>
      </c>
      <c r="O118" s="101" t="str">
        <f>IFERROR(VLOOKUP($A118,IF(C118=1,'30.07.18'!$A$17:$N$36,IF(C118=2,'02.08.18'!$A$17:$N$36,IF(C118=3,'06.08.18'!$A$17:$N$36,IF(C118=4,'09.08.18'!$A$17:$N$36,IF(C118=5,'13.08.18'!$A$17:$N$36,IF(C118=6,'20.08.18'!$A$17:$N$36,IF(C118=7,'24.08.18'!$A$38:$N$40,IF(C118=8,'27.08.18'!$A$38:$N$40,'03.09.18'!$A$38:$N$40)))))))),14,FALSE),"")</f>
        <v/>
      </c>
      <c r="P118" s="102" t="str">
        <f t="shared" si="18"/>
        <v/>
      </c>
    </row>
    <row r="119" spans="1:16">
      <c r="A119" s="101" t="s">
        <v>27</v>
      </c>
      <c r="B119" s="101" t="str">
        <f t="shared" si="15"/>
        <v>TVA 2B C</v>
      </c>
      <c r="C119" s="101">
        <f t="shared" si="26"/>
        <v>6</v>
      </c>
      <c r="D119" s="101" t="str">
        <f t="shared" si="20"/>
        <v/>
      </c>
      <c r="E119" s="101">
        <f>VLOOKUP($A119,'30.07.18'!$A$17:$I$36,9,FALSE)</f>
        <v>43308.73541666667</v>
      </c>
      <c r="F119" s="101">
        <f t="shared" si="16"/>
        <v>2018</v>
      </c>
      <c r="G119" s="101">
        <f t="shared" si="21"/>
        <v>7</v>
      </c>
      <c r="H119" s="101">
        <f t="shared" si="22"/>
        <v>27.735416666670062</v>
      </c>
      <c r="I119" s="103">
        <f>VLOOKUP($A119,IF(C119=1,'30.07.18'!$A$17:$N$36,IF(C119=2,'02.08.18'!$A$17:$N$36,IF(C119=3,'06.08.18'!$A$17:$N$36,IF(C119=4,'09.08.18'!$A$17:$N$36,IF(C119=5,'13.08.18'!$A$17:$N$36,IF(C119=6,'20.08.18'!$A$17:$N$36,IF(C119=7,'24.08.18'!$A$38:$N$40,IF(C119=8,'27.08.18'!$A$38:$N$40,'03.09.18'!$A$38:$N$40)))))))),2,FALSE)</f>
        <v>0</v>
      </c>
      <c r="J119" s="101">
        <f t="shared" si="23"/>
        <v>1900</v>
      </c>
      <c r="K119" s="101">
        <f t="shared" si="24"/>
        <v>1</v>
      </c>
      <c r="L119" s="101">
        <f t="shared" si="25"/>
        <v>0</v>
      </c>
      <c r="M119" s="101" t="s">
        <v>164</v>
      </c>
      <c r="N119" s="102" t="str">
        <f t="shared" si="17"/>
        <v/>
      </c>
      <c r="O119" s="101" t="str">
        <f>IFERROR(VLOOKUP($A119,IF(C119=1,'30.07.18'!$A$17:$N$36,IF(C119=2,'02.08.18'!$A$17:$N$36,IF(C119=3,'06.08.18'!$A$17:$N$36,IF(C119=4,'09.08.18'!$A$17:$N$36,IF(C119=5,'13.08.18'!$A$17:$N$36,IF(C119=6,'20.08.18'!$A$17:$N$36,IF(C119=7,'24.08.18'!$A$38:$N$40,IF(C119=8,'27.08.18'!$A$38:$N$40,'03.09.18'!$A$38:$N$40)))))))),14,FALSE),"")</f>
        <v/>
      </c>
      <c r="P119" s="102" t="str">
        <f t="shared" si="18"/>
        <v/>
      </c>
    </row>
    <row r="120" spans="1:16">
      <c r="A120" s="101" t="s">
        <v>28</v>
      </c>
      <c r="B120" s="101" t="str">
        <f t="shared" si="15"/>
        <v>TVA 3B C</v>
      </c>
      <c r="C120" s="101">
        <f t="shared" si="26"/>
        <v>6</v>
      </c>
      <c r="D120" s="101" t="str">
        <f t="shared" si="20"/>
        <v/>
      </c>
      <c r="E120" s="101">
        <f>VLOOKUP($A120,'30.07.18'!$A$17:$I$36,9,FALSE)</f>
        <v>43308.73541666667</v>
      </c>
      <c r="F120" s="101">
        <f t="shared" si="16"/>
        <v>2018</v>
      </c>
      <c r="G120" s="101">
        <f t="shared" si="21"/>
        <v>7</v>
      </c>
      <c r="H120" s="101">
        <f t="shared" si="22"/>
        <v>27.735416666670062</v>
      </c>
      <c r="I120" s="103">
        <f>VLOOKUP($A120,IF(C120=1,'30.07.18'!$A$17:$N$36,IF(C120=2,'02.08.18'!$A$17:$N$36,IF(C120=3,'06.08.18'!$A$17:$N$36,IF(C120=4,'09.08.18'!$A$17:$N$36,IF(C120=5,'13.08.18'!$A$17:$N$36,IF(C120=6,'20.08.18'!$A$17:$N$36,IF(C120=7,'24.08.18'!$A$38:$N$40,IF(C120=8,'27.08.18'!$A$38:$N$40,'03.09.18'!$A$38:$N$40)))))))),2,FALSE)</f>
        <v>0</v>
      </c>
      <c r="J120" s="101">
        <f t="shared" si="23"/>
        <v>1900</v>
      </c>
      <c r="K120" s="101">
        <f t="shared" si="24"/>
        <v>1</v>
      </c>
      <c r="L120" s="101">
        <f t="shared" si="25"/>
        <v>0</v>
      </c>
      <c r="M120" s="101" t="s">
        <v>164</v>
      </c>
      <c r="N120" s="102" t="str">
        <f t="shared" si="17"/>
        <v/>
      </c>
      <c r="O120" s="101" t="str">
        <f>IFERROR(VLOOKUP($A120,IF(C120=1,'30.07.18'!$A$17:$N$36,IF(C120=2,'02.08.18'!$A$17:$N$36,IF(C120=3,'06.08.18'!$A$17:$N$36,IF(C120=4,'09.08.18'!$A$17:$N$36,IF(C120=5,'13.08.18'!$A$17:$N$36,IF(C120=6,'20.08.18'!$A$17:$N$36,IF(C120=7,'24.08.18'!$A$38:$N$40,IF(C120=8,'27.08.18'!$A$38:$N$40,'03.09.18'!$A$38:$N$40)))))))),14,FALSE),"")</f>
        <v/>
      </c>
      <c r="P120" s="102" t="str">
        <f t="shared" si="18"/>
        <v/>
      </c>
    </row>
    <row r="121" spans="1:16">
      <c r="A121" s="101" t="s">
        <v>29</v>
      </c>
      <c r="B121" s="101" t="str">
        <f t="shared" si="15"/>
        <v>TVA 5B C</v>
      </c>
      <c r="C121" s="101">
        <f t="shared" si="26"/>
        <v>6</v>
      </c>
      <c r="D121" s="101" t="str">
        <f t="shared" si="20"/>
        <v/>
      </c>
      <c r="E121" s="101">
        <f>VLOOKUP($A121,'30.07.18'!$A$17:$I$36,9,FALSE)</f>
        <v>43308.73541666667</v>
      </c>
      <c r="F121" s="101">
        <f t="shared" si="16"/>
        <v>2018</v>
      </c>
      <c r="G121" s="101">
        <f t="shared" si="21"/>
        <v>7</v>
      </c>
      <c r="H121" s="101">
        <f t="shared" si="22"/>
        <v>27.735416666670062</v>
      </c>
      <c r="I121" s="103">
        <f>VLOOKUP($A121,IF(C121=1,'30.07.18'!$A$17:$N$36,IF(C121=2,'02.08.18'!$A$17:$N$36,IF(C121=3,'06.08.18'!$A$17:$N$36,IF(C121=4,'09.08.18'!$A$17:$N$36,IF(C121=5,'13.08.18'!$A$17:$N$36,IF(C121=6,'20.08.18'!$A$17:$N$36,IF(C121=7,'24.08.18'!$A$38:$N$40,IF(C121=8,'27.08.18'!$A$38:$N$40,'03.09.18'!$A$38:$N$40)))))))),2,FALSE)</f>
        <v>0</v>
      </c>
      <c r="J121" s="101">
        <f t="shared" si="23"/>
        <v>1900</v>
      </c>
      <c r="K121" s="101">
        <f t="shared" si="24"/>
        <v>1</v>
      </c>
      <c r="L121" s="101">
        <f t="shared" si="25"/>
        <v>0</v>
      </c>
      <c r="M121" s="101" t="s">
        <v>164</v>
      </c>
      <c r="N121" s="102" t="str">
        <f t="shared" si="17"/>
        <v/>
      </c>
      <c r="O121" s="101" t="str">
        <f>IFERROR(VLOOKUP($A121,IF(C121=1,'30.07.18'!$A$17:$N$36,IF(C121=2,'02.08.18'!$A$17:$N$36,IF(C121=3,'06.08.18'!$A$17:$N$36,IF(C121=4,'09.08.18'!$A$17:$N$36,IF(C121=5,'13.08.18'!$A$17:$N$36,IF(C121=6,'20.08.18'!$A$17:$N$36,IF(C121=7,'24.08.18'!$A$38:$N$40,IF(C121=8,'27.08.18'!$A$38:$N$40,'03.09.18'!$A$38:$N$40)))))))),14,FALSE),"")</f>
        <v/>
      </c>
      <c r="P121" s="102" t="str">
        <f t="shared" si="18"/>
        <v/>
      </c>
    </row>
    <row r="122" spans="1:16">
      <c r="A122" s="101" t="s">
        <v>9</v>
      </c>
      <c r="B122" s="101" t="str">
        <f t="shared" si="15"/>
        <v>MA</v>
      </c>
      <c r="C122" s="101">
        <v>7</v>
      </c>
      <c r="D122" s="101" t="e">
        <f t="shared" si="20"/>
        <v>#N/A</v>
      </c>
      <c r="E122" s="101">
        <f>VLOOKUP($A122,'30.07.18'!$A$17:$I$36,9,FALSE)</f>
        <v>43308.701388888891</v>
      </c>
      <c r="F122" s="101">
        <f t="shared" si="16"/>
        <v>2018</v>
      </c>
      <c r="G122" s="101">
        <f t="shared" si="21"/>
        <v>7</v>
      </c>
      <c r="H122" s="101">
        <f t="shared" si="22"/>
        <v>27.701388888890506</v>
      </c>
      <c r="I122" s="103" t="e">
        <f>VLOOKUP($A122,IF(C122=1,'30.07.18'!$A$17:$N$36,IF(C122=2,'02.08.18'!$A$17:$N$36,IF(C122=3,'06.08.18'!$A$17:$N$36,IF(C122=4,'09.08.18'!$A$17:$N$36,IF(C122=5,'13.08.18'!$A$17:$N$36,IF(C122=6,'20.08.18'!$A$17:$N$36,IF(C122=7,'24.08.18'!$A$38:$N$40,IF(C122=8,'27.08.18'!$A$38:$N$40,'03.09.18'!$A$38:$N$40)))))))),2,FALSE)</f>
        <v>#N/A</v>
      </c>
      <c r="J122" s="101" t="e">
        <f t="shared" si="23"/>
        <v>#N/A</v>
      </c>
      <c r="K122" s="101" t="e">
        <f t="shared" si="24"/>
        <v>#N/A</v>
      </c>
      <c r="L122" s="101" t="e">
        <f t="shared" si="25"/>
        <v>#N/A</v>
      </c>
      <c r="M122" s="101" t="s">
        <v>164</v>
      </c>
      <c r="N122" s="102" t="str">
        <f t="shared" si="17"/>
        <v/>
      </c>
      <c r="O122" s="101" t="str">
        <f>IFERROR(VLOOKUP($A122,IF(C122=1,'30.07.18'!$A$17:$N$36,IF(C122=2,'02.08.18'!$A$17:$N$36,IF(C122=3,'06.08.18'!$A$17:$N$36,IF(C122=4,'09.08.18'!$A$17:$N$36,IF(C122=5,'13.08.18'!$A$17:$N$36,IF(C122=6,'20.08.18'!$A$17:$N$36,IF(C122=7,'24.08.18'!$A$38:$N$40,IF(C122=8,'27.08.18'!$A$38:$N$40,'03.09.18'!$A$38:$N$40)))))))),14,FALSE),"")</f>
        <v/>
      </c>
      <c r="P122" s="102" t="str">
        <f t="shared" si="18"/>
        <v/>
      </c>
    </row>
    <row r="123" spans="1:16">
      <c r="A123" s="101" t="s">
        <v>11</v>
      </c>
      <c r="B123" s="101" t="str">
        <f t="shared" si="15"/>
        <v>MA</v>
      </c>
      <c r="C123" s="101">
        <f t="shared" ref="C123:C154" si="27">C122</f>
        <v>7</v>
      </c>
      <c r="D123" s="101" t="e">
        <f t="shared" si="20"/>
        <v>#N/A</v>
      </c>
      <c r="E123" s="101">
        <f>VLOOKUP($A123,'30.07.18'!$A$17:$I$36,9,FALSE)</f>
        <v>43308.701388888891</v>
      </c>
      <c r="F123" s="101">
        <f t="shared" si="16"/>
        <v>2018</v>
      </c>
      <c r="G123" s="101">
        <f t="shared" si="21"/>
        <v>7</v>
      </c>
      <c r="H123" s="101">
        <f t="shared" si="22"/>
        <v>27.701388888890506</v>
      </c>
      <c r="I123" s="103" t="e">
        <f>VLOOKUP($A123,IF(C123=1,'30.07.18'!$A$17:$N$36,IF(C123=2,'02.08.18'!$A$17:$N$36,IF(C123=3,'06.08.18'!$A$17:$N$36,IF(C123=4,'09.08.18'!$A$17:$N$36,IF(C123=5,'13.08.18'!$A$17:$N$36,IF(C123=6,'20.08.18'!$A$17:$N$36,IF(C123=7,'24.08.18'!$A$38:$N$40,IF(C123=8,'27.08.18'!$A$38:$N$40,'03.09.18'!$A$38:$N$40)))))))),2,FALSE)</f>
        <v>#N/A</v>
      </c>
      <c r="J123" s="101" t="e">
        <f t="shared" si="23"/>
        <v>#N/A</v>
      </c>
      <c r="K123" s="101" t="e">
        <f t="shared" si="24"/>
        <v>#N/A</v>
      </c>
      <c r="L123" s="101" t="e">
        <f t="shared" si="25"/>
        <v>#N/A</v>
      </c>
      <c r="M123" s="101" t="s">
        <v>164</v>
      </c>
      <c r="N123" s="102" t="str">
        <f t="shared" si="17"/>
        <v/>
      </c>
      <c r="O123" s="101" t="str">
        <f>IFERROR(VLOOKUP($A123,IF(C123=1,'30.07.18'!$A$17:$N$36,IF(C123=2,'02.08.18'!$A$17:$N$36,IF(C123=3,'06.08.18'!$A$17:$N$36,IF(C123=4,'09.08.18'!$A$17:$N$36,IF(C123=5,'13.08.18'!$A$17:$N$36,IF(C123=6,'20.08.18'!$A$17:$N$36,IF(C123=7,'24.08.18'!$A$38:$N$40,IF(C123=8,'27.08.18'!$A$38:$N$40,'03.09.18'!$A$38:$N$40)))))))),14,FALSE),"")</f>
        <v/>
      </c>
      <c r="P123" s="102" t="str">
        <f t="shared" si="18"/>
        <v/>
      </c>
    </row>
    <row r="124" spans="1:16">
      <c r="A124" s="101" t="s">
        <v>12</v>
      </c>
      <c r="B124" s="101" t="str">
        <f t="shared" si="15"/>
        <v>MA</v>
      </c>
      <c r="C124" s="101">
        <f t="shared" si="27"/>
        <v>7</v>
      </c>
      <c r="D124" s="101" t="e">
        <f t="shared" si="20"/>
        <v>#N/A</v>
      </c>
      <c r="E124" s="101">
        <f>VLOOKUP($A124,'30.07.18'!$A$17:$I$36,9,FALSE)</f>
        <v>43308.701388888891</v>
      </c>
      <c r="F124" s="101">
        <f t="shared" si="16"/>
        <v>2018</v>
      </c>
      <c r="G124" s="101">
        <f t="shared" si="21"/>
        <v>7</v>
      </c>
      <c r="H124" s="101">
        <f t="shared" si="22"/>
        <v>27.701388888890506</v>
      </c>
      <c r="I124" s="103" t="e">
        <f>VLOOKUP($A124,IF(C124=1,'30.07.18'!$A$17:$N$36,IF(C124=2,'02.08.18'!$A$17:$N$36,IF(C124=3,'06.08.18'!$A$17:$N$36,IF(C124=4,'09.08.18'!$A$17:$N$36,IF(C124=5,'13.08.18'!$A$17:$N$36,IF(C124=6,'20.08.18'!$A$17:$N$36,IF(C124=7,'24.08.18'!$A$38:$N$40,IF(C124=8,'27.08.18'!$A$38:$N$40,'03.09.18'!$A$38:$N$40)))))))),2,FALSE)</f>
        <v>#N/A</v>
      </c>
      <c r="J124" s="101" t="e">
        <f t="shared" si="23"/>
        <v>#N/A</v>
      </c>
      <c r="K124" s="101" t="e">
        <f t="shared" si="24"/>
        <v>#N/A</v>
      </c>
      <c r="L124" s="101" t="e">
        <f t="shared" si="25"/>
        <v>#N/A</v>
      </c>
      <c r="M124" s="101" t="s">
        <v>164</v>
      </c>
      <c r="N124" s="102" t="str">
        <f t="shared" si="17"/>
        <v/>
      </c>
      <c r="O124" s="101" t="str">
        <f>IFERROR(VLOOKUP($A124,IF(C124=1,'30.07.18'!$A$17:$N$36,IF(C124=2,'02.08.18'!$A$17:$N$36,IF(C124=3,'06.08.18'!$A$17:$N$36,IF(C124=4,'09.08.18'!$A$17:$N$36,IF(C124=5,'13.08.18'!$A$17:$N$36,IF(C124=6,'20.08.18'!$A$17:$N$36,IF(C124=7,'24.08.18'!$A$38:$N$40,IF(C124=8,'27.08.18'!$A$38:$N$40,'03.09.18'!$A$38:$N$40)))))))),14,FALSE),"")</f>
        <v/>
      </c>
      <c r="P124" s="102" t="str">
        <f t="shared" si="18"/>
        <v/>
      </c>
    </row>
    <row r="125" spans="1:16">
      <c r="A125" s="101" t="s">
        <v>13</v>
      </c>
      <c r="B125" s="101" t="str">
        <f t="shared" si="15"/>
        <v>MB</v>
      </c>
      <c r="C125" s="101">
        <f t="shared" si="27"/>
        <v>7</v>
      </c>
      <c r="D125" s="101" t="e">
        <f t="shared" si="20"/>
        <v>#N/A</v>
      </c>
      <c r="E125" s="101">
        <f>VLOOKUP($A125,'30.07.18'!$A$17:$I$36,9,FALSE)</f>
        <v>43308.701388888891</v>
      </c>
      <c r="F125" s="101">
        <f t="shared" si="16"/>
        <v>2018</v>
      </c>
      <c r="G125" s="101">
        <f t="shared" si="21"/>
        <v>7</v>
      </c>
      <c r="H125" s="101">
        <f t="shared" si="22"/>
        <v>27.701388888890506</v>
      </c>
      <c r="I125" s="103">
        <f>VLOOKUP($A125,IF(C125=1,'30.07.18'!$A$17:$N$36,IF(C125=2,'02.08.18'!$A$17:$N$36,IF(C125=3,'06.08.18'!$A$17:$N$36,IF(C125=4,'09.08.18'!$A$17:$N$36,IF(C125=5,'13.08.18'!$A$17:$N$36,IF(C125=6,'20.08.18'!$A$17:$N$36,IF(C125=7,'24.08.18'!$A$38:$N$40,IF(C125=8,'27.08.18'!$A$38:$N$40,'03.09.18'!$A$38:$N$40)))))))),2,FALSE)</f>
        <v>43336.626388888886</v>
      </c>
      <c r="J125" s="101">
        <f t="shared" si="23"/>
        <v>2018</v>
      </c>
      <c r="K125" s="101">
        <f t="shared" si="24"/>
        <v>8</v>
      </c>
      <c r="L125" s="101">
        <f t="shared" si="25"/>
        <v>24.62638888888614</v>
      </c>
      <c r="M125" s="101" t="s">
        <v>164</v>
      </c>
      <c r="N125" s="102">
        <f t="shared" si="17"/>
        <v>27.924999999995634</v>
      </c>
      <c r="O125" s="101">
        <f>IFERROR(VLOOKUP($A125,IF(C125=1,'30.07.18'!$A$17:$N$36,IF(C125=2,'02.08.18'!$A$17:$N$36,IF(C125=3,'06.08.18'!$A$17:$N$36,IF(C125=4,'09.08.18'!$A$17:$N$36,IF(C125=5,'13.08.18'!$A$17:$N$36,IF(C125=6,'20.08.18'!$A$17:$N$36,IF(C125=7,'24.08.18'!$A$38:$N$40,IF(C125=8,'27.08.18'!$A$38:$N$40,'03.09.18'!$A$38:$N$40)))))))),14,FALSE),"")</f>
        <v>12.637809376414555</v>
      </c>
      <c r="P125" s="102">
        <f t="shared" si="18"/>
        <v>27.924999999995634</v>
      </c>
    </row>
    <row r="126" spans="1:16">
      <c r="A126" s="101" t="s">
        <v>14</v>
      </c>
      <c r="B126" s="101" t="str">
        <f t="shared" si="15"/>
        <v>MB</v>
      </c>
      <c r="C126" s="101">
        <f t="shared" si="27"/>
        <v>7</v>
      </c>
      <c r="D126" s="101" t="str">
        <f t="shared" si="20"/>
        <v/>
      </c>
      <c r="E126" s="101">
        <f>VLOOKUP($A126,'30.07.18'!$A$17:$I$36,9,FALSE)</f>
        <v>43308.701388888891</v>
      </c>
      <c r="F126" s="101">
        <f t="shared" si="16"/>
        <v>2018</v>
      </c>
      <c r="G126" s="101">
        <f t="shared" si="21"/>
        <v>7</v>
      </c>
      <c r="H126" s="101">
        <f t="shared" si="22"/>
        <v>27.701388888890506</v>
      </c>
      <c r="I126" s="103">
        <f>VLOOKUP($A126,IF(C126=1,'30.07.18'!$A$17:$N$36,IF(C126=2,'02.08.18'!$A$17:$N$36,IF(C126=3,'06.08.18'!$A$17:$N$36,IF(C126=4,'09.08.18'!$A$17:$N$36,IF(C126=5,'13.08.18'!$A$17:$N$36,IF(C126=6,'20.08.18'!$A$17:$N$36,IF(C126=7,'24.08.18'!$A$38:$N$40,IF(C126=8,'27.08.18'!$A$38:$N$40,'03.09.18'!$A$38:$N$40)))))))),2,FALSE)</f>
        <v>43336.62777777778</v>
      </c>
      <c r="J126" s="101">
        <f t="shared" si="23"/>
        <v>2018</v>
      </c>
      <c r="K126" s="101">
        <f t="shared" si="24"/>
        <v>8</v>
      </c>
      <c r="L126" s="101">
        <f t="shared" si="25"/>
        <v>24.627777777779556</v>
      </c>
      <c r="M126" s="101" t="s">
        <v>164</v>
      </c>
      <c r="N126" s="102">
        <f t="shared" si="17"/>
        <v>27.926388888889051</v>
      </c>
      <c r="O126" s="101">
        <f>IFERROR(VLOOKUP($A126,IF(C126=1,'30.07.18'!$A$17:$N$36,IF(C126=2,'02.08.18'!$A$17:$N$36,IF(C126=3,'06.08.18'!$A$17:$N$36,IF(C126=4,'09.08.18'!$A$17:$N$36,IF(C126=5,'13.08.18'!$A$17:$N$36,IF(C126=6,'20.08.18'!$A$17:$N$36,IF(C126=7,'24.08.18'!$A$38:$N$40,IF(C126=8,'27.08.18'!$A$38:$N$40,'03.09.18'!$A$38:$N$40)))))))),14,FALSE),"")</f>
        <v>13.065046387925831</v>
      </c>
      <c r="P126" s="102">
        <f t="shared" si="18"/>
        <v>27.926388888889051</v>
      </c>
    </row>
    <row r="127" spans="1:16">
      <c r="A127" s="101" t="s">
        <v>15</v>
      </c>
      <c r="B127" s="101" t="str">
        <f t="shared" si="15"/>
        <v>MB</v>
      </c>
      <c r="C127" s="101">
        <f t="shared" si="27"/>
        <v>7</v>
      </c>
      <c r="D127" s="101" t="str">
        <f t="shared" si="20"/>
        <v/>
      </c>
      <c r="E127" s="101">
        <f>VLOOKUP($A127,'30.07.18'!$A$17:$I$36,9,FALSE)</f>
        <v>43308.701388888891</v>
      </c>
      <c r="F127" s="101">
        <f t="shared" si="16"/>
        <v>2018</v>
      </c>
      <c r="G127" s="101">
        <f t="shared" si="21"/>
        <v>7</v>
      </c>
      <c r="H127" s="101">
        <f t="shared" si="22"/>
        <v>27.701388888890506</v>
      </c>
      <c r="I127" s="103">
        <f>VLOOKUP($A127,IF(C127=1,'30.07.18'!$A$17:$N$36,IF(C127=2,'02.08.18'!$A$17:$N$36,IF(C127=3,'06.08.18'!$A$17:$N$36,IF(C127=4,'09.08.18'!$A$17:$N$36,IF(C127=5,'13.08.18'!$A$17:$N$36,IF(C127=6,'20.08.18'!$A$17:$N$36,IF(C127=7,'24.08.18'!$A$38:$N$40,IF(C127=8,'27.08.18'!$A$38:$N$40,'03.09.18'!$A$38:$N$40)))))))),2,FALSE)</f>
        <v>43336.629166666666</v>
      </c>
      <c r="J127" s="101">
        <f t="shared" si="23"/>
        <v>2018</v>
      </c>
      <c r="K127" s="101">
        <f t="shared" si="24"/>
        <v>8</v>
      </c>
      <c r="L127" s="101">
        <f t="shared" si="25"/>
        <v>24.629166666665697</v>
      </c>
      <c r="M127" s="101" t="s">
        <v>164</v>
      </c>
      <c r="N127" s="102">
        <f t="shared" si="17"/>
        <v>27.927777777775191</v>
      </c>
      <c r="O127" s="101">
        <f>IFERROR(VLOOKUP($A127,IF(C127=1,'30.07.18'!$A$17:$N$36,IF(C127=2,'02.08.18'!$A$17:$N$36,IF(C127=3,'06.08.18'!$A$17:$N$36,IF(C127=4,'09.08.18'!$A$17:$N$36,IF(C127=5,'13.08.18'!$A$17:$N$36,IF(C127=6,'20.08.18'!$A$17:$N$36,IF(C127=7,'24.08.18'!$A$38:$N$40,IF(C127=8,'27.08.18'!$A$38:$N$40,'03.09.18'!$A$38:$N$40)))))))),14,FALSE),"")</f>
        <v>11.755723985883938</v>
      </c>
      <c r="P127" s="102">
        <f t="shared" si="18"/>
        <v>27.927777777775191</v>
      </c>
    </row>
    <row r="128" spans="1:16">
      <c r="A128" s="101" t="s">
        <v>16</v>
      </c>
      <c r="B128" s="101" t="str">
        <f t="shared" si="15"/>
        <v>SA</v>
      </c>
      <c r="C128" s="101">
        <f t="shared" si="27"/>
        <v>7</v>
      </c>
      <c r="D128" s="101" t="e">
        <f t="shared" si="20"/>
        <v>#N/A</v>
      </c>
      <c r="E128" s="101">
        <f>VLOOKUP($A128,'30.07.18'!$A$17:$I$36,9,FALSE)</f>
        <v>43308.723611111112</v>
      </c>
      <c r="F128" s="101">
        <f t="shared" si="16"/>
        <v>2018</v>
      </c>
      <c r="G128" s="101">
        <f t="shared" si="21"/>
        <v>7</v>
      </c>
      <c r="H128" s="101">
        <f t="shared" si="22"/>
        <v>27.723611111112405</v>
      </c>
      <c r="I128" s="103" t="e">
        <f>VLOOKUP($A128,IF(C128=1,'30.07.18'!$A$17:$N$36,IF(C128=2,'02.08.18'!$A$17:$N$36,IF(C128=3,'06.08.18'!$A$17:$N$36,IF(C128=4,'09.08.18'!$A$17:$N$36,IF(C128=5,'13.08.18'!$A$17:$N$36,IF(C128=6,'20.08.18'!$A$17:$N$36,IF(C128=7,'24.08.18'!$A$38:$N$40,IF(C128=8,'27.08.18'!$A$38:$N$40,'03.09.18'!$A$38:$N$40)))))))),2,FALSE)</f>
        <v>#N/A</v>
      </c>
      <c r="J128" s="101" t="e">
        <f t="shared" si="23"/>
        <v>#N/A</v>
      </c>
      <c r="K128" s="101" t="e">
        <f t="shared" si="24"/>
        <v>#N/A</v>
      </c>
      <c r="L128" s="101" t="e">
        <f t="shared" si="25"/>
        <v>#N/A</v>
      </c>
      <c r="M128" s="101" t="s">
        <v>164</v>
      </c>
      <c r="N128" s="102" t="str">
        <f t="shared" si="17"/>
        <v/>
      </c>
      <c r="O128" s="101" t="str">
        <f>IFERROR(VLOOKUP($A128,IF(C128=1,'30.07.18'!$A$17:$N$36,IF(C128=2,'02.08.18'!$A$17:$N$36,IF(C128=3,'06.08.18'!$A$17:$N$36,IF(C128=4,'09.08.18'!$A$17:$N$36,IF(C128=5,'13.08.18'!$A$17:$N$36,IF(C128=6,'20.08.18'!$A$17:$N$36,IF(C128=7,'24.08.18'!$A$38:$N$40,IF(C128=8,'27.08.18'!$A$38:$N$40,'03.09.18'!$A$38:$N$40)))))))),14,FALSE),"")</f>
        <v/>
      </c>
      <c r="P128" s="102" t="str">
        <f t="shared" si="18"/>
        <v/>
      </c>
    </row>
    <row r="129" spans="1:16">
      <c r="A129" s="101" t="s">
        <v>17</v>
      </c>
      <c r="B129" s="101" t="str">
        <f t="shared" si="15"/>
        <v>SA</v>
      </c>
      <c r="C129" s="101">
        <f t="shared" si="27"/>
        <v>7</v>
      </c>
      <c r="D129" s="101" t="e">
        <f t="shared" si="20"/>
        <v>#N/A</v>
      </c>
      <c r="E129" s="101">
        <f>VLOOKUP($A129,'30.07.18'!$A$17:$I$36,9,FALSE)</f>
        <v>43308.723611111112</v>
      </c>
      <c r="F129" s="101">
        <f t="shared" si="16"/>
        <v>2018</v>
      </c>
      <c r="G129" s="101">
        <f t="shared" si="21"/>
        <v>7</v>
      </c>
      <c r="H129" s="101">
        <f t="shared" si="22"/>
        <v>27.723611111112405</v>
      </c>
      <c r="I129" s="103" t="e">
        <f>VLOOKUP($A129,IF(C129=1,'30.07.18'!$A$17:$N$36,IF(C129=2,'02.08.18'!$A$17:$N$36,IF(C129=3,'06.08.18'!$A$17:$N$36,IF(C129=4,'09.08.18'!$A$17:$N$36,IF(C129=5,'13.08.18'!$A$17:$N$36,IF(C129=6,'20.08.18'!$A$17:$N$36,IF(C129=7,'24.08.18'!$A$38:$N$40,IF(C129=8,'27.08.18'!$A$38:$N$40,'03.09.18'!$A$38:$N$40)))))))),2,FALSE)</f>
        <v>#N/A</v>
      </c>
      <c r="J129" s="101" t="e">
        <f t="shared" si="23"/>
        <v>#N/A</v>
      </c>
      <c r="K129" s="101" t="e">
        <f t="shared" si="24"/>
        <v>#N/A</v>
      </c>
      <c r="L129" s="101" t="e">
        <f t="shared" si="25"/>
        <v>#N/A</v>
      </c>
      <c r="M129" s="101" t="s">
        <v>164</v>
      </c>
      <c r="N129" s="102" t="str">
        <f t="shared" si="17"/>
        <v/>
      </c>
      <c r="O129" s="101" t="str">
        <f>IFERROR(VLOOKUP($A129,IF(C129=1,'30.07.18'!$A$17:$N$36,IF(C129=2,'02.08.18'!$A$17:$N$36,IF(C129=3,'06.08.18'!$A$17:$N$36,IF(C129=4,'09.08.18'!$A$17:$N$36,IF(C129=5,'13.08.18'!$A$17:$N$36,IF(C129=6,'20.08.18'!$A$17:$N$36,IF(C129=7,'24.08.18'!$A$38:$N$40,IF(C129=8,'27.08.18'!$A$38:$N$40,'03.09.18'!$A$38:$N$40)))))))),14,FALSE),"")</f>
        <v/>
      </c>
      <c r="P129" s="102" t="str">
        <f t="shared" si="18"/>
        <v/>
      </c>
    </row>
    <row r="130" spans="1:16">
      <c r="A130" s="101" t="s">
        <v>18</v>
      </c>
      <c r="B130" s="101" t="str">
        <f t="shared" si="15"/>
        <v>SA</v>
      </c>
      <c r="C130" s="101">
        <f t="shared" si="27"/>
        <v>7</v>
      </c>
      <c r="D130" s="101" t="e">
        <f t="shared" si="20"/>
        <v>#N/A</v>
      </c>
      <c r="E130" s="101">
        <f>VLOOKUP($A130,'30.07.18'!$A$17:$I$36,9,FALSE)</f>
        <v>43308.723611111112</v>
      </c>
      <c r="F130" s="101">
        <f t="shared" si="16"/>
        <v>2018</v>
      </c>
      <c r="G130" s="101">
        <f t="shared" si="21"/>
        <v>7</v>
      </c>
      <c r="H130" s="101">
        <f t="shared" si="22"/>
        <v>27.723611111112405</v>
      </c>
      <c r="I130" s="103" t="e">
        <f>VLOOKUP($A130,IF(C130=1,'30.07.18'!$A$17:$N$36,IF(C130=2,'02.08.18'!$A$17:$N$36,IF(C130=3,'06.08.18'!$A$17:$N$36,IF(C130=4,'09.08.18'!$A$17:$N$36,IF(C130=5,'13.08.18'!$A$17:$N$36,IF(C130=6,'20.08.18'!$A$17:$N$36,IF(C130=7,'24.08.18'!$A$38:$N$40,IF(C130=8,'27.08.18'!$A$38:$N$40,'03.09.18'!$A$38:$N$40)))))))),2,FALSE)</f>
        <v>#N/A</v>
      </c>
      <c r="J130" s="101" t="e">
        <f t="shared" si="23"/>
        <v>#N/A</v>
      </c>
      <c r="K130" s="101" t="e">
        <f t="shared" si="24"/>
        <v>#N/A</v>
      </c>
      <c r="L130" s="101" t="e">
        <f t="shared" si="25"/>
        <v>#N/A</v>
      </c>
      <c r="M130" s="101" t="s">
        <v>164</v>
      </c>
      <c r="N130" s="102" t="str">
        <f t="shared" si="17"/>
        <v/>
      </c>
      <c r="O130" s="101" t="str">
        <f>IFERROR(VLOOKUP($A130,IF(C130=1,'30.07.18'!$A$17:$N$36,IF(C130=2,'02.08.18'!$A$17:$N$36,IF(C130=3,'06.08.18'!$A$17:$N$36,IF(C130=4,'09.08.18'!$A$17:$N$36,IF(C130=5,'13.08.18'!$A$17:$N$36,IF(C130=6,'20.08.18'!$A$17:$N$36,IF(C130=7,'24.08.18'!$A$38:$N$40,IF(C130=8,'27.08.18'!$A$38:$N$40,'03.09.18'!$A$38:$N$40)))))))),14,FALSE),"")</f>
        <v/>
      </c>
      <c r="P130" s="102" t="str">
        <f t="shared" si="18"/>
        <v/>
      </c>
    </row>
    <row r="131" spans="1:16">
      <c r="A131" s="101" t="s">
        <v>19</v>
      </c>
      <c r="B131" s="101" t="str">
        <f t="shared" ref="B131:B181" si="28">LEFT(A131,LEN(A131)-2)</f>
        <v>SB</v>
      </c>
      <c r="C131" s="101">
        <f t="shared" si="27"/>
        <v>7</v>
      </c>
      <c r="D131" s="101" t="e">
        <f t="shared" si="20"/>
        <v>#N/A</v>
      </c>
      <c r="E131" s="101">
        <f>VLOOKUP($A131,'30.07.18'!$A$17:$I$36,9,FALSE)</f>
        <v>43308.723611111112</v>
      </c>
      <c r="F131" s="101">
        <f t="shared" ref="F131:F181" si="29">YEAR(E131)</f>
        <v>2018</v>
      </c>
      <c r="G131" s="101">
        <f t="shared" si="21"/>
        <v>7</v>
      </c>
      <c r="H131" s="101">
        <f t="shared" si="22"/>
        <v>27.723611111112405</v>
      </c>
      <c r="I131" s="103" t="e">
        <f>VLOOKUP($A131,IF(C131=1,'30.07.18'!$A$17:$N$36,IF(C131=2,'02.08.18'!$A$17:$N$36,IF(C131=3,'06.08.18'!$A$17:$N$36,IF(C131=4,'09.08.18'!$A$17:$N$36,IF(C131=5,'13.08.18'!$A$17:$N$36,IF(C131=6,'20.08.18'!$A$17:$N$36,IF(C131=7,'24.08.18'!$A$38:$N$40,IF(C131=8,'27.08.18'!$A$38:$N$40,'03.09.18'!$A$38:$N$40)))))))),2,FALSE)</f>
        <v>#N/A</v>
      </c>
      <c r="J131" s="101" t="e">
        <f t="shared" si="23"/>
        <v>#N/A</v>
      </c>
      <c r="K131" s="101" t="e">
        <f t="shared" si="24"/>
        <v>#N/A</v>
      </c>
      <c r="L131" s="101" t="e">
        <f t="shared" si="25"/>
        <v>#N/A</v>
      </c>
      <c r="M131" s="101" t="s">
        <v>164</v>
      </c>
      <c r="N131" s="102" t="str">
        <f t="shared" ref="N131:N181" si="30">IFERROR(IF(OR(I131=0,E131=0),"",I131-E131),"")</f>
        <v/>
      </c>
      <c r="O131" s="101" t="str">
        <f>IFERROR(VLOOKUP($A131,IF(C131=1,'30.07.18'!$A$17:$N$36,IF(C131=2,'02.08.18'!$A$17:$N$36,IF(C131=3,'06.08.18'!$A$17:$N$36,IF(C131=4,'09.08.18'!$A$17:$N$36,IF(C131=5,'13.08.18'!$A$17:$N$36,IF(C131=6,'20.08.18'!$A$17:$N$36,IF(C131=7,'24.08.18'!$A$38:$N$40,IF(C131=8,'27.08.18'!$A$38:$N$40,'03.09.18'!$A$38:$N$40)))))))),14,FALSE),"")</f>
        <v/>
      </c>
      <c r="P131" s="102" t="str">
        <f t="shared" ref="P131:P181" si="31">N131</f>
        <v/>
      </c>
    </row>
    <row r="132" spans="1:16">
      <c r="A132" s="101" t="s">
        <v>20</v>
      </c>
      <c r="B132" s="101" t="str">
        <f t="shared" si="28"/>
        <v>SB</v>
      </c>
      <c r="C132" s="101">
        <f t="shared" si="27"/>
        <v>7</v>
      </c>
      <c r="D132" s="101" t="e">
        <f t="shared" si="20"/>
        <v>#N/A</v>
      </c>
      <c r="E132" s="101">
        <f>VLOOKUP($A132,'30.07.18'!$A$17:$I$36,9,FALSE)</f>
        <v>43308.723611111112</v>
      </c>
      <c r="F132" s="101">
        <f t="shared" si="29"/>
        <v>2018</v>
      </c>
      <c r="G132" s="101">
        <f t="shared" si="21"/>
        <v>7</v>
      </c>
      <c r="H132" s="101">
        <f t="shared" si="22"/>
        <v>27.723611111112405</v>
      </c>
      <c r="I132" s="103" t="e">
        <f>VLOOKUP($A132,IF(C132=1,'30.07.18'!$A$17:$N$36,IF(C132=2,'02.08.18'!$A$17:$N$36,IF(C132=3,'06.08.18'!$A$17:$N$36,IF(C132=4,'09.08.18'!$A$17:$N$36,IF(C132=5,'13.08.18'!$A$17:$N$36,IF(C132=6,'20.08.18'!$A$17:$N$36,IF(C132=7,'24.08.18'!$A$38:$N$40,IF(C132=8,'27.08.18'!$A$38:$N$40,'03.09.18'!$A$38:$N$40)))))))),2,FALSE)</f>
        <v>#N/A</v>
      </c>
      <c r="J132" s="101" t="e">
        <f t="shared" si="23"/>
        <v>#N/A</v>
      </c>
      <c r="K132" s="101" t="e">
        <f t="shared" si="24"/>
        <v>#N/A</v>
      </c>
      <c r="L132" s="101" t="e">
        <f t="shared" si="25"/>
        <v>#N/A</v>
      </c>
      <c r="M132" s="101" t="s">
        <v>164</v>
      </c>
      <c r="N132" s="102" t="str">
        <f t="shared" si="30"/>
        <v/>
      </c>
      <c r="O132" s="101" t="str">
        <f>IFERROR(VLOOKUP($A132,IF(C132=1,'30.07.18'!$A$17:$N$36,IF(C132=2,'02.08.18'!$A$17:$N$36,IF(C132=3,'06.08.18'!$A$17:$N$36,IF(C132=4,'09.08.18'!$A$17:$N$36,IF(C132=5,'13.08.18'!$A$17:$N$36,IF(C132=6,'20.08.18'!$A$17:$N$36,IF(C132=7,'24.08.18'!$A$38:$N$40,IF(C132=8,'27.08.18'!$A$38:$N$40,'03.09.18'!$A$38:$N$40)))))))),14,FALSE),"")</f>
        <v/>
      </c>
      <c r="P132" s="102" t="str">
        <f t="shared" si="31"/>
        <v/>
      </c>
    </row>
    <row r="133" spans="1:16">
      <c r="A133" s="101" t="s">
        <v>21</v>
      </c>
      <c r="B133" s="101" t="str">
        <f t="shared" si="28"/>
        <v>SB</v>
      </c>
      <c r="C133" s="101">
        <f t="shared" si="27"/>
        <v>7</v>
      </c>
      <c r="D133" s="101" t="e">
        <f t="shared" si="20"/>
        <v>#N/A</v>
      </c>
      <c r="E133" s="101">
        <f>VLOOKUP($A133,'30.07.18'!$A$17:$I$36,9,FALSE)</f>
        <v>43308.729166666664</v>
      </c>
      <c r="F133" s="101">
        <f t="shared" si="29"/>
        <v>2018</v>
      </c>
      <c r="G133" s="101">
        <f t="shared" si="21"/>
        <v>7</v>
      </c>
      <c r="H133" s="101">
        <f t="shared" si="22"/>
        <v>27.729166666664241</v>
      </c>
      <c r="I133" s="103" t="e">
        <f>VLOOKUP($A133,IF(C133=1,'30.07.18'!$A$17:$N$36,IF(C133=2,'02.08.18'!$A$17:$N$36,IF(C133=3,'06.08.18'!$A$17:$N$36,IF(C133=4,'09.08.18'!$A$17:$N$36,IF(C133=5,'13.08.18'!$A$17:$N$36,IF(C133=6,'20.08.18'!$A$17:$N$36,IF(C133=7,'24.08.18'!$A$38:$N$40,IF(C133=8,'27.08.18'!$A$38:$N$40,'03.09.18'!$A$38:$N$40)))))))),2,FALSE)</f>
        <v>#N/A</v>
      </c>
      <c r="J133" s="101" t="e">
        <f t="shared" si="23"/>
        <v>#N/A</v>
      </c>
      <c r="K133" s="101" t="e">
        <f t="shared" si="24"/>
        <v>#N/A</v>
      </c>
      <c r="L133" s="101" t="e">
        <f t="shared" si="25"/>
        <v>#N/A</v>
      </c>
      <c r="M133" s="101" t="s">
        <v>164</v>
      </c>
      <c r="N133" s="102" t="str">
        <f t="shared" si="30"/>
        <v/>
      </c>
      <c r="O133" s="101" t="str">
        <f>IFERROR(VLOOKUP($A133,IF(C133=1,'30.07.18'!$A$17:$N$36,IF(C133=2,'02.08.18'!$A$17:$N$36,IF(C133=3,'06.08.18'!$A$17:$N$36,IF(C133=4,'09.08.18'!$A$17:$N$36,IF(C133=5,'13.08.18'!$A$17:$N$36,IF(C133=6,'20.08.18'!$A$17:$N$36,IF(C133=7,'24.08.18'!$A$38:$N$40,IF(C133=8,'27.08.18'!$A$38:$N$40,'03.09.18'!$A$38:$N$40)))))))),14,FALSE),"")</f>
        <v/>
      </c>
      <c r="P133" s="102" t="str">
        <f t="shared" si="31"/>
        <v/>
      </c>
    </row>
    <row r="134" spans="1:16">
      <c r="A134" s="101" t="s">
        <v>22</v>
      </c>
      <c r="B134" s="101" t="str">
        <f t="shared" si="28"/>
        <v>Du123</v>
      </c>
      <c r="C134" s="101">
        <f t="shared" si="27"/>
        <v>7</v>
      </c>
      <c r="D134" s="101" t="e">
        <f t="shared" si="20"/>
        <v>#N/A</v>
      </c>
      <c r="E134" s="101">
        <f>VLOOKUP($A134,'30.07.18'!$A$17:$I$36,9,FALSE)</f>
        <v>43308.729166666664</v>
      </c>
      <c r="F134" s="101">
        <f t="shared" si="29"/>
        <v>2018</v>
      </c>
      <c r="G134" s="101">
        <f t="shared" si="21"/>
        <v>7</v>
      </c>
      <c r="H134" s="101">
        <f t="shared" si="22"/>
        <v>27.729166666664241</v>
      </c>
      <c r="I134" s="103" t="e">
        <f>VLOOKUP($A134,IF(C134=1,'30.07.18'!$A$17:$N$36,IF(C134=2,'02.08.18'!$A$17:$N$36,IF(C134=3,'06.08.18'!$A$17:$N$36,IF(C134=4,'09.08.18'!$A$17:$N$36,IF(C134=5,'13.08.18'!$A$17:$N$36,IF(C134=6,'20.08.18'!$A$17:$N$36,IF(C134=7,'24.08.18'!$A$38:$N$40,IF(C134=8,'27.08.18'!$A$38:$N$40,'03.09.18'!$A$38:$N$40)))))))),2,FALSE)</f>
        <v>#N/A</v>
      </c>
      <c r="J134" s="101" t="e">
        <f t="shared" si="23"/>
        <v>#N/A</v>
      </c>
      <c r="K134" s="101" t="e">
        <f t="shared" si="24"/>
        <v>#N/A</v>
      </c>
      <c r="L134" s="101" t="e">
        <f t="shared" si="25"/>
        <v>#N/A</v>
      </c>
      <c r="M134" s="101" t="s">
        <v>164</v>
      </c>
      <c r="N134" s="102" t="str">
        <f t="shared" si="30"/>
        <v/>
      </c>
      <c r="O134" s="101" t="str">
        <f>IFERROR(VLOOKUP($A134,IF(C134=1,'30.07.18'!$A$17:$N$36,IF(C134=2,'02.08.18'!$A$17:$N$36,IF(C134=3,'06.08.18'!$A$17:$N$36,IF(C134=4,'09.08.18'!$A$17:$N$36,IF(C134=5,'13.08.18'!$A$17:$N$36,IF(C134=6,'20.08.18'!$A$17:$N$36,IF(C134=7,'24.08.18'!$A$38:$N$40,IF(C134=8,'27.08.18'!$A$38:$N$40,'03.09.18'!$A$38:$N$40)))))))),14,FALSE),"")</f>
        <v/>
      </c>
      <c r="P134" s="102" t="str">
        <f t="shared" si="31"/>
        <v/>
      </c>
    </row>
    <row r="135" spans="1:16">
      <c r="A135" s="101" t="s">
        <v>23</v>
      </c>
      <c r="B135" s="101" t="str">
        <f t="shared" si="28"/>
        <v>Du120</v>
      </c>
      <c r="C135" s="101">
        <f t="shared" si="27"/>
        <v>7</v>
      </c>
      <c r="D135" s="101" t="e">
        <f t="shared" si="20"/>
        <v>#N/A</v>
      </c>
      <c r="E135" s="101">
        <f>VLOOKUP($A135,'30.07.18'!$A$17:$I$36,9,FALSE)</f>
        <v>43308.729166666664</v>
      </c>
      <c r="F135" s="101">
        <f t="shared" si="29"/>
        <v>2018</v>
      </c>
      <c r="G135" s="101">
        <f t="shared" si="21"/>
        <v>7</v>
      </c>
      <c r="H135" s="101">
        <f t="shared" si="22"/>
        <v>27.729166666664241</v>
      </c>
      <c r="I135" s="103" t="e">
        <f>VLOOKUP($A135,IF(C135=1,'30.07.18'!$A$17:$N$36,IF(C135=2,'02.08.18'!$A$17:$N$36,IF(C135=3,'06.08.18'!$A$17:$N$36,IF(C135=4,'09.08.18'!$A$17:$N$36,IF(C135=5,'13.08.18'!$A$17:$N$36,IF(C135=6,'20.08.18'!$A$17:$N$36,IF(C135=7,'24.08.18'!$A$38:$N$40,IF(C135=8,'27.08.18'!$A$38:$N$40,'03.09.18'!$A$38:$N$40)))))))),2,FALSE)</f>
        <v>#N/A</v>
      </c>
      <c r="J135" s="101" t="e">
        <f t="shared" si="23"/>
        <v>#N/A</v>
      </c>
      <c r="K135" s="101" t="e">
        <f t="shared" si="24"/>
        <v>#N/A</v>
      </c>
      <c r="L135" s="101" t="e">
        <f t="shared" si="25"/>
        <v>#N/A</v>
      </c>
      <c r="M135" s="101" t="s">
        <v>164</v>
      </c>
      <c r="N135" s="102" t="str">
        <f t="shared" si="30"/>
        <v/>
      </c>
      <c r="O135" s="101" t="str">
        <f>IFERROR(VLOOKUP($A135,IF(C135=1,'30.07.18'!$A$17:$N$36,IF(C135=2,'02.08.18'!$A$17:$N$36,IF(C135=3,'06.08.18'!$A$17:$N$36,IF(C135=4,'09.08.18'!$A$17:$N$36,IF(C135=5,'13.08.18'!$A$17:$N$36,IF(C135=6,'20.08.18'!$A$17:$N$36,IF(C135=7,'24.08.18'!$A$38:$N$40,IF(C135=8,'27.08.18'!$A$38:$N$40,'03.09.18'!$A$38:$N$40)))))))),14,FALSE),"")</f>
        <v/>
      </c>
      <c r="P135" s="102" t="str">
        <f t="shared" si="31"/>
        <v/>
      </c>
    </row>
    <row r="136" spans="1:16">
      <c r="A136" s="101" t="s">
        <v>24</v>
      </c>
      <c r="B136" s="101" t="str">
        <f t="shared" si="28"/>
        <v>TVA 4E C</v>
      </c>
      <c r="C136" s="101">
        <f t="shared" si="27"/>
        <v>7</v>
      </c>
      <c r="D136" s="101" t="e">
        <f t="shared" si="20"/>
        <v>#N/A</v>
      </c>
      <c r="E136" s="101">
        <f>VLOOKUP($A136,'30.07.18'!$A$17:$I$36,9,FALSE)</f>
        <v>43308.729166666664</v>
      </c>
      <c r="F136" s="101">
        <f t="shared" si="29"/>
        <v>2018</v>
      </c>
      <c r="G136" s="101">
        <f t="shared" si="21"/>
        <v>7</v>
      </c>
      <c r="H136" s="101">
        <f t="shared" si="22"/>
        <v>27.729166666664241</v>
      </c>
      <c r="I136" s="103" t="e">
        <f>VLOOKUP($A136,IF(C136=1,'30.07.18'!$A$17:$N$36,IF(C136=2,'02.08.18'!$A$17:$N$36,IF(C136=3,'06.08.18'!$A$17:$N$36,IF(C136=4,'09.08.18'!$A$17:$N$36,IF(C136=5,'13.08.18'!$A$17:$N$36,IF(C136=6,'20.08.18'!$A$17:$N$36,IF(C136=7,'24.08.18'!$A$38:$N$40,IF(C136=8,'27.08.18'!$A$38:$N$40,'03.09.18'!$A$38:$N$40)))))))),2,FALSE)</f>
        <v>#N/A</v>
      </c>
      <c r="J136" s="101" t="e">
        <f t="shared" si="23"/>
        <v>#N/A</v>
      </c>
      <c r="K136" s="101" t="e">
        <f t="shared" si="24"/>
        <v>#N/A</v>
      </c>
      <c r="L136" s="101" t="e">
        <f t="shared" si="25"/>
        <v>#N/A</v>
      </c>
      <c r="M136" s="101" t="s">
        <v>164</v>
      </c>
      <c r="N136" s="102" t="str">
        <f t="shared" si="30"/>
        <v/>
      </c>
      <c r="O136" s="101" t="str">
        <f>IFERROR(VLOOKUP($A136,IF(C136=1,'30.07.18'!$A$17:$N$36,IF(C136=2,'02.08.18'!$A$17:$N$36,IF(C136=3,'06.08.18'!$A$17:$N$36,IF(C136=4,'09.08.18'!$A$17:$N$36,IF(C136=5,'13.08.18'!$A$17:$N$36,IF(C136=6,'20.08.18'!$A$17:$N$36,IF(C136=7,'24.08.18'!$A$38:$N$40,IF(C136=8,'27.08.18'!$A$38:$N$40,'03.09.18'!$A$38:$N$40)))))))),14,FALSE),"")</f>
        <v/>
      </c>
      <c r="P136" s="102" t="str">
        <f t="shared" si="31"/>
        <v/>
      </c>
    </row>
    <row r="137" spans="1:16">
      <c r="A137" s="101" t="s">
        <v>25</v>
      </c>
      <c r="B137" s="101" t="str">
        <f t="shared" si="28"/>
        <v>TVA 6E C</v>
      </c>
      <c r="C137" s="101">
        <f t="shared" si="27"/>
        <v>7</v>
      </c>
      <c r="D137" s="101" t="e">
        <f t="shared" si="20"/>
        <v>#N/A</v>
      </c>
      <c r="E137" s="101">
        <f>VLOOKUP($A137,'30.07.18'!$A$17:$I$36,9,FALSE)</f>
        <v>43308.73541666667</v>
      </c>
      <c r="F137" s="101">
        <f t="shared" si="29"/>
        <v>2018</v>
      </c>
      <c r="G137" s="101">
        <f t="shared" si="21"/>
        <v>7</v>
      </c>
      <c r="H137" s="101">
        <f t="shared" si="22"/>
        <v>27.735416666670062</v>
      </c>
      <c r="I137" s="103" t="e">
        <f>VLOOKUP($A137,IF(C137=1,'30.07.18'!$A$17:$N$36,IF(C137=2,'02.08.18'!$A$17:$N$36,IF(C137=3,'06.08.18'!$A$17:$N$36,IF(C137=4,'09.08.18'!$A$17:$N$36,IF(C137=5,'13.08.18'!$A$17:$N$36,IF(C137=6,'20.08.18'!$A$17:$N$36,IF(C137=7,'24.08.18'!$A$38:$N$40,IF(C137=8,'27.08.18'!$A$38:$N$40,'03.09.18'!$A$38:$N$40)))))))),2,FALSE)</f>
        <v>#N/A</v>
      </c>
      <c r="J137" s="101" t="e">
        <f t="shared" si="23"/>
        <v>#N/A</v>
      </c>
      <c r="K137" s="101" t="e">
        <f t="shared" si="24"/>
        <v>#N/A</v>
      </c>
      <c r="L137" s="101" t="e">
        <f t="shared" si="25"/>
        <v>#N/A</v>
      </c>
      <c r="M137" s="101" t="s">
        <v>164</v>
      </c>
      <c r="N137" s="102" t="str">
        <f t="shared" si="30"/>
        <v/>
      </c>
      <c r="O137" s="101" t="str">
        <f>IFERROR(VLOOKUP($A137,IF(C137=1,'30.07.18'!$A$17:$N$36,IF(C137=2,'02.08.18'!$A$17:$N$36,IF(C137=3,'06.08.18'!$A$17:$N$36,IF(C137=4,'09.08.18'!$A$17:$N$36,IF(C137=5,'13.08.18'!$A$17:$N$36,IF(C137=6,'20.08.18'!$A$17:$N$36,IF(C137=7,'24.08.18'!$A$38:$N$40,IF(C137=8,'27.08.18'!$A$38:$N$40,'03.09.18'!$A$38:$N$40)))))))),14,FALSE),"")</f>
        <v/>
      </c>
      <c r="P137" s="102" t="str">
        <f t="shared" si="31"/>
        <v/>
      </c>
    </row>
    <row r="138" spans="1:16">
      <c r="A138" s="101" t="s">
        <v>26</v>
      </c>
      <c r="B138" s="101" t="str">
        <f t="shared" si="28"/>
        <v>TVA 8E C</v>
      </c>
      <c r="C138" s="101">
        <f t="shared" si="27"/>
        <v>7</v>
      </c>
      <c r="D138" s="101" t="e">
        <f t="shared" si="20"/>
        <v>#N/A</v>
      </c>
      <c r="E138" s="101">
        <f>VLOOKUP($A138,'30.07.18'!$A$17:$I$36,9,FALSE)</f>
        <v>43308.73541666667</v>
      </c>
      <c r="F138" s="101">
        <f t="shared" si="29"/>
        <v>2018</v>
      </c>
      <c r="G138" s="101">
        <f t="shared" si="21"/>
        <v>7</v>
      </c>
      <c r="H138" s="101">
        <f t="shared" si="22"/>
        <v>27.735416666670062</v>
      </c>
      <c r="I138" s="103" t="e">
        <f>VLOOKUP($A138,IF(C138=1,'30.07.18'!$A$17:$N$36,IF(C138=2,'02.08.18'!$A$17:$N$36,IF(C138=3,'06.08.18'!$A$17:$N$36,IF(C138=4,'09.08.18'!$A$17:$N$36,IF(C138=5,'13.08.18'!$A$17:$N$36,IF(C138=6,'20.08.18'!$A$17:$N$36,IF(C138=7,'24.08.18'!$A$38:$N$40,IF(C138=8,'27.08.18'!$A$38:$N$40,'03.09.18'!$A$38:$N$40)))))))),2,FALSE)</f>
        <v>#N/A</v>
      </c>
      <c r="J138" s="101" t="e">
        <f t="shared" si="23"/>
        <v>#N/A</v>
      </c>
      <c r="K138" s="101" t="e">
        <f t="shared" si="24"/>
        <v>#N/A</v>
      </c>
      <c r="L138" s="101" t="e">
        <f t="shared" si="25"/>
        <v>#N/A</v>
      </c>
      <c r="M138" s="101" t="s">
        <v>164</v>
      </c>
      <c r="N138" s="102" t="str">
        <f t="shared" si="30"/>
        <v/>
      </c>
      <c r="O138" s="101" t="str">
        <f>IFERROR(VLOOKUP($A138,IF(C138=1,'30.07.18'!$A$17:$N$36,IF(C138=2,'02.08.18'!$A$17:$N$36,IF(C138=3,'06.08.18'!$A$17:$N$36,IF(C138=4,'09.08.18'!$A$17:$N$36,IF(C138=5,'13.08.18'!$A$17:$N$36,IF(C138=6,'20.08.18'!$A$17:$N$36,IF(C138=7,'24.08.18'!$A$38:$N$40,IF(C138=8,'27.08.18'!$A$38:$N$40,'03.09.18'!$A$38:$N$40)))))))),14,FALSE),"")</f>
        <v/>
      </c>
      <c r="P138" s="102" t="str">
        <f t="shared" si="31"/>
        <v/>
      </c>
    </row>
    <row r="139" spans="1:16">
      <c r="A139" s="101" t="s">
        <v>27</v>
      </c>
      <c r="B139" s="101" t="str">
        <f t="shared" si="28"/>
        <v>TVA 2B C</v>
      </c>
      <c r="C139" s="101">
        <f t="shared" si="27"/>
        <v>7</v>
      </c>
      <c r="D139" s="101" t="e">
        <f t="shared" si="20"/>
        <v>#N/A</v>
      </c>
      <c r="E139" s="101">
        <f>VLOOKUP($A139,'30.07.18'!$A$17:$I$36,9,FALSE)</f>
        <v>43308.73541666667</v>
      </c>
      <c r="F139" s="101">
        <f t="shared" si="29"/>
        <v>2018</v>
      </c>
      <c r="G139" s="101">
        <f t="shared" si="21"/>
        <v>7</v>
      </c>
      <c r="H139" s="101">
        <f t="shared" si="22"/>
        <v>27.735416666670062</v>
      </c>
      <c r="I139" s="103" t="e">
        <f>VLOOKUP($A139,IF(C139=1,'30.07.18'!$A$17:$N$36,IF(C139=2,'02.08.18'!$A$17:$N$36,IF(C139=3,'06.08.18'!$A$17:$N$36,IF(C139=4,'09.08.18'!$A$17:$N$36,IF(C139=5,'13.08.18'!$A$17:$N$36,IF(C139=6,'20.08.18'!$A$17:$N$36,IF(C139=7,'24.08.18'!$A$38:$N$40,IF(C139=8,'27.08.18'!$A$38:$N$40,'03.09.18'!$A$38:$N$40)))))))),2,FALSE)</f>
        <v>#N/A</v>
      </c>
      <c r="J139" s="101" t="e">
        <f t="shared" si="23"/>
        <v>#N/A</v>
      </c>
      <c r="K139" s="101" t="e">
        <f t="shared" si="24"/>
        <v>#N/A</v>
      </c>
      <c r="L139" s="101" t="e">
        <f t="shared" si="25"/>
        <v>#N/A</v>
      </c>
      <c r="M139" s="101" t="s">
        <v>164</v>
      </c>
      <c r="N139" s="102" t="str">
        <f t="shared" si="30"/>
        <v/>
      </c>
      <c r="O139" s="101" t="str">
        <f>IFERROR(VLOOKUP($A139,IF(C139=1,'30.07.18'!$A$17:$N$36,IF(C139=2,'02.08.18'!$A$17:$N$36,IF(C139=3,'06.08.18'!$A$17:$N$36,IF(C139=4,'09.08.18'!$A$17:$N$36,IF(C139=5,'13.08.18'!$A$17:$N$36,IF(C139=6,'20.08.18'!$A$17:$N$36,IF(C139=7,'24.08.18'!$A$38:$N$40,IF(C139=8,'27.08.18'!$A$38:$N$40,'03.09.18'!$A$38:$N$40)))))))),14,FALSE),"")</f>
        <v/>
      </c>
      <c r="P139" s="102" t="str">
        <f t="shared" si="31"/>
        <v/>
      </c>
    </row>
    <row r="140" spans="1:16">
      <c r="A140" s="101" t="s">
        <v>28</v>
      </c>
      <c r="B140" s="101" t="str">
        <f t="shared" si="28"/>
        <v>TVA 3B C</v>
      </c>
      <c r="C140" s="101">
        <f t="shared" si="27"/>
        <v>7</v>
      </c>
      <c r="D140" s="101" t="e">
        <f t="shared" si="20"/>
        <v>#N/A</v>
      </c>
      <c r="E140" s="101">
        <f>VLOOKUP($A140,'30.07.18'!$A$17:$I$36,9,FALSE)</f>
        <v>43308.73541666667</v>
      </c>
      <c r="F140" s="101">
        <f t="shared" si="29"/>
        <v>2018</v>
      </c>
      <c r="G140" s="101">
        <f t="shared" si="21"/>
        <v>7</v>
      </c>
      <c r="H140" s="101">
        <f t="shared" si="22"/>
        <v>27.735416666670062</v>
      </c>
      <c r="I140" s="103" t="e">
        <f>VLOOKUP($A140,IF(C140=1,'30.07.18'!$A$17:$N$36,IF(C140=2,'02.08.18'!$A$17:$N$36,IF(C140=3,'06.08.18'!$A$17:$N$36,IF(C140=4,'09.08.18'!$A$17:$N$36,IF(C140=5,'13.08.18'!$A$17:$N$36,IF(C140=6,'20.08.18'!$A$17:$N$36,IF(C140=7,'24.08.18'!$A$38:$N$40,IF(C140=8,'27.08.18'!$A$38:$N$40,'03.09.18'!$A$38:$N$40)))))))),2,FALSE)</f>
        <v>#N/A</v>
      </c>
      <c r="J140" s="101" t="e">
        <f t="shared" si="23"/>
        <v>#N/A</v>
      </c>
      <c r="K140" s="101" t="e">
        <f t="shared" si="24"/>
        <v>#N/A</v>
      </c>
      <c r="L140" s="101" t="e">
        <f t="shared" si="25"/>
        <v>#N/A</v>
      </c>
      <c r="M140" s="101" t="s">
        <v>164</v>
      </c>
      <c r="N140" s="102" t="str">
        <f t="shared" si="30"/>
        <v/>
      </c>
      <c r="O140" s="101" t="str">
        <f>IFERROR(VLOOKUP($A140,IF(C140=1,'30.07.18'!$A$17:$N$36,IF(C140=2,'02.08.18'!$A$17:$N$36,IF(C140=3,'06.08.18'!$A$17:$N$36,IF(C140=4,'09.08.18'!$A$17:$N$36,IF(C140=5,'13.08.18'!$A$17:$N$36,IF(C140=6,'20.08.18'!$A$17:$N$36,IF(C140=7,'24.08.18'!$A$38:$N$40,IF(C140=8,'27.08.18'!$A$38:$N$40,'03.09.18'!$A$38:$N$40)))))))),14,FALSE),"")</f>
        <v/>
      </c>
      <c r="P140" s="102" t="str">
        <f t="shared" si="31"/>
        <v/>
      </c>
    </row>
    <row r="141" spans="1:16">
      <c r="A141" s="101" t="s">
        <v>29</v>
      </c>
      <c r="B141" s="101" t="str">
        <f t="shared" si="28"/>
        <v>TVA 5B C</v>
      </c>
      <c r="C141" s="101">
        <f t="shared" si="27"/>
        <v>7</v>
      </c>
      <c r="D141" s="101" t="e">
        <f t="shared" si="20"/>
        <v>#N/A</v>
      </c>
      <c r="E141" s="101">
        <f>VLOOKUP($A141,'30.07.18'!$A$17:$I$36,9,FALSE)</f>
        <v>43308.73541666667</v>
      </c>
      <c r="F141" s="101">
        <f t="shared" si="29"/>
        <v>2018</v>
      </c>
      <c r="G141" s="101">
        <f t="shared" si="21"/>
        <v>7</v>
      </c>
      <c r="H141" s="101">
        <f t="shared" si="22"/>
        <v>27.735416666670062</v>
      </c>
      <c r="I141" s="103" t="e">
        <f>VLOOKUP($A141,IF(C141=1,'30.07.18'!$A$17:$N$36,IF(C141=2,'02.08.18'!$A$17:$N$36,IF(C141=3,'06.08.18'!$A$17:$N$36,IF(C141=4,'09.08.18'!$A$17:$N$36,IF(C141=5,'13.08.18'!$A$17:$N$36,IF(C141=6,'20.08.18'!$A$17:$N$36,IF(C141=7,'24.08.18'!$A$38:$N$40,IF(C141=8,'27.08.18'!$A$38:$N$40,'03.09.18'!$A$38:$N$40)))))))),2,FALSE)</f>
        <v>#N/A</v>
      </c>
      <c r="J141" s="101" t="e">
        <f t="shared" si="23"/>
        <v>#N/A</v>
      </c>
      <c r="K141" s="101" t="e">
        <f t="shared" si="24"/>
        <v>#N/A</v>
      </c>
      <c r="L141" s="101" t="e">
        <f t="shared" si="25"/>
        <v>#N/A</v>
      </c>
      <c r="M141" s="101" t="s">
        <v>164</v>
      </c>
      <c r="N141" s="102" t="str">
        <f t="shared" si="30"/>
        <v/>
      </c>
      <c r="O141" s="101" t="str">
        <f>IFERROR(VLOOKUP($A141,IF(C141=1,'30.07.18'!$A$17:$N$36,IF(C141=2,'02.08.18'!$A$17:$N$36,IF(C141=3,'06.08.18'!$A$17:$N$36,IF(C141=4,'09.08.18'!$A$17:$N$36,IF(C141=5,'13.08.18'!$A$17:$N$36,IF(C141=6,'20.08.18'!$A$17:$N$36,IF(C141=7,'24.08.18'!$A$38:$N$40,IF(C141=8,'27.08.18'!$A$38:$N$40,'03.09.18'!$A$38:$N$40)))))))),14,FALSE),"")</f>
        <v/>
      </c>
      <c r="P141" s="102" t="str">
        <f t="shared" si="31"/>
        <v/>
      </c>
    </row>
    <row r="142" spans="1:16">
      <c r="A142" s="101" t="s">
        <v>9</v>
      </c>
      <c r="B142" s="101" t="str">
        <f t="shared" si="28"/>
        <v>MA</v>
      </c>
      <c r="C142" s="101">
        <v>8</v>
      </c>
      <c r="D142" s="101" t="e">
        <f t="shared" si="20"/>
        <v>#N/A</v>
      </c>
      <c r="E142" s="101">
        <f>VLOOKUP($A142,'30.07.18'!$A$17:$I$36,9,FALSE)</f>
        <v>43308.701388888891</v>
      </c>
      <c r="F142" s="101">
        <f t="shared" si="29"/>
        <v>2018</v>
      </c>
      <c r="G142" s="101">
        <f t="shared" si="21"/>
        <v>7</v>
      </c>
      <c r="H142" s="101">
        <f t="shared" si="22"/>
        <v>27.701388888890506</v>
      </c>
      <c r="I142" s="103" t="e">
        <f>VLOOKUP($A142,IF(C142=1,'30.07.18'!$A$17:$N$36,IF(C142=2,'02.08.18'!$A$17:$N$36,IF(C142=3,'06.08.18'!$A$17:$N$36,IF(C142=4,'09.08.18'!$A$17:$N$36,IF(C142=5,'13.08.18'!$A$17:$N$36,IF(C142=6,'20.08.18'!$A$17:$N$36,IF(C142=7,'24.08.18'!$A$38:$N$40,IF(C142=8,'27.08.18'!$A$38:$N$40,'03.09.18'!$A$38:$N$40)))))))),2,FALSE)</f>
        <v>#N/A</v>
      </c>
      <c r="J142" s="101" t="e">
        <f t="shared" si="23"/>
        <v>#N/A</v>
      </c>
      <c r="K142" s="101" t="e">
        <f t="shared" si="24"/>
        <v>#N/A</v>
      </c>
      <c r="L142" s="101" t="e">
        <f t="shared" si="25"/>
        <v>#N/A</v>
      </c>
      <c r="M142" s="101" t="s">
        <v>164</v>
      </c>
      <c r="N142" s="102" t="str">
        <f t="shared" si="30"/>
        <v/>
      </c>
      <c r="O142" s="101" t="str">
        <f>IFERROR(VLOOKUP($A142,IF(C142=1,'30.07.18'!$A$17:$N$36,IF(C142=2,'02.08.18'!$A$17:$N$36,IF(C142=3,'06.08.18'!$A$17:$N$36,IF(C142=4,'09.08.18'!$A$17:$N$36,IF(C142=5,'13.08.18'!$A$17:$N$36,IF(C142=6,'20.08.18'!$A$17:$N$36,IF(C142=7,'24.08.18'!$A$38:$N$40,IF(C142=8,'27.08.18'!$A$38:$N$40,'03.09.18'!$A$38:$N$40)))))))),14,FALSE),"")</f>
        <v/>
      </c>
      <c r="P142" s="102" t="str">
        <f t="shared" si="31"/>
        <v/>
      </c>
    </row>
    <row r="143" spans="1:16">
      <c r="A143" s="101" t="s">
        <v>11</v>
      </c>
      <c r="B143" s="101" t="str">
        <f t="shared" si="28"/>
        <v>MA</v>
      </c>
      <c r="C143" s="101">
        <f t="shared" ref="C143:C181" si="32">C142</f>
        <v>8</v>
      </c>
      <c r="D143" s="101" t="e">
        <f t="shared" si="20"/>
        <v>#N/A</v>
      </c>
      <c r="E143" s="101">
        <f>VLOOKUP($A143,'30.07.18'!$A$17:$I$36,9,FALSE)</f>
        <v>43308.701388888891</v>
      </c>
      <c r="F143" s="101">
        <f t="shared" si="29"/>
        <v>2018</v>
      </c>
      <c r="G143" s="101">
        <f t="shared" si="21"/>
        <v>7</v>
      </c>
      <c r="H143" s="101">
        <f t="shared" si="22"/>
        <v>27.701388888890506</v>
      </c>
      <c r="I143" s="103" t="e">
        <f>VLOOKUP($A143,IF(C143=1,'30.07.18'!$A$17:$N$36,IF(C143=2,'02.08.18'!$A$17:$N$36,IF(C143=3,'06.08.18'!$A$17:$N$36,IF(C143=4,'09.08.18'!$A$17:$N$36,IF(C143=5,'13.08.18'!$A$17:$N$36,IF(C143=6,'20.08.18'!$A$17:$N$36,IF(C143=7,'24.08.18'!$A$38:$N$40,IF(C143=8,'27.08.18'!$A$38:$N$40,'03.09.18'!$A$38:$N$40)))))))),2,FALSE)</f>
        <v>#N/A</v>
      </c>
      <c r="J143" s="101" t="e">
        <f t="shared" si="23"/>
        <v>#N/A</v>
      </c>
      <c r="K143" s="101" t="e">
        <f t="shared" si="24"/>
        <v>#N/A</v>
      </c>
      <c r="L143" s="101" t="e">
        <f t="shared" si="25"/>
        <v>#N/A</v>
      </c>
      <c r="M143" s="101" t="s">
        <v>164</v>
      </c>
      <c r="N143" s="102" t="str">
        <f t="shared" si="30"/>
        <v/>
      </c>
      <c r="O143" s="101" t="str">
        <f>IFERROR(VLOOKUP($A143,IF(C143=1,'30.07.18'!$A$17:$N$36,IF(C143=2,'02.08.18'!$A$17:$N$36,IF(C143=3,'06.08.18'!$A$17:$N$36,IF(C143=4,'09.08.18'!$A$17:$N$36,IF(C143=5,'13.08.18'!$A$17:$N$36,IF(C143=6,'20.08.18'!$A$17:$N$36,IF(C143=7,'24.08.18'!$A$38:$N$40,IF(C143=8,'27.08.18'!$A$38:$N$40,'03.09.18'!$A$38:$N$40)))))))),14,FALSE),"")</f>
        <v/>
      </c>
      <c r="P143" s="102" t="str">
        <f t="shared" si="31"/>
        <v/>
      </c>
    </row>
    <row r="144" spans="1:16">
      <c r="A144" s="101" t="s">
        <v>12</v>
      </c>
      <c r="B144" s="101" t="str">
        <f t="shared" si="28"/>
        <v>MA</v>
      </c>
      <c r="C144" s="101">
        <f t="shared" si="32"/>
        <v>8</v>
      </c>
      <c r="D144" s="101" t="e">
        <f t="shared" si="20"/>
        <v>#N/A</v>
      </c>
      <c r="E144" s="101">
        <f>VLOOKUP($A144,'30.07.18'!$A$17:$I$36,9,FALSE)</f>
        <v>43308.701388888891</v>
      </c>
      <c r="F144" s="101">
        <f t="shared" si="29"/>
        <v>2018</v>
      </c>
      <c r="G144" s="101">
        <f t="shared" si="21"/>
        <v>7</v>
      </c>
      <c r="H144" s="101">
        <f t="shared" si="22"/>
        <v>27.701388888890506</v>
      </c>
      <c r="I144" s="103" t="e">
        <f>VLOOKUP($A144,IF(C144=1,'30.07.18'!$A$17:$N$36,IF(C144=2,'02.08.18'!$A$17:$N$36,IF(C144=3,'06.08.18'!$A$17:$N$36,IF(C144=4,'09.08.18'!$A$17:$N$36,IF(C144=5,'13.08.18'!$A$17:$N$36,IF(C144=6,'20.08.18'!$A$17:$N$36,IF(C144=7,'24.08.18'!$A$38:$N$40,IF(C144=8,'27.08.18'!$A$38:$N$40,'03.09.18'!$A$38:$N$40)))))))),2,FALSE)</f>
        <v>#N/A</v>
      </c>
      <c r="J144" s="101" t="e">
        <f t="shared" si="23"/>
        <v>#N/A</v>
      </c>
      <c r="K144" s="101" t="e">
        <f t="shared" si="24"/>
        <v>#N/A</v>
      </c>
      <c r="L144" s="101" t="e">
        <f t="shared" si="25"/>
        <v>#N/A</v>
      </c>
      <c r="M144" s="101" t="s">
        <v>164</v>
      </c>
      <c r="N144" s="102" t="str">
        <f t="shared" si="30"/>
        <v/>
      </c>
      <c r="O144" s="101" t="str">
        <f>IFERROR(VLOOKUP($A144,IF(C144=1,'30.07.18'!$A$17:$N$36,IF(C144=2,'02.08.18'!$A$17:$N$36,IF(C144=3,'06.08.18'!$A$17:$N$36,IF(C144=4,'09.08.18'!$A$17:$N$36,IF(C144=5,'13.08.18'!$A$17:$N$36,IF(C144=6,'20.08.18'!$A$17:$N$36,IF(C144=7,'24.08.18'!$A$38:$N$40,IF(C144=8,'27.08.18'!$A$38:$N$40,'03.09.18'!$A$38:$N$40)))))))),14,FALSE),"")</f>
        <v/>
      </c>
      <c r="P144" s="102" t="str">
        <f t="shared" si="31"/>
        <v/>
      </c>
    </row>
    <row r="145" spans="1:16">
      <c r="A145" s="101" t="s">
        <v>13</v>
      </c>
      <c r="B145" s="101" t="str">
        <f t="shared" si="28"/>
        <v>MB</v>
      </c>
      <c r="C145" s="101">
        <f t="shared" si="32"/>
        <v>8</v>
      </c>
      <c r="D145" s="101" t="e">
        <f t="shared" si="20"/>
        <v>#N/A</v>
      </c>
      <c r="E145" s="101">
        <f>VLOOKUP($A145,'30.07.18'!$A$17:$I$36,9,FALSE)</f>
        <v>43308.701388888891</v>
      </c>
      <c r="F145" s="101">
        <f t="shared" si="29"/>
        <v>2018</v>
      </c>
      <c r="G145" s="101">
        <f t="shared" si="21"/>
        <v>7</v>
      </c>
      <c r="H145" s="101">
        <f t="shared" si="22"/>
        <v>27.701388888890506</v>
      </c>
      <c r="I145" s="103">
        <f>VLOOKUP($A145,IF(C145=1,'30.07.18'!$A$17:$N$36,IF(C145=2,'02.08.18'!$A$17:$N$36,IF(C145=3,'06.08.18'!$A$17:$N$36,IF(C145=4,'09.08.18'!$A$17:$N$36,IF(C145=5,'13.08.18'!$A$17:$N$36,IF(C145=6,'20.08.18'!$A$17:$N$36,IF(C145=7,'24.08.18'!$A$38:$N$40,IF(C145=8,'27.08.18'!$A$38:$N$40,'03.09.18'!$A$38:$N$40)))))))),2,FALSE)</f>
        <v>43339.674305555556</v>
      </c>
      <c r="J145" s="101">
        <f t="shared" si="23"/>
        <v>2018</v>
      </c>
      <c r="K145" s="101">
        <f t="shared" si="24"/>
        <v>8</v>
      </c>
      <c r="L145" s="101">
        <f t="shared" si="25"/>
        <v>27.674305555556202</v>
      </c>
      <c r="M145" s="101" t="s">
        <v>164</v>
      </c>
      <c r="N145" s="102">
        <f t="shared" si="30"/>
        <v>30.972916666665697</v>
      </c>
      <c r="O145" s="101">
        <f>IFERROR(VLOOKUP($A145,IF(C145=1,'30.07.18'!$A$17:$N$36,IF(C145=2,'02.08.18'!$A$17:$N$36,IF(C145=3,'06.08.18'!$A$17:$N$36,IF(C145=4,'09.08.18'!$A$17:$N$36,IF(C145=5,'13.08.18'!$A$17:$N$36,IF(C145=6,'20.08.18'!$A$17:$N$36,IF(C145=7,'24.08.18'!$A$38:$N$40,IF(C145=8,'27.08.18'!$A$38:$N$40,'03.09.18'!$A$38:$N$40)))))))),14,FALSE),"")</f>
        <v>13.77626670240617</v>
      </c>
      <c r="P145" s="102">
        <f t="shared" si="31"/>
        <v>30.972916666665697</v>
      </c>
    </row>
    <row r="146" spans="1:16">
      <c r="A146" s="101" t="s">
        <v>14</v>
      </c>
      <c r="B146" s="101" t="str">
        <f t="shared" si="28"/>
        <v>MB</v>
      </c>
      <c r="C146" s="101">
        <f t="shared" si="32"/>
        <v>8</v>
      </c>
      <c r="D146" s="101" t="str">
        <f t="shared" si="20"/>
        <v/>
      </c>
      <c r="E146" s="101">
        <f>VLOOKUP($A146,'30.07.18'!$A$17:$I$36,9,FALSE)</f>
        <v>43308.701388888891</v>
      </c>
      <c r="F146" s="101">
        <f t="shared" si="29"/>
        <v>2018</v>
      </c>
      <c r="G146" s="101">
        <f t="shared" si="21"/>
        <v>7</v>
      </c>
      <c r="H146" s="101">
        <f t="shared" si="22"/>
        <v>27.701388888890506</v>
      </c>
      <c r="I146" s="103">
        <f>VLOOKUP($A146,IF(C146=1,'30.07.18'!$A$17:$N$36,IF(C146=2,'02.08.18'!$A$17:$N$36,IF(C146=3,'06.08.18'!$A$17:$N$36,IF(C146=4,'09.08.18'!$A$17:$N$36,IF(C146=5,'13.08.18'!$A$17:$N$36,IF(C146=6,'20.08.18'!$A$17:$N$36,IF(C146=7,'24.08.18'!$A$38:$N$40,IF(C146=8,'27.08.18'!$A$38:$N$40,'03.09.18'!$A$38:$N$40)))))))),2,FALSE)</f>
        <v>43339.675694444442</v>
      </c>
      <c r="J146" s="101">
        <f t="shared" si="23"/>
        <v>2018</v>
      </c>
      <c r="K146" s="101">
        <f t="shared" si="24"/>
        <v>8</v>
      </c>
      <c r="L146" s="101">
        <f t="shared" si="25"/>
        <v>27.675694444442343</v>
      </c>
      <c r="M146" s="101" t="s">
        <v>164</v>
      </c>
      <c r="N146" s="102">
        <f t="shared" si="30"/>
        <v>30.974305555551837</v>
      </c>
      <c r="O146" s="101">
        <f>IFERROR(VLOOKUP($A146,IF(C146=1,'30.07.18'!$A$17:$N$36,IF(C146=2,'02.08.18'!$A$17:$N$36,IF(C146=3,'06.08.18'!$A$17:$N$36,IF(C146=4,'09.08.18'!$A$17:$N$36,IF(C146=5,'13.08.18'!$A$17:$N$36,IF(C146=6,'20.08.18'!$A$17:$N$36,IF(C146=7,'24.08.18'!$A$38:$N$40,IF(C146=8,'27.08.18'!$A$38:$N$40,'03.09.18'!$A$38:$N$40)))))))),14,FALSE),"")</f>
        <v>13.786096744407592</v>
      </c>
      <c r="P146" s="102">
        <f t="shared" si="31"/>
        <v>30.974305555551837</v>
      </c>
    </row>
    <row r="147" spans="1:16">
      <c r="A147" s="101" t="s">
        <v>15</v>
      </c>
      <c r="B147" s="101" t="str">
        <f t="shared" si="28"/>
        <v>MB</v>
      </c>
      <c r="C147" s="101">
        <f t="shared" si="32"/>
        <v>8</v>
      </c>
      <c r="D147" s="101" t="str">
        <f t="shared" si="20"/>
        <v/>
      </c>
      <c r="E147" s="101">
        <f>VLOOKUP($A147,'30.07.18'!$A$17:$I$36,9,FALSE)</f>
        <v>43308.701388888891</v>
      </c>
      <c r="F147" s="101">
        <f t="shared" si="29"/>
        <v>2018</v>
      </c>
      <c r="G147" s="101">
        <f t="shared" si="21"/>
        <v>7</v>
      </c>
      <c r="H147" s="101">
        <f t="shared" si="22"/>
        <v>27.701388888890506</v>
      </c>
      <c r="I147" s="103">
        <f>VLOOKUP($A147,IF(C147=1,'30.07.18'!$A$17:$N$36,IF(C147=2,'02.08.18'!$A$17:$N$36,IF(C147=3,'06.08.18'!$A$17:$N$36,IF(C147=4,'09.08.18'!$A$17:$N$36,IF(C147=5,'13.08.18'!$A$17:$N$36,IF(C147=6,'20.08.18'!$A$17:$N$36,IF(C147=7,'24.08.18'!$A$38:$N$40,IF(C147=8,'27.08.18'!$A$38:$N$40,'03.09.18'!$A$38:$N$40)))))))),2,FALSE)</f>
        <v>43339.677083333336</v>
      </c>
      <c r="J147" s="101">
        <f t="shared" si="23"/>
        <v>2018</v>
      </c>
      <c r="K147" s="101">
        <f t="shared" si="24"/>
        <v>8</v>
      </c>
      <c r="L147" s="101">
        <f t="shared" si="25"/>
        <v>27.677083333335759</v>
      </c>
      <c r="M147" s="101" t="s">
        <v>164</v>
      </c>
      <c r="N147" s="102">
        <f t="shared" si="30"/>
        <v>30.975694444445253</v>
      </c>
      <c r="O147" s="101">
        <f>IFERROR(VLOOKUP($A147,IF(C147=1,'30.07.18'!$A$17:$N$36,IF(C147=2,'02.08.18'!$A$17:$N$36,IF(C147=3,'06.08.18'!$A$17:$N$36,IF(C147=4,'09.08.18'!$A$17:$N$36,IF(C147=5,'13.08.18'!$A$17:$N$36,IF(C147=6,'20.08.18'!$A$17:$N$36,IF(C147=7,'24.08.18'!$A$38:$N$40,IF(C147=8,'27.08.18'!$A$38:$N$40,'03.09.18'!$A$38:$N$40)))))))),14,FALSE),"")</f>
        <v>11.450368488602569</v>
      </c>
      <c r="P147" s="102">
        <f t="shared" si="31"/>
        <v>30.975694444445253</v>
      </c>
    </row>
    <row r="148" spans="1:16">
      <c r="A148" s="101" t="s">
        <v>16</v>
      </c>
      <c r="B148" s="101" t="str">
        <f t="shared" si="28"/>
        <v>SA</v>
      </c>
      <c r="C148" s="101">
        <f t="shared" si="32"/>
        <v>8</v>
      </c>
      <c r="D148" s="101" t="e">
        <f t="shared" si="20"/>
        <v>#N/A</v>
      </c>
      <c r="E148" s="101">
        <f>VLOOKUP($A148,'30.07.18'!$A$17:$I$36,9,FALSE)</f>
        <v>43308.723611111112</v>
      </c>
      <c r="F148" s="101">
        <f t="shared" si="29"/>
        <v>2018</v>
      </c>
      <c r="G148" s="101">
        <f t="shared" si="21"/>
        <v>7</v>
      </c>
      <c r="H148" s="101">
        <f t="shared" si="22"/>
        <v>27.723611111112405</v>
      </c>
      <c r="I148" s="103" t="e">
        <f>VLOOKUP($A148,IF(C148=1,'30.07.18'!$A$17:$N$36,IF(C148=2,'02.08.18'!$A$17:$N$36,IF(C148=3,'06.08.18'!$A$17:$N$36,IF(C148=4,'09.08.18'!$A$17:$N$36,IF(C148=5,'13.08.18'!$A$17:$N$36,IF(C148=6,'20.08.18'!$A$17:$N$36,IF(C148=7,'24.08.18'!$A$38:$N$40,IF(C148=8,'27.08.18'!$A$38:$N$40,'03.09.18'!$A$38:$N$40)))))))),2,FALSE)</f>
        <v>#N/A</v>
      </c>
      <c r="J148" s="101" t="e">
        <f t="shared" si="23"/>
        <v>#N/A</v>
      </c>
      <c r="K148" s="101" t="e">
        <f t="shared" si="24"/>
        <v>#N/A</v>
      </c>
      <c r="L148" s="101" t="e">
        <f t="shared" si="25"/>
        <v>#N/A</v>
      </c>
      <c r="M148" s="101" t="s">
        <v>164</v>
      </c>
      <c r="N148" s="102" t="str">
        <f t="shared" si="30"/>
        <v/>
      </c>
      <c r="O148" s="101" t="str">
        <f>IFERROR(VLOOKUP($A148,IF(C148=1,'30.07.18'!$A$17:$N$36,IF(C148=2,'02.08.18'!$A$17:$N$36,IF(C148=3,'06.08.18'!$A$17:$N$36,IF(C148=4,'09.08.18'!$A$17:$N$36,IF(C148=5,'13.08.18'!$A$17:$N$36,IF(C148=6,'20.08.18'!$A$17:$N$36,IF(C148=7,'24.08.18'!$A$38:$N$40,IF(C148=8,'27.08.18'!$A$38:$N$40,'03.09.18'!$A$38:$N$40)))))))),14,FALSE),"")</f>
        <v/>
      </c>
      <c r="P148" s="102" t="str">
        <f t="shared" si="31"/>
        <v/>
      </c>
    </row>
    <row r="149" spans="1:16">
      <c r="A149" s="101" t="s">
        <v>17</v>
      </c>
      <c r="B149" s="101" t="str">
        <f t="shared" si="28"/>
        <v>SA</v>
      </c>
      <c r="C149" s="101">
        <f t="shared" si="32"/>
        <v>8</v>
      </c>
      <c r="D149" s="101" t="e">
        <f t="shared" si="20"/>
        <v>#N/A</v>
      </c>
      <c r="E149" s="101">
        <f>VLOOKUP($A149,'30.07.18'!$A$17:$I$36,9,FALSE)</f>
        <v>43308.723611111112</v>
      </c>
      <c r="F149" s="101">
        <f t="shared" si="29"/>
        <v>2018</v>
      </c>
      <c r="G149" s="101">
        <f t="shared" si="21"/>
        <v>7</v>
      </c>
      <c r="H149" s="101">
        <f t="shared" si="22"/>
        <v>27.723611111112405</v>
      </c>
      <c r="I149" s="103" t="e">
        <f>VLOOKUP($A149,IF(C149=1,'30.07.18'!$A$17:$N$36,IF(C149=2,'02.08.18'!$A$17:$N$36,IF(C149=3,'06.08.18'!$A$17:$N$36,IF(C149=4,'09.08.18'!$A$17:$N$36,IF(C149=5,'13.08.18'!$A$17:$N$36,IF(C149=6,'20.08.18'!$A$17:$N$36,IF(C149=7,'24.08.18'!$A$38:$N$40,IF(C149=8,'27.08.18'!$A$38:$N$40,'03.09.18'!$A$38:$N$40)))))))),2,FALSE)</f>
        <v>#N/A</v>
      </c>
      <c r="J149" s="101" t="e">
        <f t="shared" si="23"/>
        <v>#N/A</v>
      </c>
      <c r="K149" s="101" t="e">
        <f t="shared" si="24"/>
        <v>#N/A</v>
      </c>
      <c r="L149" s="101" t="e">
        <f t="shared" si="25"/>
        <v>#N/A</v>
      </c>
      <c r="M149" s="101" t="s">
        <v>164</v>
      </c>
      <c r="N149" s="102" t="str">
        <f t="shared" si="30"/>
        <v/>
      </c>
      <c r="O149" s="101" t="str">
        <f>IFERROR(VLOOKUP($A149,IF(C149=1,'30.07.18'!$A$17:$N$36,IF(C149=2,'02.08.18'!$A$17:$N$36,IF(C149=3,'06.08.18'!$A$17:$N$36,IF(C149=4,'09.08.18'!$A$17:$N$36,IF(C149=5,'13.08.18'!$A$17:$N$36,IF(C149=6,'20.08.18'!$A$17:$N$36,IF(C149=7,'24.08.18'!$A$38:$N$40,IF(C149=8,'27.08.18'!$A$38:$N$40,'03.09.18'!$A$38:$N$40)))))))),14,FALSE),"")</f>
        <v/>
      </c>
      <c r="P149" s="102" t="str">
        <f t="shared" si="31"/>
        <v/>
      </c>
    </row>
    <row r="150" spans="1:16">
      <c r="A150" s="101" t="s">
        <v>18</v>
      </c>
      <c r="B150" s="101" t="str">
        <f t="shared" si="28"/>
        <v>SA</v>
      </c>
      <c r="C150" s="101">
        <f t="shared" si="32"/>
        <v>8</v>
      </c>
      <c r="D150" s="101" t="e">
        <f t="shared" ref="D150:D181" si="33">IF(AND(C150&lt;&gt;C149,I150=I149),"fix meas date","")</f>
        <v>#N/A</v>
      </c>
      <c r="E150" s="101">
        <f>VLOOKUP($A150,'30.07.18'!$A$17:$I$36,9,FALSE)</f>
        <v>43308.723611111112</v>
      </c>
      <c r="F150" s="101">
        <f t="shared" si="29"/>
        <v>2018</v>
      </c>
      <c r="G150" s="101">
        <f t="shared" ref="G150:G181" si="34">MONTH(E150)</f>
        <v>7</v>
      </c>
      <c r="H150" s="101">
        <f t="shared" ref="H150:H181" si="35">DAY(E150)+E150-ROUNDDOWN(E150,0)</f>
        <v>27.723611111112405</v>
      </c>
      <c r="I150" s="103" t="e">
        <f>VLOOKUP($A150,IF(C150=1,'30.07.18'!$A$17:$N$36,IF(C150=2,'02.08.18'!$A$17:$N$36,IF(C150=3,'06.08.18'!$A$17:$N$36,IF(C150=4,'09.08.18'!$A$17:$N$36,IF(C150=5,'13.08.18'!$A$17:$N$36,IF(C150=6,'20.08.18'!$A$17:$N$36,IF(C150=7,'24.08.18'!$A$38:$N$40,IF(C150=8,'27.08.18'!$A$38:$N$40,'03.09.18'!$A$38:$N$40)))))))),2,FALSE)</f>
        <v>#N/A</v>
      </c>
      <c r="J150" s="101" t="e">
        <f t="shared" ref="J150:J181" si="36">YEAR(I150)</f>
        <v>#N/A</v>
      </c>
      <c r="K150" s="101" t="e">
        <f t="shared" ref="K150:K181" si="37">MONTH(I150)</f>
        <v>#N/A</v>
      </c>
      <c r="L150" s="101" t="e">
        <f t="shared" ref="L150:L181" si="38">DAY(I150)+I150-ROUNDDOWN(I150,0)</f>
        <v>#N/A</v>
      </c>
      <c r="M150" s="101" t="s">
        <v>164</v>
      </c>
      <c r="N150" s="102" t="str">
        <f t="shared" si="30"/>
        <v/>
      </c>
      <c r="O150" s="101" t="str">
        <f>IFERROR(VLOOKUP($A150,IF(C150=1,'30.07.18'!$A$17:$N$36,IF(C150=2,'02.08.18'!$A$17:$N$36,IF(C150=3,'06.08.18'!$A$17:$N$36,IF(C150=4,'09.08.18'!$A$17:$N$36,IF(C150=5,'13.08.18'!$A$17:$N$36,IF(C150=6,'20.08.18'!$A$17:$N$36,IF(C150=7,'24.08.18'!$A$38:$N$40,IF(C150=8,'27.08.18'!$A$38:$N$40,'03.09.18'!$A$38:$N$40)))))))),14,FALSE),"")</f>
        <v/>
      </c>
      <c r="P150" s="102" t="str">
        <f t="shared" si="31"/>
        <v/>
      </c>
    </row>
    <row r="151" spans="1:16">
      <c r="A151" s="101" t="s">
        <v>19</v>
      </c>
      <c r="B151" s="101" t="str">
        <f t="shared" si="28"/>
        <v>SB</v>
      </c>
      <c r="C151" s="101">
        <f t="shared" si="32"/>
        <v>8</v>
      </c>
      <c r="D151" s="101" t="e">
        <f t="shared" si="33"/>
        <v>#N/A</v>
      </c>
      <c r="E151" s="101">
        <f>VLOOKUP($A151,'30.07.18'!$A$17:$I$36,9,FALSE)</f>
        <v>43308.723611111112</v>
      </c>
      <c r="F151" s="101">
        <f t="shared" si="29"/>
        <v>2018</v>
      </c>
      <c r="G151" s="101">
        <f t="shared" si="34"/>
        <v>7</v>
      </c>
      <c r="H151" s="101">
        <f t="shared" si="35"/>
        <v>27.723611111112405</v>
      </c>
      <c r="I151" s="103" t="e">
        <f>VLOOKUP($A151,IF(C151=1,'30.07.18'!$A$17:$N$36,IF(C151=2,'02.08.18'!$A$17:$N$36,IF(C151=3,'06.08.18'!$A$17:$N$36,IF(C151=4,'09.08.18'!$A$17:$N$36,IF(C151=5,'13.08.18'!$A$17:$N$36,IF(C151=6,'20.08.18'!$A$17:$N$36,IF(C151=7,'24.08.18'!$A$38:$N$40,IF(C151=8,'27.08.18'!$A$38:$N$40,'03.09.18'!$A$38:$N$40)))))))),2,FALSE)</f>
        <v>#N/A</v>
      </c>
      <c r="J151" s="101" t="e">
        <f t="shared" si="36"/>
        <v>#N/A</v>
      </c>
      <c r="K151" s="101" t="e">
        <f t="shared" si="37"/>
        <v>#N/A</v>
      </c>
      <c r="L151" s="101" t="e">
        <f t="shared" si="38"/>
        <v>#N/A</v>
      </c>
      <c r="M151" s="101" t="s">
        <v>164</v>
      </c>
      <c r="N151" s="102" t="str">
        <f t="shared" si="30"/>
        <v/>
      </c>
      <c r="O151" s="101" t="str">
        <f>IFERROR(VLOOKUP($A151,IF(C151=1,'30.07.18'!$A$17:$N$36,IF(C151=2,'02.08.18'!$A$17:$N$36,IF(C151=3,'06.08.18'!$A$17:$N$36,IF(C151=4,'09.08.18'!$A$17:$N$36,IF(C151=5,'13.08.18'!$A$17:$N$36,IF(C151=6,'20.08.18'!$A$17:$N$36,IF(C151=7,'24.08.18'!$A$38:$N$40,IF(C151=8,'27.08.18'!$A$38:$N$40,'03.09.18'!$A$38:$N$40)))))))),14,FALSE),"")</f>
        <v/>
      </c>
      <c r="P151" s="102" t="str">
        <f t="shared" si="31"/>
        <v/>
      </c>
    </row>
    <row r="152" spans="1:16">
      <c r="A152" s="101" t="s">
        <v>20</v>
      </c>
      <c r="B152" s="101" t="str">
        <f t="shared" si="28"/>
        <v>SB</v>
      </c>
      <c r="C152" s="101">
        <f t="shared" si="32"/>
        <v>8</v>
      </c>
      <c r="D152" s="101" t="e">
        <f t="shared" si="33"/>
        <v>#N/A</v>
      </c>
      <c r="E152" s="101">
        <f>VLOOKUP($A152,'30.07.18'!$A$17:$I$36,9,FALSE)</f>
        <v>43308.723611111112</v>
      </c>
      <c r="F152" s="101">
        <f t="shared" si="29"/>
        <v>2018</v>
      </c>
      <c r="G152" s="101">
        <f t="shared" si="34"/>
        <v>7</v>
      </c>
      <c r="H152" s="101">
        <f t="shared" si="35"/>
        <v>27.723611111112405</v>
      </c>
      <c r="I152" s="103" t="e">
        <f>VLOOKUP($A152,IF(C152=1,'30.07.18'!$A$17:$N$36,IF(C152=2,'02.08.18'!$A$17:$N$36,IF(C152=3,'06.08.18'!$A$17:$N$36,IF(C152=4,'09.08.18'!$A$17:$N$36,IF(C152=5,'13.08.18'!$A$17:$N$36,IF(C152=6,'20.08.18'!$A$17:$N$36,IF(C152=7,'24.08.18'!$A$38:$N$40,IF(C152=8,'27.08.18'!$A$38:$N$40,'03.09.18'!$A$38:$N$40)))))))),2,FALSE)</f>
        <v>#N/A</v>
      </c>
      <c r="J152" s="101" t="e">
        <f t="shared" si="36"/>
        <v>#N/A</v>
      </c>
      <c r="K152" s="101" t="e">
        <f t="shared" si="37"/>
        <v>#N/A</v>
      </c>
      <c r="L152" s="101" t="e">
        <f t="shared" si="38"/>
        <v>#N/A</v>
      </c>
      <c r="M152" s="101" t="s">
        <v>164</v>
      </c>
      <c r="N152" s="102" t="str">
        <f t="shared" si="30"/>
        <v/>
      </c>
      <c r="O152" s="101" t="str">
        <f>IFERROR(VLOOKUP($A152,IF(C152=1,'30.07.18'!$A$17:$N$36,IF(C152=2,'02.08.18'!$A$17:$N$36,IF(C152=3,'06.08.18'!$A$17:$N$36,IF(C152=4,'09.08.18'!$A$17:$N$36,IF(C152=5,'13.08.18'!$A$17:$N$36,IF(C152=6,'20.08.18'!$A$17:$N$36,IF(C152=7,'24.08.18'!$A$38:$N$40,IF(C152=8,'27.08.18'!$A$38:$N$40,'03.09.18'!$A$38:$N$40)))))))),14,FALSE),"")</f>
        <v/>
      </c>
      <c r="P152" s="102" t="str">
        <f t="shared" si="31"/>
        <v/>
      </c>
    </row>
    <row r="153" spans="1:16">
      <c r="A153" s="101" t="s">
        <v>21</v>
      </c>
      <c r="B153" s="101" t="str">
        <f t="shared" si="28"/>
        <v>SB</v>
      </c>
      <c r="C153" s="101">
        <f t="shared" si="32"/>
        <v>8</v>
      </c>
      <c r="D153" s="101" t="e">
        <f t="shared" si="33"/>
        <v>#N/A</v>
      </c>
      <c r="E153" s="101">
        <f>VLOOKUP($A153,'30.07.18'!$A$17:$I$36,9,FALSE)</f>
        <v>43308.729166666664</v>
      </c>
      <c r="F153" s="101">
        <f t="shared" si="29"/>
        <v>2018</v>
      </c>
      <c r="G153" s="101">
        <f t="shared" si="34"/>
        <v>7</v>
      </c>
      <c r="H153" s="101">
        <f t="shared" si="35"/>
        <v>27.729166666664241</v>
      </c>
      <c r="I153" s="103" t="e">
        <f>VLOOKUP($A153,IF(C153=1,'30.07.18'!$A$17:$N$36,IF(C153=2,'02.08.18'!$A$17:$N$36,IF(C153=3,'06.08.18'!$A$17:$N$36,IF(C153=4,'09.08.18'!$A$17:$N$36,IF(C153=5,'13.08.18'!$A$17:$N$36,IF(C153=6,'20.08.18'!$A$17:$N$36,IF(C153=7,'24.08.18'!$A$38:$N$40,IF(C153=8,'27.08.18'!$A$38:$N$40,'03.09.18'!$A$38:$N$40)))))))),2,FALSE)</f>
        <v>#N/A</v>
      </c>
      <c r="J153" s="101" t="e">
        <f t="shared" si="36"/>
        <v>#N/A</v>
      </c>
      <c r="K153" s="101" t="e">
        <f t="shared" si="37"/>
        <v>#N/A</v>
      </c>
      <c r="L153" s="101" t="e">
        <f t="shared" si="38"/>
        <v>#N/A</v>
      </c>
      <c r="M153" s="101" t="s">
        <v>164</v>
      </c>
      <c r="N153" s="102" t="str">
        <f t="shared" si="30"/>
        <v/>
      </c>
      <c r="O153" s="101" t="str">
        <f>IFERROR(VLOOKUP($A153,IF(C153=1,'30.07.18'!$A$17:$N$36,IF(C153=2,'02.08.18'!$A$17:$N$36,IF(C153=3,'06.08.18'!$A$17:$N$36,IF(C153=4,'09.08.18'!$A$17:$N$36,IF(C153=5,'13.08.18'!$A$17:$N$36,IF(C153=6,'20.08.18'!$A$17:$N$36,IF(C153=7,'24.08.18'!$A$38:$N$40,IF(C153=8,'27.08.18'!$A$38:$N$40,'03.09.18'!$A$38:$N$40)))))))),14,FALSE),"")</f>
        <v/>
      </c>
      <c r="P153" s="102" t="str">
        <f t="shared" si="31"/>
        <v/>
      </c>
    </row>
    <row r="154" spans="1:16">
      <c r="A154" s="101" t="s">
        <v>22</v>
      </c>
      <c r="B154" s="101" t="str">
        <f t="shared" si="28"/>
        <v>Du123</v>
      </c>
      <c r="C154" s="101">
        <f t="shared" si="32"/>
        <v>8</v>
      </c>
      <c r="D154" s="101" t="e">
        <f t="shared" si="33"/>
        <v>#N/A</v>
      </c>
      <c r="E154" s="101">
        <f>VLOOKUP($A154,'30.07.18'!$A$17:$I$36,9,FALSE)</f>
        <v>43308.729166666664</v>
      </c>
      <c r="F154" s="101">
        <f t="shared" si="29"/>
        <v>2018</v>
      </c>
      <c r="G154" s="101">
        <f t="shared" si="34"/>
        <v>7</v>
      </c>
      <c r="H154" s="101">
        <f t="shared" si="35"/>
        <v>27.729166666664241</v>
      </c>
      <c r="I154" s="103" t="e">
        <f>VLOOKUP($A154,IF(C154=1,'30.07.18'!$A$17:$N$36,IF(C154=2,'02.08.18'!$A$17:$N$36,IF(C154=3,'06.08.18'!$A$17:$N$36,IF(C154=4,'09.08.18'!$A$17:$N$36,IF(C154=5,'13.08.18'!$A$17:$N$36,IF(C154=6,'20.08.18'!$A$17:$N$36,IF(C154=7,'24.08.18'!$A$38:$N$40,IF(C154=8,'27.08.18'!$A$38:$N$40,'03.09.18'!$A$38:$N$40)))))))),2,FALSE)</f>
        <v>#N/A</v>
      </c>
      <c r="J154" s="101" t="e">
        <f t="shared" si="36"/>
        <v>#N/A</v>
      </c>
      <c r="K154" s="101" t="e">
        <f t="shared" si="37"/>
        <v>#N/A</v>
      </c>
      <c r="L154" s="101" t="e">
        <f t="shared" si="38"/>
        <v>#N/A</v>
      </c>
      <c r="M154" s="101" t="s">
        <v>164</v>
      </c>
      <c r="N154" s="102" t="str">
        <f t="shared" si="30"/>
        <v/>
      </c>
      <c r="O154" s="101" t="str">
        <f>IFERROR(VLOOKUP($A154,IF(C154=1,'30.07.18'!$A$17:$N$36,IF(C154=2,'02.08.18'!$A$17:$N$36,IF(C154=3,'06.08.18'!$A$17:$N$36,IF(C154=4,'09.08.18'!$A$17:$N$36,IF(C154=5,'13.08.18'!$A$17:$N$36,IF(C154=6,'20.08.18'!$A$17:$N$36,IF(C154=7,'24.08.18'!$A$38:$N$40,IF(C154=8,'27.08.18'!$A$38:$N$40,'03.09.18'!$A$38:$N$40)))))))),14,FALSE),"")</f>
        <v/>
      </c>
      <c r="P154" s="102" t="str">
        <f t="shared" si="31"/>
        <v/>
      </c>
    </row>
    <row r="155" spans="1:16">
      <c r="A155" s="101" t="s">
        <v>23</v>
      </c>
      <c r="B155" s="101" t="str">
        <f t="shared" si="28"/>
        <v>Du120</v>
      </c>
      <c r="C155" s="101">
        <f t="shared" si="32"/>
        <v>8</v>
      </c>
      <c r="D155" s="101" t="e">
        <f t="shared" si="33"/>
        <v>#N/A</v>
      </c>
      <c r="E155" s="101">
        <f>VLOOKUP($A155,'30.07.18'!$A$17:$I$36,9,FALSE)</f>
        <v>43308.729166666664</v>
      </c>
      <c r="F155" s="101">
        <f t="shared" si="29"/>
        <v>2018</v>
      </c>
      <c r="G155" s="101">
        <f t="shared" si="34"/>
        <v>7</v>
      </c>
      <c r="H155" s="101">
        <f t="shared" si="35"/>
        <v>27.729166666664241</v>
      </c>
      <c r="I155" s="103" t="e">
        <f>VLOOKUP($A155,IF(C155=1,'30.07.18'!$A$17:$N$36,IF(C155=2,'02.08.18'!$A$17:$N$36,IF(C155=3,'06.08.18'!$A$17:$N$36,IF(C155=4,'09.08.18'!$A$17:$N$36,IF(C155=5,'13.08.18'!$A$17:$N$36,IF(C155=6,'20.08.18'!$A$17:$N$36,IF(C155=7,'24.08.18'!$A$38:$N$40,IF(C155=8,'27.08.18'!$A$38:$N$40,'03.09.18'!$A$38:$N$40)))))))),2,FALSE)</f>
        <v>#N/A</v>
      </c>
      <c r="J155" s="101" t="e">
        <f t="shared" si="36"/>
        <v>#N/A</v>
      </c>
      <c r="K155" s="101" t="e">
        <f t="shared" si="37"/>
        <v>#N/A</v>
      </c>
      <c r="L155" s="101" t="e">
        <f t="shared" si="38"/>
        <v>#N/A</v>
      </c>
      <c r="M155" s="101" t="s">
        <v>164</v>
      </c>
      <c r="N155" s="102" t="str">
        <f t="shared" si="30"/>
        <v/>
      </c>
      <c r="O155" s="101" t="str">
        <f>IFERROR(VLOOKUP($A155,IF(C155=1,'30.07.18'!$A$17:$N$36,IF(C155=2,'02.08.18'!$A$17:$N$36,IF(C155=3,'06.08.18'!$A$17:$N$36,IF(C155=4,'09.08.18'!$A$17:$N$36,IF(C155=5,'13.08.18'!$A$17:$N$36,IF(C155=6,'20.08.18'!$A$17:$N$36,IF(C155=7,'24.08.18'!$A$38:$N$40,IF(C155=8,'27.08.18'!$A$38:$N$40,'03.09.18'!$A$38:$N$40)))))))),14,FALSE),"")</f>
        <v/>
      </c>
      <c r="P155" s="102" t="str">
        <f t="shared" si="31"/>
        <v/>
      </c>
    </row>
    <row r="156" spans="1:16">
      <c r="A156" s="101" t="s">
        <v>24</v>
      </c>
      <c r="B156" s="101" t="str">
        <f t="shared" si="28"/>
        <v>TVA 4E C</v>
      </c>
      <c r="C156" s="101">
        <f t="shared" si="32"/>
        <v>8</v>
      </c>
      <c r="D156" s="101" t="e">
        <f t="shared" si="33"/>
        <v>#N/A</v>
      </c>
      <c r="E156" s="101">
        <f>VLOOKUP($A156,'30.07.18'!$A$17:$I$36,9,FALSE)</f>
        <v>43308.729166666664</v>
      </c>
      <c r="F156" s="101">
        <f t="shared" si="29"/>
        <v>2018</v>
      </c>
      <c r="G156" s="101">
        <f t="shared" si="34"/>
        <v>7</v>
      </c>
      <c r="H156" s="101">
        <f t="shared" si="35"/>
        <v>27.729166666664241</v>
      </c>
      <c r="I156" s="103" t="e">
        <f>VLOOKUP($A156,IF(C156=1,'30.07.18'!$A$17:$N$36,IF(C156=2,'02.08.18'!$A$17:$N$36,IF(C156=3,'06.08.18'!$A$17:$N$36,IF(C156=4,'09.08.18'!$A$17:$N$36,IF(C156=5,'13.08.18'!$A$17:$N$36,IF(C156=6,'20.08.18'!$A$17:$N$36,IF(C156=7,'24.08.18'!$A$38:$N$40,IF(C156=8,'27.08.18'!$A$38:$N$40,'03.09.18'!$A$38:$N$40)))))))),2,FALSE)</f>
        <v>#N/A</v>
      </c>
      <c r="J156" s="101" t="e">
        <f t="shared" si="36"/>
        <v>#N/A</v>
      </c>
      <c r="K156" s="101" t="e">
        <f t="shared" si="37"/>
        <v>#N/A</v>
      </c>
      <c r="L156" s="101" t="e">
        <f t="shared" si="38"/>
        <v>#N/A</v>
      </c>
      <c r="M156" s="101" t="s">
        <v>164</v>
      </c>
      <c r="N156" s="102" t="str">
        <f t="shared" si="30"/>
        <v/>
      </c>
      <c r="O156" s="101" t="str">
        <f>IFERROR(VLOOKUP($A156,IF(C156=1,'30.07.18'!$A$17:$N$36,IF(C156=2,'02.08.18'!$A$17:$N$36,IF(C156=3,'06.08.18'!$A$17:$N$36,IF(C156=4,'09.08.18'!$A$17:$N$36,IF(C156=5,'13.08.18'!$A$17:$N$36,IF(C156=6,'20.08.18'!$A$17:$N$36,IF(C156=7,'24.08.18'!$A$38:$N$40,IF(C156=8,'27.08.18'!$A$38:$N$40,'03.09.18'!$A$38:$N$40)))))))),14,FALSE),"")</f>
        <v/>
      </c>
      <c r="P156" s="102" t="str">
        <f t="shared" si="31"/>
        <v/>
      </c>
    </row>
    <row r="157" spans="1:16">
      <c r="A157" s="101" t="s">
        <v>25</v>
      </c>
      <c r="B157" s="101" t="str">
        <f t="shared" si="28"/>
        <v>TVA 6E C</v>
      </c>
      <c r="C157" s="101">
        <f t="shared" si="32"/>
        <v>8</v>
      </c>
      <c r="D157" s="101" t="e">
        <f t="shared" si="33"/>
        <v>#N/A</v>
      </c>
      <c r="E157" s="101">
        <f>VLOOKUP($A157,'30.07.18'!$A$17:$I$36,9,FALSE)</f>
        <v>43308.73541666667</v>
      </c>
      <c r="F157" s="101">
        <f t="shared" si="29"/>
        <v>2018</v>
      </c>
      <c r="G157" s="101">
        <f t="shared" si="34"/>
        <v>7</v>
      </c>
      <c r="H157" s="101">
        <f t="shared" si="35"/>
        <v>27.735416666670062</v>
      </c>
      <c r="I157" s="103" t="e">
        <f>VLOOKUP($A157,IF(C157=1,'30.07.18'!$A$17:$N$36,IF(C157=2,'02.08.18'!$A$17:$N$36,IF(C157=3,'06.08.18'!$A$17:$N$36,IF(C157=4,'09.08.18'!$A$17:$N$36,IF(C157=5,'13.08.18'!$A$17:$N$36,IF(C157=6,'20.08.18'!$A$17:$N$36,IF(C157=7,'24.08.18'!$A$38:$N$40,IF(C157=8,'27.08.18'!$A$38:$N$40,'03.09.18'!$A$38:$N$40)))))))),2,FALSE)</f>
        <v>#N/A</v>
      </c>
      <c r="J157" s="101" t="e">
        <f t="shared" si="36"/>
        <v>#N/A</v>
      </c>
      <c r="K157" s="101" t="e">
        <f t="shared" si="37"/>
        <v>#N/A</v>
      </c>
      <c r="L157" s="101" t="e">
        <f t="shared" si="38"/>
        <v>#N/A</v>
      </c>
      <c r="M157" s="101" t="s">
        <v>164</v>
      </c>
      <c r="N157" s="102" t="str">
        <f t="shared" si="30"/>
        <v/>
      </c>
      <c r="O157" s="101" t="str">
        <f>IFERROR(VLOOKUP($A157,IF(C157=1,'30.07.18'!$A$17:$N$36,IF(C157=2,'02.08.18'!$A$17:$N$36,IF(C157=3,'06.08.18'!$A$17:$N$36,IF(C157=4,'09.08.18'!$A$17:$N$36,IF(C157=5,'13.08.18'!$A$17:$N$36,IF(C157=6,'20.08.18'!$A$17:$N$36,IF(C157=7,'24.08.18'!$A$38:$N$40,IF(C157=8,'27.08.18'!$A$38:$N$40,'03.09.18'!$A$38:$N$40)))))))),14,FALSE),"")</f>
        <v/>
      </c>
      <c r="P157" s="102" t="str">
        <f t="shared" si="31"/>
        <v/>
      </c>
    </row>
    <row r="158" spans="1:16">
      <c r="A158" s="101" t="s">
        <v>26</v>
      </c>
      <c r="B158" s="101" t="str">
        <f t="shared" si="28"/>
        <v>TVA 8E C</v>
      </c>
      <c r="C158" s="101">
        <f t="shared" si="32"/>
        <v>8</v>
      </c>
      <c r="D158" s="101" t="e">
        <f t="shared" si="33"/>
        <v>#N/A</v>
      </c>
      <c r="E158" s="101">
        <f>VLOOKUP($A158,'30.07.18'!$A$17:$I$36,9,FALSE)</f>
        <v>43308.73541666667</v>
      </c>
      <c r="F158" s="101">
        <f t="shared" si="29"/>
        <v>2018</v>
      </c>
      <c r="G158" s="101">
        <f t="shared" si="34"/>
        <v>7</v>
      </c>
      <c r="H158" s="101">
        <f t="shared" si="35"/>
        <v>27.735416666670062</v>
      </c>
      <c r="I158" s="103" t="e">
        <f>VLOOKUP($A158,IF(C158=1,'30.07.18'!$A$17:$N$36,IF(C158=2,'02.08.18'!$A$17:$N$36,IF(C158=3,'06.08.18'!$A$17:$N$36,IF(C158=4,'09.08.18'!$A$17:$N$36,IF(C158=5,'13.08.18'!$A$17:$N$36,IF(C158=6,'20.08.18'!$A$17:$N$36,IF(C158=7,'24.08.18'!$A$38:$N$40,IF(C158=8,'27.08.18'!$A$38:$N$40,'03.09.18'!$A$38:$N$40)))))))),2,FALSE)</f>
        <v>#N/A</v>
      </c>
      <c r="J158" s="101" t="e">
        <f t="shared" si="36"/>
        <v>#N/A</v>
      </c>
      <c r="K158" s="101" t="e">
        <f t="shared" si="37"/>
        <v>#N/A</v>
      </c>
      <c r="L158" s="101" t="e">
        <f t="shared" si="38"/>
        <v>#N/A</v>
      </c>
      <c r="M158" s="101" t="s">
        <v>164</v>
      </c>
      <c r="N158" s="102" t="str">
        <f t="shared" si="30"/>
        <v/>
      </c>
      <c r="O158" s="101" t="str">
        <f>IFERROR(VLOOKUP($A158,IF(C158=1,'30.07.18'!$A$17:$N$36,IF(C158=2,'02.08.18'!$A$17:$N$36,IF(C158=3,'06.08.18'!$A$17:$N$36,IF(C158=4,'09.08.18'!$A$17:$N$36,IF(C158=5,'13.08.18'!$A$17:$N$36,IF(C158=6,'20.08.18'!$A$17:$N$36,IF(C158=7,'24.08.18'!$A$38:$N$40,IF(C158=8,'27.08.18'!$A$38:$N$40,'03.09.18'!$A$38:$N$40)))))))),14,FALSE),"")</f>
        <v/>
      </c>
      <c r="P158" s="102" t="str">
        <f t="shared" si="31"/>
        <v/>
      </c>
    </row>
    <row r="159" spans="1:16">
      <c r="A159" s="101" t="s">
        <v>27</v>
      </c>
      <c r="B159" s="101" t="str">
        <f t="shared" si="28"/>
        <v>TVA 2B C</v>
      </c>
      <c r="C159" s="101">
        <f t="shared" si="32"/>
        <v>8</v>
      </c>
      <c r="D159" s="101" t="e">
        <f t="shared" si="33"/>
        <v>#N/A</v>
      </c>
      <c r="E159" s="101">
        <f>VLOOKUP($A159,'30.07.18'!$A$17:$I$36,9,FALSE)</f>
        <v>43308.73541666667</v>
      </c>
      <c r="F159" s="101">
        <f t="shared" si="29"/>
        <v>2018</v>
      </c>
      <c r="G159" s="101">
        <f t="shared" si="34"/>
        <v>7</v>
      </c>
      <c r="H159" s="101">
        <f t="shared" si="35"/>
        <v>27.735416666670062</v>
      </c>
      <c r="I159" s="103" t="e">
        <f>VLOOKUP($A159,IF(C159=1,'30.07.18'!$A$17:$N$36,IF(C159=2,'02.08.18'!$A$17:$N$36,IF(C159=3,'06.08.18'!$A$17:$N$36,IF(C159=4,'09.08.18'!$A$17:$N$36,IF(C159=5,'13.08.18'!$A$17:$N$36,IF(C159=6,'20.08.18'!$A$17:$N$36,IF(C159=7,'24.08.18'!$A$38:$N$40,IF(C159=8,'27.08.18'!$A$38:$N$40,'03.09.18'!$A$38:$N$40)))))))),2,FALSE)</f>
        <v>#N/A</v>
      </c>
      <c r="J159" s="101" t="e">
        <f t="shared" si="36"/>
        <v>#N/A</v>
      </c>
      <c r="K159" s="101" t="e">
        <f t="shared" si="37"/>
        <v>#N/A</v>
      </c>
      <c r="L159" s="101" t="e">
        <f t="shared" si="38"/>
        <v>#N/A</v>
      </c>
      <c r="M159" s="101" t="s">
        <v>164</v>
      </c>
      <c r="N159" s="102" t="str">
        <f t="shared" si="30"/>
        <v/>
      </c>
      <c r="O159" s="101" t="str">
        <f>IFERROR(VLOOKUP($A159,IF(C159=1,'30.07.18'!$A$17:$N$36,IF(C159=2,'02.08.18'!$A$17:$N$36,IF(C159=3,'06.08.18'!$A$17:$N$36,IF(C159=4,'09.08.18'!$A$17:$N$36,IF(C159=5,'13.08.18'!$A$17:$N$36,IF(C159=6,'20.08.18'!$A$17:$N$36,IF(C159=7,'24.08.18'!$A$38:$N$40,IF(C159=8,'27.08.18'!$A$38:$N$40,'03.09.18'!$A$38:$N$40)))))))),14,FALSE),"")</f>
        <v/>
      </c>
      <c r="P159" s="102" t="str">
        <f t="shared" si="31"/>
        <v/>
      </c>
    </row>
    <row r="160" spans="1:16">
      <c r="A160" s="101" t="s">
        <v>28</v>
      </c>
      <c r="B160" s="101" t="str">
        <f t="shared" si="28"/>
        <v>TVA 3B C</v>
      </c>
      <c r="C160" s="101">
        <f t="shared" si="32"/>
        <v>8</v>
      </c>
      <c r="D160" s="101" t="e">
        <f t="shared" si="33"/>
        <v>#N/A</v>
      </c>
      <c r="E160" s="101">
        <f>VLOOKUP($A160,'30.07.18'!$A$17:$I$36,9,FALSE)</f>
        <v>43308.73541666667</v>
      </c>
      <c r="F160" s="101">
        <f t="shared" si="29"/>
        <v>2018</v>
      </c>
      <c r="G160" s="101">
        <f t="shared" si="34"/>
        <v>7</v>
      </c>
      <c r="H160" s="101">
        <f t="shared" si="35"/>
        <v>27.735416666670062</v>
      </c>
      <c r="I160" s="103" t="e">
        <f>VLOOKUP($A160,IF(C160=1,'30.07.18'!$A$17:$N$36,IF(C160=2,'02.08.18'!$A$17:$N$36,IF(C160=3,'06.08.18'!$A$17:$N$36,IF(C160=4,'09.08.18'!$A$17:$N$36,IF(C160=5,'13.08.18'!$A$17:$N$36,IF(C160=6,'20.08.18'!$A$17:$N$36,IF(C160=7,'24.08.18'!$A$38:$N$40,IF(C160=8,'27.08.18'!$A$38:$N$40,'03.09.18'!$A$38:$N$40)))))))),2,FALSE)</f>
        <v>#N/A</v>
      </c>
      <c r="J160" s="101" t="e">
        <f t="shared" si="36"/>
        <v>#N/A</v>
      </c>
      <c r="K160" s="101" t="e">
        <f t="shared" si="37"/>
        <v>#N/A</v>
      </c>
      <c r="L160" s="101" t="e">
        <f t="shared" si="38"/>
        <v>#N/A</v>
      </c>
      <c r="M160" s="101" t="s">
        <v>164</v>
      </c>
      <c r="N160" s="102" t="str">
        <f t="shared" si="30"/>
        <v/>
      </c>
      <c r="O160" s="101" t="str">
        <f>IFERROR(VLOOKUP($A160,IF(C160=1,'30.07.18'!$A$17:$N$36,IF(C160=2,'02.08.18'!$A$17:$N$36,IF(C160=3,'06.08.18'!$A$17:$N$36,IF(C160=4,'09.08.18'!$A$17:$N$36,IF(C160=5,'13.08.18'!$A$17:$N$36,IF(C160=6,'20.08.18'!$A$17:$N$36,IF(C160=7,'24.08.18'!$A$38:$N$40,IF(C160=8,'27.08.18'!$A$38:$N$40,'03.09.18'!$A$38:$N$40)))))))),14,FALSE),"")</f>
        <v/>
      </c>
      <c r="P160" s="102" t="str">
        <f t="shared" si="31"/>
        <v/>
      </c>
    </row>
    <row r="161" spans="1:16">
      <c r="A161" s="101" t="s">
        <v>29</v>
      </c>
      <c r="B161" s="101" t="str">
        <f t="shared" si="28"/>
        <v>TVA 5B C</v>
      </c>
      <c r="C161" s="101">
        <f t="shared" si="32"/>
        <v>8</v>
      </c>
      <c r="D161" s="101" t="e">
        <f t="shared" si="33"/>
        <v>#N/A</v>
      </c>
      <c r="E161" s="101">
        <f>VLOOKUP($A161,'30.07.18'!$A$17:$I$36,9,FALSE)</f>
        <v>43308.73541666667</v>
      </c>
      <c r="F161" s="101">
        <f t="shared" si="29"/>
        <v>2018</v>
      </c>
      <c r="G161" s="101">
        <f t="shared" si="34"/>
        <v>7</v>
      </c>
      <c r="H161" s="101">
        <f t="shared" si="35"/>
        <v>27.735416666670062</v>
      </c>
      <c r="I161" s="103" t="e">
        <f>VLOOKUP($A161,IF(C161=1,'30.07.18'!$A$17:$N$36,IF(C161=2,'02.08.18'!$A$17:$N$36,IF(C161=3,'06.08.18'!$A$17:$N$36,IF(C161=4,'09.08.18'!$A$17:$N$36,IF(C161=5,'13.08.18'!$A$17:$N$36,IF(C161=6,'20.08.18'!$A$17:$N$36,IF(C161=7,'24.08.18'!$A$38:$N$40,IF(C161=8,'27.08.18'!$A$38:$N$40,'03.09.18'!$A$38:$N$40)))))))),2,FALSE)</f>
        <v>#N/A</v>
      </c>
      <c r="J161" s="101" t="e">
        <f t="shared" si="36"/>
        <v>#N/A</v>
      </c>
      <c r="K161" s="101" t="e">
        <f t="shared" si="37"/>
        <v>#N/A</v>
      </c>
      <c r="L161" s="101" t="e">
        <f t="shared" si="38"/>
        <v>#N/A</v>
      </c>
      <c r="M161" s="101" t="s">
        <v>164</v>
      </c>
      <c r="N161" s="102" t="str">
        <f t="shared" si="30"/>
        <v/>
      </c>
      <c r="O161" s="101" t="str">
        <f>IFERROR(VLOOKUP($A161,IF(C161=1,'30.07.18'!$A$17:$N$36,IF(C161=2,'02.08.18'!$A$17:$N$36,IF(C161=3,'06.08.18'!$A$17:$N$36,IF(C161=4,'09.08.18'!$A$17:$N$36,IF(C161=5,'13.08.18'!$A$17:$N$36,IF(C161=6,'20.08.18'!$A$17:$N$36,IF(C161=7,'24.08.18'!$A$38:$N$40,IF(C161=8,'27.08.18'!$A$38:$N$40,'03.09.18'!$A$38:$N$40)))))))),14,FALSE),"")</f>
        <v/>
      </c>
      <c r="P161" s="102" t="str">
        <f t="shared" si="31"/>
        <v/>
      </c>
    </row>
    <row r="162" spans="1:16">
      <c r="A162" s="101" t="s">
        <v>9</v>
      </c>
      <c r="B162" s="101" t="str">
        <f t="shared" si="28"/>
        <v>MA</v>
      </c>
      <c r="C162" s="101">
        <v>9</v>
      </c>
      <c r="D162" s="101" t="e">
        <f t="shared" si="33"/>
        <v>#N/A</v>
      </c>
      <c r="E162" s="101">
        <f>VLOOKUP($A162,'30.07.18'!$A$17:$I$36,9,FALSE)</f>
        <v>43308.701388888891</v>
      </c>
      <c r="F162" s="101">
        <f t="shared" si="29"/>
        <v>2018</v>
      </c>
      <c r="G162" s="101">
        <f t="shared" si="34"/>
        <v>7</v>
      </c>
      <c r="H162" s="101">
        <f t="shared" si="35"/>
        <v>27.701388888890506</v>
      </c>
      <c r="I162" s="103" t="e">
        <f>VLOOKUP($A162,IF(C162=1,'30.07.18'!$A$17:$N$36,IF(C162=2,'02.08.18'!$A$17:$N$36,IF(C162=3,'06.08.18'!$A$17:$N$36,IF(C162=4,'09.08.18'!$A$17:$N$36,IF(C162=5,'13.08.18'!$A$17:$N$36,IF(C162=6,'20.08.18'!$A$17:$N$36,IF(C162=7,'24.08.18'!$A$38:$N$40,IF(C162=8,'27.08.18'!$A$38:$N$40,'03.09.18'!$A$38:$N$40)))))))),2,FALSE)</f>
        <v>#N/A</v>
      </c>
      <c r="J162" s="101" t="e">
        <f t="shared" si="36"/>
        <v>#N/A</v>
      </c>
      <c r="K162" s="101" t="e">
        <f t="shared" si="37"/>
        <v>#N/A</v>
      </c>
      <c r="L162" s="101" t="e">
        <f t="shared" si="38"/>
        <v>#N/A</v>
      </c>
      <c r="M162" s="101" t="s">
        <v>164</v>
      </c>
      <c r="N162" s="102" t="str">
        <f t="shared" si="30"/>
        <v/>
      </c>
      <c r="O162" s="101" t="str">
        <f>IFERROR(VLOOKUP($A162,IF(C162=1,'30.07.18'!$A$17:$N$36,IF(C162=2,'02.08.18'!$A$17:$N$36,IF(C162=3,'06.08.18'!$A$17:$N$36,IF(C162=4,'09.08.18'!$A$17:$N$36,IF(C162=5,'13.08.18'!$A$17:$N$36,IF(C162=6,'20.08.18'!$A$17:$N$36,IF(C162=7,'24.08.18'!$A$38:$N$40,IF(C162=8,'27.08.18'!$A$38:$N$40,'03.09.18'!$A$38:$N$40)))))))),14,FALSE),"")</f>
        <v/>
      </c>
      <c r="P162" s="102" t="str">
        <f t="shared" si="31"/>
        <v/>
      </c>
    </row>
    <row r="163" spans="1:16">
      <c r="A163" s="101" t="s">
        <v>11</v>
      </c>
      <c r="B163" s="101" t="str">
        <f t="shared" si="28"/>
        <v>MA</v>
      </c>
      <c r="C163" s="101">
        <f t="shared" ref="C163:C181" si="39">C162</f>
        <v>9</v>
      </c>
      <c r="D163" s="101" t="e">
        <f t="shared" si="33"/>
        <v>#N/A</v>
      </c>
      <c r="E163" s="101">
        <f>VLOOKUP($A163,'30.07.18'!$A$17:$I$36,9,FALSE)</f>
        <v>43308.701388888891</v>
      </c>
      <c r="F163" s="101">
        <f t="shared" si="29"/>
        <v>2018</v>
      </c>
      <c r="G163" s="101">
        <f t="shared" si="34"/>
        <v>7</v>
      </c>
      <c r="H163" s="101">
        <f t="shared" si="35"/>
        <v>27.701388888890506</v>
      </c>
      <c r="I163" s="103" t="e">
        <f>VLOOKUP($A163,IF(C163=1,'30.07.18'!$A$17:$N$36,IF(C163=2,'02.08.18'!$A$17:$N$36,IF(C163=3,'06.08.18'!$A$17:$N$36,IF(C163=4,'09.08.18'!$A$17:$N$36,IF(C163=5,'13.08.18'!$A$17:$N$36,IF(C163=6,'20.08.18'!$A$17:$N$36,IF(C163=7,'24.08.18'!$A$38:$N$40,IF(C163=8,'27.08.18'!$A$38:$N$40,'03.09.18'!$A$38:$N$40)))))))),2,FALSE)</f>
        <v>#N/A</v>
      </c>
      <c r="J163" s="101" t="e">
        <f t="shared" si="36"/>
        <v>#N/A</v>
      </c>
      <c r="K163" s="101" t="e">
        <f t="shared" si="37"/>
        <v>#N/A</v>
      </c>
      <c r="L163" s="101" t="e">
        <f t="shared" si="38"/>
        <v>#N/A</v>
      </c>
      <c r="M163" s="101" t="s">
        <v>164</v>
      </c>
      <c r="N163" s="102" t="str">
        <f t="shared" si="30"/>
        <v/>
      </c>
      <c r="O163" s="101" t="str">
        <f>IFERROR(VLOOKUP($A163,IF(C163=1,'30.07.18'!$A$17:$N$36,IF(C163=2,'02.08.18'!$A$17:$N$36,IF(C163=3,'06.08.18'!$A$17:$N$36,IF(C163=4,'09.08.18'!$A$17:$N$36,IF(C163=5,'13.08.18'!$A$17:$N$36,IF(C163=6,'20.08.18'!$A$17:$N$36,IF(C163=7,'24.08.18'!$A$38:$N$40,IF(C163=8,'27.08.18'!$A$38:$N$40,'03.09.18'!$A$38:$N$40)))))))),14,FALSE),"")</f>
        <v/>
      </c>
      <c r="P163" s="102" t="str">
        <f t="shared" si="31"/>
        <v/>
      </c>
    </row>
    <row r="164" spans="1:16">
      <c r="A164" s="101" t="s">
        <v>12</v>
      </c>
      <c r="B164" s="101" t="str">
        <f t="shared" si="28"/>
        <v>MA</v>
      </c>
      <c r="C164" s="101">
        <f t="shared" si="39"/>
        <v>9</v>
      </c>
      <c r="D164" s="101" t="e">
        <f t="shared" si="33"/>
        <v>#N/A</v>
      </c>
      <c r="E164" s="101">
        <f>VLOOKUP($A164,'30.07.18'!$A$17:$I$36,9,FALSE)</f>
        <v>43308.701388888891</v>
      </c>
      <c r="F164" s="101">
        <f t="shared" si="29"/>
        <v>2018</v>
      </c>
      <c r="G164" s="101">
        <f t="shared" si="34"/>
        <v>7</v>
      </c>
      <c r="H164" s="101">
        <f t="shared" si="35"/>
        <v>27.701388888890506</v>
      </c>
      <c r="I164" s="103" t="e">
        <f>VLOOKUP($A164,IF(C164=1,'30.07.18'!$A$17:$N$36,IF(C164=2,'02.08.18'!$A$17:$N$36,IF(C164=3,'06.08.18'!$A$17:$N$36,IF(C164=4,'09.08.18'!$A$17:$N$36,IF(C164=5,'13.08.18'!$A$17:$N$36,IF(C164=6,'20.08.18'!$A$17:$N$36,IF(C164=7,'24.08.18'!$A$38:$N$40,IF(C164=8,'27.08.18'!$A$38:$N$40,'03.09.18'!$A$38:$N$40)))))))),2,FALSE)</f>
        <v>#N/A</v>
      </c>
      <c r="J164" s="101" t="e">
        <f t="shared" si="36"/>
        <v>#N/A</v>
      </c>
      <c r="K164" s="101" t="e">
        <f t="shared" si="37"/>
        <v>#N/A</v>
      </c>
      <c r="L164" s="101" t="e">
        <f t="shared" si="38"/>
        <v>#N/A</v>
      </c>
      <c r="M164" s="101" t="s">
        <v>164</v>
      </c>
      <c r="N164" s="102" t="str">
        <f t="shared" si="30"/>
        <v/>
      </c>
      <c r="O164" s="101" t="str">
        <f>IFERROR(VLOOKUP($A164,IF(C164=1,'30.07.18'!$A$17:$N$36,IF(C164=2,'02.08.18'!$A$17:$N$36,IF(C164=3,'06.08.18'!$A$17:$N$36,IF(C164=4,'09.08.18'!$A$17:$N$36,IF(C164=5,'13.08.18'!$A$17:$N$36,IF(C164=6,'20.08.18'!$A$17:$N$36,IF(C164=7,'24.08.18'!$A$38:$N$40,IF(C164=8,'27.08.18'!$A$38:$N$40,'03.09.18'!$A$38:$N$40)))))))),14,FALSE),"")</f>
        <v/>
      </c>
      <c r="P164" s="102" t="str">
        <f t="shared" si="31"/>
        <v/>
      </c>
    </row>
    <row r="165" spans="1:16">
      <c r="A165" s="101" t="s">
        <v>13</v>
      </c>
      <c r="B165" s="101" t="str">
        <f t="shared" si="28"/>
        <v>MB</v>
      </c>
      <c r="C165" s="101">
        <f t="shared" si="39"/>
        <v>9</v>
      </c>
      <c r="D165" s="101" t="e">
        <f t="shared" si="33"/>
        <v>#N/A</v>
      </c>
      <c r="E165" s="101">
        <f>VLOOKUP($A165,'30.07.18'!$A$17:$I$36,9,FALSE)</f>
        <v>43308.701388888891</v>
      </c>
      <c r="F165" s="101">
        <f t="shared" si="29"/>
        <v>2018</v>
      </c>
      <c r="G165" s="101">
        <f t="shared" si="34"/>
        <v>7</v>
      </c>
      <c r="H165" s="101">
        <f t="shared" si="35"/>
        <v>27.701388888890506</v>
      </c>
      <c r="I165" s="103">
        <f>VLOOKUP($A165,IF(C165=1,'30.07.18'!$A$17:$N$36,IF(C165=2,'02.08.18'!$A$17:$N$36,IF(C165=3,'06.08.18'!$A$17:$N$36,IF(C165=4,'09.08.18'!$A$17:$N$36,IF(C165=5,'13.08.18'!$A$17:$N$36,IF(C165=6,'20.08.18'!$A$17:$N$36,IF(C165=7,'24.08.18'!$A$38:$N$40,IF(C165=8,'27.08.18'!$A$38:$N$40,'03.09.18'!$A$38:$N$40)))))))),2,FALSE)</f>
        <v>43346.670138888891</v>
      </c>
      <c r="J165" s="101">
        <f t="shared" si="36"/>
        <v>2018</v>
      </c>
      <c r="K165" s="101">
        <f t="shared" si="37"/>
        <v>9</v>
      </c>
      <c r="L165" s="101">
        <f t="shared" si="38"/>
        <v>3.6701388888905058</v>
      </c>
      <c r="M165" s="101" t="s">
        <v>164</v>
      </c>
      <c r="N165" s="102">
        <f t="shared" si="30"/>
        <v>37.96875</v>
      </c>
      <c r="O165" s="101">
        <f>IFERROR(VLOOKUP($A165,IF(C165=1,'30.07.18'!$A$17:$N$36,IF(C165=2,'02.08.18'!$A$17:$N$36,IF(C165=3,'06.08.18'!$A$17:$N$36,IF(C165=4,'09.08.18'!$A$17:$N$36,IF(C165=5,'13.08.18'!$A$17:$N$36,IF(C165=6,'20.08.18'!$A$17:$N$36,IF(C165=7,'24.08.18'!$A$38:$N$40,IF(C165=8,'27.08.18'!$A$38:$N$40,'03.09.18'!$A$38:$N$40)))))))),14,FALSE),"")</f>
        <v>14.341549557987008</v>
      </c>
      <c r="P165" s="102">
        <f t="shared" si="31"/>
        <v>37.96875</v>
      </c>
    </row>
    <row r="166" spans="1:16">
      <c r="A166" s="101" t="s">
        <v>14</v>
      </c>
      <c r="B166" s="101" t="str">
        <f t="shared" si="28"/>
        <v>MB</v>
      </c>
      <c r="C166" s="101">
        <f t="shared" si="39"/>
        <v>9</v>
      </c>
      <c r="D166" s="101" t="str">
        <f t="shared" si="33"/>
        <v/>
      </c>
      <c r="E166" s="101">
        <f>VLOOKUP($A166,'30.07.18'!$A$17:$I$36,9,FALSE)</f>
        <v>43308.701388888891</v>
      </c>
      <c r="F166" s="101">
        <f t="shared" si="29"/>
        <v>2018</v>
      </c>
      <c r="G166" s="101">
        <f t="shared" si="34"/>
        <v>7</v>
      </c>
      <c r="H166" s="101">
        <f t="shared" si="35"/>
        <v>27.701388888890506</v>
      </c>
      <c r="I166" s="103">
        <f>VLOOKUP($A166,IF(C166=1,'30.07.18'!$A$17:$N$36,IF(C166=2,'02.08.18'!$A$17:$N$36,IF(C166=3,'06.08.18'!$A$17:$N$36,IF(C166=4,'09.08.18'!$A$17:$N$36,IF(C166=5,'13.08.18'!$A$17:$N$36,IF(C166=6,'20.08.18'!$A$17:$N$36,IF(C166=7,'24.08.18'!$A$38:$N$40,IF(C166=8,'27.08.18'!$A$38:$N$40,'03.09.18'!$A$38:$N$40)))))))),2,FALSE)</f>
        <v>43346.671527777777</v>
      </c>
      <c r="J166" s="101">
        <f t="shared" si="36"/>
        <v>2018</v>
      </c>
      <c r="K166" s="101">
        <f t="shared" si="37"/>
        <v>9</v>
      </c>
      <c r="L166" s="101">
        <f t="shared" si="38"/>
        <v>3.671527777776646</v>
      </c>
      <c r="M166" s="101" t="s">
        <v>164</v>
      </c>
      <c r="N166" s="102">
        <f t="shared" si="30"/>
        <v>37.97013888888614</v>
      </c>
      <c r="O166" s="101">
        <f>IFERROR(VLOOKUP($A166,IF(C166=1,'30.07.18'!$A$17:$N$36,IF(C166=2,'02.08.18'!$A$17:$N$36,IF(C166=3,'06.08.18'!$A$17:$N$36,IF(C166=4,'09.08.18'!$A$17:$N$36,IF(C166=5,'13.08.18'!$A$17:$N$36,IF(C166=6,'20.08.18'!$A$17:$N$36,IF(C166=7,'24.08.18'!$A$38:$N$40,IF(C166=8,'27.08.18'!$A$38:$N$40,'03.09.18'!$A$38:$N$40)))))))),14,FALSE),"")</f>
        <v>14.853776398594107</v>
      </c>
      <c r="P166" s="102">
        <f t="shared" si="31"/>
        <v>37.97013888888614</v>
      </c>
    </row>
    <row r="167" spans="1:16">
      <c r="A167" s="101" t="s">
        <v>15</v>
      </c>
      <c r="B167" s="101" t="str">
        <f t="shared" si="28"/>
        <v>MB</v>
      </c>
      <c r="C167" s="101">
        <f t="shared" si="39"/>
        <v>9</v>
      </c>
      <c r="D167" s="101" t="str">
        <f t="shared" si="33"/>
        <v/>
      </c>
      <c r="E167" s="101">
        <f>VLOOKUP($A167,'30.07.18'!$A$17:$I$36,9,FALSE)</f>
        <v>43308.701388888891</v>
      </c>
      <c r="F167" s="101">
        <f t="shared" si="29"/>
        <v>2018</v>
      </c>
      <c r="G167" s="101">
        <f t="shared" si="34"/>
        <v>7</v>
      </c>
      <c r="H167" s="101">
        <f t="shared" si="35"/>
        <v>27.701388888890506</v>
      </c>
      <c r="I167" s="103">
        <f>VLOOKUP($A167,IF(C167=1,'30.07.18'!$A$17:$N$36,IF(C167=2,'02.08.18'!$A$17:$N$36,IF(C167=3,'06.08.18'!$A$17:$N$36,IF(C167=4,'09.08.18'!$A$17:$N$36,IF(C167=5,'13.08.18'!$A$17:$N$36,IF(C167=6,'20.08.18'!$A$17:$N$36,IF(C167=7,'24.08.18'!$A$38:$N$40,IF(C167=8,'27.08.18'!$A$38:$N$40,'03.09.18'!$A$38:$N$40)))))))),2,FALSE)</f>
        <v>43346.673611111109</v>
      </c>
      <c r="J167" s="101">
        <f t="shared" si="36"/>
        <v>2018</v>
      </c>
      <c r="K167" s="101">
        <f t="shared" si="37"/>
        <v>9</v>
      </c>
      <c r="L167" s="101">
        <f t="shared" si="38"/>
        <v>3.6736111111094942</v>
      </c>
      <c r="M167" s="101" t="s">
        <v>164</v>
      </c>
      <c r="N167" s="102">
        <f t="shared" si="30"/>
        <v>37.972222222218988</v>
      </c>
      <c r="O167" s="101">
        <f>IFERROR(VLOOKUP($A167,IF(C167=1,'30.07.18'!$A$17:$N$36,IF(C167=2,'02.08.18'!$A$17:$N$36,IF(C167=3,'06.08.18'!$A$17:$N$36,IF(C167=4,'09.08.18'!$A$17:$N$36,IF(C167=5,'13.08.18'!$A$17:$N$36,IF(C167=6,'20.08.18'!$A$17:$N$36,IF(C167=7,'24.08.18'!$A$38:$N$40,IF(C167=8,'27.08.18'!$A$38:$N$40,'03.09.18'!$A$38:$N$40)))))))),14,FALSE),"")</f>
        <v>12.769244798350879</v>
      </c>
      <c r="P167" s="102">
        <f t="shared" si="31"/>
        <v>37.972222222218988</v>
      </c>
    </row>
    <row r="168" spans="1:16">
      <c r="A168" s="101" t="s">
        <v>16</v>
      </c>
      <c r="B168" s="101" t="str">
        <f t="shared" si="28"/>
        <v>SA</v>
      </c>
      <c r="C168" s="101">
        <f t="shared" si="39"/>
        <v>9</v>
      </c>
      <c r="D168" s="101" t="e">
        <f t="shared" si="33"/>
        <v>#N/A</v>
      </c>
      <c r="E168" s="101">
        <f>VLOOKUP($A168,'30.07.18'!$A$17:$I$36,9,FALSE)</f>
        <v>43308.723611111112</v>
      </c>
      <c r="F168" s="101">
        <f t="shared" si="29"/>
        <v>2018</v>
      </c>
      <c r="G168" s="101">
        <f t="shared" si="34"/>
        <v>7</v>
      </c>
      <c r="H168" s="101">
        <f t="shared" si="35"/>
        <v>27.723611111112405</v>
      </c>
      <c r="I168" s="103" t="e">
        <f>VLOOKUP($A168,IF(C168=1,'30.07.18'!$A$17:$N$36,IF(C168=2,'02.08.18'!$A$17:$N$36,IF(C168=3,'06.08.18'!$A$17:$N$36,IF(C168=4,'09.08.18'!$A$17:$N$36,IF(C168=5,'13.08.18'!$A$17:$N$36,IF(C168=6,'20.08.18'!$A$17:$N$36,IF(C168=7,'24.08.18'!$A$38:$N$40,IF(C168=8,'27.08.18'!$A$38:$N$40,'03.09.18'!$A$38:$N$40)))))))),2,FALSE)</f>
        <v>#N/A</v>
      </c>
      <c r="J168" s="101" t="e">
        <f t="shared" si="36"/>
        <v>#N/A</v>
      </c>
      <c r="K168" s="101" t="e">
        <f t="shared" si="37"/>
        <v>#N/A</v>
      </c>
      <c r="L168" s="101" t="e">
        <f t="shared" si="38"/>
        <v>#N/A</v>
      </c>
      <c r="M168" s="101" t="s">
        <v>164</v>
      </c>
      <c r="N168" s="102" t="str">
        <f t="shared" si="30"/>
        <v/>
      </c>
      <c r="O168" s="101" t="str">
        <f>IFERROR(VLOOKUP($A168,IF(C168=1,'30.07.18'!$A$17:$N$36,IF(C168=2,'02.08.18'!$A$17:$N$36,IF(C168=3,'06.08.18'!$A$17:$N$36,IF(C168=4,'09.08.18'!$A$17:$N$36,IF(C168=5,'13.08.18'!$A$17:$N$36,IF(C168=6,'20.08.18'!$A$17:$N$36,IF(C168=7,'24.08.18'!$A$38:$N$40,IF(C168=8,'27.08.18'!$A$38:$N$40,'03.09.18'!$A$38:$N$40)))))))),14,FALSE),"")</f>
        <v/>
      </c>
      <c r="P168" s="102" t="str">
        <f t="shared" si="31"/>
        <v/>
      </c>
    </row>
    <row r="169" spans="1:16">
      <c r="A169" s="101" t="s">
        <v>17</v>
      </c>
      <c r="B169" s="101" t="str">
        <f t="shared" si="28"/>
        <v>SA</v>
      </c>
      <c r="C169" s="101">
        <f t="shared" si="39"/>
        <v>9</v>
      </c>
      <c r="D169" s="101" t="e">
        <f t="shared" si="33"/>
        <v>#N/A</v>
      </c>
      <c r="E169" s="101">
        <f>VLOOKUP($A169,'30.07.18'!$A$17:$I$36,9,FALSE)</f>
        <v>43308.723611111112</v>
      </c>
      <c r="F169" s="101">
        <f t="shared" si="29"/>
        <v>2018</v>
      </c>
      <c r="G169" s="101">
        <f t="shared" si="34"/>
        <v>7</v>
      </c>
      <c r="H169" s="101">
        <f t="shared" si="35"/>
        <v>27.723611111112405</v>
      </c>
      <c r="I169" s="103" t="e">
        <f>VLOOKUP($A169,IF(C169=1,'30.07.18'!$A$17:$N$36,IF(C169=2,'02.08.18'!$A$17:$N$36,IF(C169=3,'06.08.18'!$A$17:$N$36,IF(C169=4,'09.08.18'!$A$17:$N$36,IF(C169=5,'13.08.18'!$A$17:$N$36,IF(C169=6,'20.08.18'!$A$17:$N$36,IF(C169=7,'24.08.18'!$A$38:$N$40,IF(C169=8,'27.08.18'!$A$38:$N$40,'03.09.18'!$A$38:$N$40)))))))),2,FALSE)</f>
        <v>#N/A</v>
      </c>
      <c r="J169" s="101" t="e">
        <f t="shared" si="36"/>
        <v>#N/A</v>
      </c>
      <c r="K169" s="101" t="e">
        <f t="shared" si="37"/>
        <v>#N/A</v>
      </c>
      <c r="L169" s="101" t="e">
        <f t="shared" si="38"/>
        <v>#N/A</v>
      </c>
      <c r="M169" s="101" t="s">
        <v>164</v>
      </c>
      <c r="N169" s="102" t="str">
        <f t="shared" si="30"/>
        <v/>
      </c>
      <c r="O169" s="101" t="str">
        <f>IFERROR(VLOOKUP($A169,IF(C169=1,'30.07.18'!$A$17:$N$36,IF(C169=2,'02.08.18'!$A$17:$N$36,IF(C169=3,'06.08.18'!$A$17:$N$36,IF(C169=4,'09.08.18'!$A$17:$N$36,IF(C169=5,'13.08.18'!$A$17:$N$36,IF(C169=6,'20.08.18'!$A$17:$N$36,IF(C169=7,'24.08.18'!$A$38:$N$40,IF(C169=8,'27.08.18'!$A$38:$N$40,'03.09.18'!$A$38:$N$40)))))))),14,FALSE),"")</f>
        <v/>
      </c>
      <c r="P169" s="102" t="str">
        <f t="shared" si="31"/>
        <v/>
      </c>
    </row>
    <row r="170" spans="1:16">
      <c r="A170" s="101" t="s">
        <v>18</v>
      </c>
      <c r="B170" s="101" t="str">
        <f t="shared" si="28"/>
        <v>SA</v>
      </c>
      <c r="C170" s="101">
        <f t="shared" si="39"/>
        <v>9</v>
      </c>
      <c r="D170" s="101" t="e">
        <f t="shared" si="33"/>
        <v>#N/A</v>
      </c>
      <c r="E170" s="101">
        <f>VLOOKUP($A170,'30.07.18'!$A$17:$I$36,9,FALSE)</f>
        <v>43308.723611111112</v>
      </c>
      <c r="F170" s="101">
        <f t="shared" si="29"/>
        <v>2018</v>
      </c>
      <c r="G170" s="101">
        <f t="shared" si="34"/>
        <v>7</v>
      </c>
      <c r="H170" s="101">
        <f t="shared" si="35"/>
        <v>27.723611111112405</v>
      </c>
      <c r="I170" s="103" t="e">
        <f>VLOOKUP($A170,IF(C170=1,'30.07.18'!$A$17:$N$36,IF(C170=2,'02.08.18'!$A$17:$N$36,IF(C170=3,'06.08.18'!$A$17:$N$36,IF(C170=4,'09.08.18'!$A$17:$N$36,IF(C170=5,'13.08.18'!$A$17:$N$36,IF(C170=6,'20.08.18'!$A$17:$N$36,IF(C170=7,'24.08.18'!$A$38:$N$40,IF(C170=8,'27.08.18'!$A$38:$N$40,'03.09.18'!$A$38:$N$40)))))))),2,FALSE)</f>
        <v>#N/A</v>
      </c>
      <c r="J170" s="101" t="e">
        <f t="shared" si="36"/>
        <v>#N/A</v>
      </c>
      <c r="K170" s="101" t="e">
        <f t="shared" si="37"/>
        <v>#N/A</v>
      </c>
      <c r="L170" s="101" t="e">
        <f t="shared" si="38"/>
        <v>#N/A</v>
      </c>
      <c r="M170" s="101" t="s">
        <v>164</v>
      </c>
      <c r="N170" s="102" t="str">
        <f t="shared" si="30"/>
        <v/>
      </c>
      <c r="O170" s="101" t="str">
        <f>IFERROR(VLOOKUP($A170,IF(C170=1,'30.07.18'!$A$17:$N$36,IF(C170=2,'02.08.18'!$A$17:$N$36,IF(C170=3,'06.08.18'!$A$17:$N$36,IF(C170=4,'09.08.18'!$A$17:$N$36,IF(C170=5,'13.08.18'!$A$17:$N$36,IF(C170=6,'20.08.18'!$A$17:$N$36,IF(C170=7,'24.08.18'!$A$38:$N$40,IF(C170=8,'27.08.18'!$A$38:$N$40,'03.09.18'!$A$38:$N$40)))))))),14,FALSE),"")</f>
        <v/>
      </c>
      <c r="P170" s="102" t="str">
        <f t="shared" si="31"/>
        <v/>
      </c>
    </row>
    <row r="171" spans="1:16">
      <c r="A171" s="101" t="s">
        <v>19</v>
      </c>
      <c r="B171" s="101" t="str">
        <f t="shared" si="28"/>
        <v>SB</v>
      </c>
      <c r="C171" s="101">
        <f t="shared" si="39"/>
        <v>9</v>
      </c>
      <c r="D171" s="101" t="e">
        <f t="shared" si="33"/>
        <v>#N/A</v>
      </c>
      <c r="E171" s="101">
        <f>VLOOKUP($A171,'30.07.18'!$A$17:$I$36,9,FALSE)</f>
        <v>43308.723611111112</v>
      </c>
      <c r="F171" s="101">
        <f t="shared" si="29"/>
        <v>2018</v>
      </c>
      <c r="G171" s="101">
        <f t="shared" si="34"/>
        <v>7</v>
      </c>
      <c r="H171" s="101">
        <f t="shared" si="35"/>
        <v>27.723611111112405</v>
      </c>
      <c r="I171" s="103" t="e">
        <f>VLOOKUP($A171,IF(C171=1,'30.07.18'!$A$17:$N$36,IF(C171=2,'02.08.18'!$A$17:$N$36,IF(C171=3,'06.08.18'!$A$17:$N$36,IF(C171=4,'09.08.18'!$A$17:$N$36,IF(C171=5,'13.08.18'!$A$17:$N$36,IF(C171=6,'20.08.18'!$A$17:$N$36,IF(C171=7,'24.08.18'!$A$38:$N$40,IF(C171=8,'27.08.18'!$A$38:$N$40,'03.09.18'!$A$38:$N$40)))))))),2,FALSE)</f>
        <v>#N/A</v>
      </c>
      <c r="J171" s="101" t="e">
        <f t="shared" si="36"/>
        <v>#N/A</v>
      </c>
      <c r="K171" s="101" t="e">
        <f t="shared" si="37"/>
        <v>#N/A</v>
      </c>
      <c r="L171" s="101" t="e">
        <f t="shared" si="38"/>
        <v>#N/A</v>
      </c>
      <c r="M171" s="101" t="s">
        <v>164</v>
      </c>
      <c r="N171" s="102" t="str">
        <f t="shared" si="30"/>
        <v/>
      </c>
      <c r="O171" s="101" t="str">
        <f>IFERROR(VLOOKUP($A171,IF(C171=1,'30.07.18'!$A$17:$N$36,IF(C171=2,'02.08.18'!$A$17:$N$36,IF(C171=3,'06.08.18'!$A$17:$N$36,IF(C171=4,'09.08.18'!$A$17:$N$36,IF(C171=5,'13.08.18'!$A$17:$N$36,IF(C171=6,'20.08.18'!$A$17:$N$36,IF(C171=7,'24.08.18'!$A$38:$N$40,IF(C171=8,'27.08.18'!$A$38:$N$40,'03.09.18'!$A$38:$N$40)))))))),14,FALSE),"")</f>
        <v/>
      </c>
      <c r="P171" s="102" t="str">
        <f t="shared" si="31"/>
        <v/>
      </c>
    </row>
    <row r="172" spans="1:16">
      <c r="A172" s="101" t="s">
        <v>20</v>
      </c>
      <c r="B172" s="101" t="str">
        <f t="shared" si="28"/>
        <v>SB</v>
      </c>
      <c r="C172" s="101">
        <f t="shared" si="39"/>
        <v>9</v>
      </c>
      <c r="D172" s="101" t="e">
        <f t="shared" si="33"/>
        <v>#N/A</v>
      </c>
      <c r="E172" s="101">
        <f>VLOOKUP($A172,'30.07.18'!$A$17:$I$36,9,FALSE)</f>
        <v>43308.723611111112</v>
      </c>
      <c r="F172" s="101">
        <f t="shared" si="29"/>
        <v>2018</v>
      </c>
      <c r="G172" s="101">
        <f t="shared" si="34"/>
        <v>7</v>
      </c>
      <c r="H172" s="101">
        <f t="shared" si="35"/>
        <v>27.723611111112405</v>
      </c>
      <c r="I172" s="103" t="e">
        <f>VLOOKUP($A172,IF(C172=1,'30.07.18'!$A$17:$N$36,IF(C172=2,'02.08.18'!$A$17:$N$36,IF(C172=3,'06.08.18'!$A$17:$N$36,IF(C172=4,'09.08.18'!$A$17:$N$36,IF(C172=5,'13.08.18'!$A$17:$N$36,IF(C172=6,'20.08.18'!$A$17:$N$36,IF(C172=7,'24.08.18'!$A$38:$N$40,IF(C172=8,'27.08.18'!$A$38:$N$40,'03.09.18'!$A$38:$N$40)))))))),2,FALSE)</f>
        <v>#N/A</v>
      </c>
      <c r="J172" s="101" t="e">
        <f t="shared" si="36"/>
        <v>#N/A</v>
      </c>
      <c r="K172" s="101" t="e">
        <f t="shared" si="37"/>
        <v>#N/A</v>
      </c>
      <c r="L172" s="101" t="e">
        <f t="shared" si="38"/>
        <v>#N/A</v>
      </c>
      <c r="M172" s="101" t="s">
        <v>164</v>
      </c>
      <c r="N172" s="102" t="str">
        <f t="shared" si="30"/>
        <v/>
      </c>
      <c r="O172" s="101" t="str">
        <f>IFERROR(VLOOKUP($A172,IF(C172=1,'30.07.18'!$A$17:$N$36,IF(C172=2,'02.08.18'!$A$17:$N$36,IF(C172=3,'06.08.18'!$A$17:$N$36,IF(C172=4,'09.08.18'!$A$17:$N$36,IF(C172=5,'13.08.18'!$A$17:$N$36,IF(C172=6,'20.08.18'!$A$17:$N$36,IF(C172=7,'24.08.18'!$A$38:$N$40,IF(C172=8,'27.08.18'!$A$38:$N$40,'03.09.18'!$A$38:$N$40)))))))),14,FALSE),"")</f>
        <v/>
      </c>
      <c r="P172" s="102" t="str">
        <f t="shared" si="31"/>
        <v/>
      </c>
    </row>
    <row r="173" spans="1:16">
      <c r="A173" s="101" t="s">
        <v>21</v>
      </c>
      <c r="B173" s="101" t="str">
        <f t="shared" si="28"/>
        <v>SB</v>
      </c>
      <c r="C173" s="101">
        <f t="shared" si="39"/>
        <v>9</v>
      </c>
      <c r="D173" s="101" t="e">
        <f t="shared" si="33"/>
        <v>#N/A</v>
      </c>
      <c r="E173" s="101">
        <f>VLOOKUP($A173,'30.07.18'!$A$17:$I$36,9,FALSE)</f>
        <v>43308.729166666664</v>
      </c>
      <c r="F173" s="101">
        <f t="shared" si="29"/>
        <v>2018</v>
      </c>
      <c r="G173" s="101">
        <f t="shared" si="34"/>
        <v>7</v>
      </c>
      <c r="H173" s="101">
        <f t="shared" si="35"/>
        <v>27.729166666664241</v>
      </c>
      <c r="I173" s="103" t="e">
        <f>VLOOKUP($A173,IF(C173=1,'30.07.18'!$A$17:$N$36,IF(C173=2,'02.08.18'!$A$17:$N$36,IF(C173=3,'06.08.18'!$A$17:$N$36,IF(C173=4,'09.08.18'!$A$17:$N$36,IF(C173=5,'13.08.18'!$A$17:$N$36,IF(C173=6,'20.08.18'!$A$17:$N$36,IF(C173=7,'24.08.18'!$A$38:$N$40,IF(C173=8,'27.08.18'!$A$38:$N$40,'03.09.18'!$A$38:$N$40)))))))),2,FALSE)</f>
        <v>#N/A</v>
      </c>
      <c r="J173" s="101" t="e">
        <f t="shared" si="36"/>
        <v>#N/A</v>
      </c>
      <c r="K173" s="101" t="e">
        <f t="shared" si="37"/>
        <v>#N/A</v>
      </c>
      <c r="L173" s="101" t="e">
        <f t="shared" si="38"/>
        <v>#N/A</v>
      </c>
      <c r="M173" s="101" t="s">
        <v>164</v>
      </c>
      <c r="N173" s="102" t="str">
        <f t="shared" si="30"/>
        <v/>
      </c>
      <c r="O173" s="101" t="str">
        <f>IFERROR(VLOOKUP($A173,IF(C173=1,'30.07.18'!$A$17:$N$36,IF(C173=2,'02.08.18'!$A$17:$N$36,IF(C173=3,'06.08.18'!$A$17:$N$36,IF(C173=4,'09.08.18'!$A$17:$N$36,IF(C173=5,'13.08.18'!$A$17:$N$36,IF(C173=6,'20.08.18'!$A$17:$N$36,IF(C173=7,'24.08.18'!$A$38:$N$40,IF(C173=8,'27.08.18'!$A$38:$N$40,'03.09.18'!$A$38:$N$40)))))))),14,FALSE),"")</f>
        <v/>
      </c>
      <c r="P173" s="102" t="str">
        <f t="shared" si="31"/>
        <v/>
      </c>
    </row>
    <row r="174" spans="1:16">
      <c r="A174" s="101" t="s">
        <v>22</v>
      </c>
      <c r="B174" s="101" t="str">
        <f t="shared" si="28"/>
        <v>Du123</v>
      </c>
      <c r="C174" s="101">
        <f t="shared" si="39"/>
        <v>9</v>
      </c>
      <c r="D174" s="101" t="e">
        <f t="shared" si="33"/>
        <v>#N/A</v>
      </c>
      <c r="E174" s="101">
        <f>VLOOKUP($A174,'30.07.18'!$A$17:$I$36,9,FALSE)</f>
        <v>43308.729166666664</v>
      </c>
      <c r="F174" s="101">
        <f t="shared" si="29"/>
        <v>2018</v>
      </c>
      <c r="G174" s="101">
        <f t="shared" si="34"/>
        <v>7</v>
      </c>
      <c r="H174" s="101">
        <f t="shared" si="35"/>
        <v>27.729166666664241</v>
      </c>
      <c r="I174" s="103" t="e">
        <f>VLOOKUP($A174,IF(C174=1,'30.07.18'!$A$17:$N$36,IF(C174=2,'02.08.18'!$A$17:$N$36,IF(C174=3,'06.08.18'!$A$17:$N$36,IF(C174=4,'09.08.18'!$A$17:$N$36,IF(C174=5,'13.08.18'!$A$17:$N$36,IF(C174=6,'20.08.18'!$A$17:$N$36,IF(C174=7,'24.08.18'!$A$38:$N$40,IF(C174=8,'27.08.18'!$A$38:$N$40,'03.09.18'!$A$38:$N$40)))))))),2,FALSE)</f>
        <v>#N/A</v>
      </c>
      <c r="J174" s="101" t="e">
        <f t="shared" si="36"/>
        <v>#N/A</v>
      </c>
      <c r="K174" s="101" t="e">
        <f t="shared" si="37"/>
        <v>#N/A</v>
      </c>
      <c r="L174" s="101" t="e">
        <f t="shared" si="38"/>
        <v>#N/A</v>
      </c>
      <c r="M174" s="101" t="s">
        <v>164</v>
      </c>
      <c r="N174" s="102" t="str">
        <f t="shared" si="30"/>
        <v/>
      </c>
      <c r="O174" s="101" t="str">
        <f>IFERROR(VLOOKUP($A174,IF(C174=1,'30.07.18'!$A$17:$N$36,IF(C174=2,'02.08.18'!$A$17:$N$36,IF(C174=3,'06.08.18'!$A$17:$N$36,IF(C174=4,'09.08.18'!$A$17:$N$36,IF(C174=5,'13.08.18'!$A$17:$N$36,IF(C174=6,'20.08.18'!$A$17:$N$36,IF(C174=7,'24.08.18'!$A$38:$N$40,IF(C174=8,'27.08.18'!$A$38:$N$40,'03.09.18'!$A$38:$N$40)))))))),14,FALSE),"")</f>
        <v/>
      </c>
      <c r="P174" s="102" t="str">
        <f t="shared" si="31"/>
        <v/>
      </c>
    </row>
    <row r="175" spans="1:16">
      <c r="A175" s="101" t="s">
        <v>23</v>
      </c>
      <c r="B175" s="101" t="str">
        <f t="shared" si="28"/>
        <v>Du120</v>
      </c>
      <c r="C175" s="101">
        <f t="shared" si="39"/>
        <v>9</v>
      </c>
      <c r="D175" s="101" t="e">
        <f t="shared" si="33"/>
        <v>#N/A</v>
      </c>
      <c r="E175" s="101">
        <f>VLOOKUP($A175,'30.07.18'!$A$17:$I$36,9,FALSE)</f>
        <v>43308.729166666664</v>
      </c>
      <c r="F175" s="101">
        <f t="shared" si="29"/>
        <v>2018</v>
      </c>
      <c r="G175" s="101">
        <f t="shared" si="34"/>
        <v>7</v>
      </c>
      <c r="H175" s="101">
        <f t="shared" si="35"/>
        <v>27.729166666664241</v>
      </c>
      <c r="I175" s="103" t="e">
        <f>VLOOKUP($A175,IF(C175=1,'30.07.18'!$A$17:$N$36,IF(C175=2,'02.08.18'!$A$17:$N$36,IF(C175=3,'06.08.18'!$A$17:$N$36,IF(C175=4,'09.08.18'!$A$17:$N$36,IF(C175=5,'13.08.18'!$A$17:$N$36,IF(C175=6,'20.08.18'!$A$17:$N$36,IF(C175=7,'24.08.18'!$A$38:$N$40,IF(C175=8,'27.08.18'!$A$38:$N$40,'03.09.18'!$A$38:$N$40)))))))),2,FALSE)</f>
        <v>#N/A</v>
      </c>
      <c r="J175" s="101" t="e">
        <f t="shared" si="36"/>
        <v>#N/A</v>
      </c>
      <c r="K175" s="101" t="e">
        <f t="shared" si="37"/>
        <v>#N/A</v>
      </c>
      <c r="L175" s="101" t="e">
        <f t="shared" si="38"/>
        <v>#N/A</v>
      </c>
      <c r="M175" s="101" t="s">
        <v>164</v>
      </c>
      <c r="N175" s="102" t="str">
        <f t="shared" si="30"/>
        <v/>
      </c>
      <c r="O175" s="101" t="str">
        <f>IFERROR(VLOOKUP($A175,IF(C175=1,'30.07.18'!$A$17:$N$36,IF(C175=2,'02.08.18'!$A$17:$N$36,IF(C175=3,'06.08.18'!$A$17:$N$36,IF(C175=4,'09.08.18'!$A$17:$N$36,IF(C175=5,'13.08.18'!$A$17:$N$36,IF(C175=6,'20.08.18'!$A$17:$N$36,IF(C175=7,'24.08.18'!$A$38:$N$40,IF(C175=8,'27.08.18'!$A$38:$N$40,'03.09.18'!$A$38:$N$40)))))))),14,FALSE),"")</f>
        <v/>
      </c>
      <c r="P175" s="102" t="str">
        <f t="shared" si="31"/>
        <v/>
      </c>
    </row>
    <row r="176" spans="1:16">
      <c r="A176" s="101" t="s">
        <v>24</v>
      </c>
      <c r="B176" s="101" t="str">
        <f t="shared" si="28"/>
        <v>TVA 4E C</v>
      </c>
      <c r="C176" s="101">
        <f t="shared" si="39"/>
        <v>9</v>
      </c>
      <c r="D176" s="101" t="e">
        <f t="shared" si="33"/>
        <v>#N/A</v>
      </c>
      <c r="E176" s="101">
        <f>VLOOKUP($A176,'30.07.18'!$A$17:$I$36,9,FALSE)</f>
        <v>43308.729166666664</v>
      </c>
      <c r="F176" s="101">
        <f t="shared" si="29"/>
        <v>2018</v>
      </c>
      <c r="G176" s="101">
        <f t="shared" si="34"/>
        <v>7</v>
      </c>
      <c r="H176" s="101">
        <f t="shared" si="35"/>
        <v>27.729166666664241</v>
      </c>
      <c r="I176" s="103" t="e">
        <f>VLOOKUP($A176,IF(C176=1,'30.07.18'!$A$17:$N$36,IF(C176=2,'02.08.18'!$A$17:$N$36,IF(C176=3,'06.08.18'!$A$17:$N$36,IF(C176=4,'09.08.18'!$A$17:$N$36,IF(C176=5,'13.08.18'!$A$17:$N$36,IF(C176=6,'20.08.18'!$A$17:$N$36,IF(C176=7,'24.08.18'!$A$38:$N$40,IF(C176=8,'27.08.18'!$A$38:$N$40,'03.09.18'!$A$38:$N$40)))))))),2,FALSE)</f>
        <v>#N/A</v>
      </c>
      <c r="J176" s="101" t="e">
        <f t="shared" si="36"/>
        <v>#N/A</v>
      </c>
      <c r="K176" s="101" t="e">
        <f t="shared" si="37"/>
        <v>#N/A</v>
      </c>
      <c r="L176" s="101" t="e">
        <f t="shared" si="38"/>
        <v>#N/A</v>
      </c>
      <c r="M176" s="101" t="s">
        <v>164</v>
      </c>
      <c r="N176" s="102" t="str">
        <f t="shared" si="30"/>
        <v/>
      </c>
      <c r="O176" s="101" t="str">
        <f>IFERROR(VLOOKUP($A176,IF(C176=1,'30.07.18'!$A$17:$N$36,IF(C176=2,'02.08.18'!$A$17:$N$36,IF(C176=3,'06.08.18'!$A$17:$N$36,IF(C176=4,'09.08.18'!$A$17:$N$36,IF(C176=5,'13.08.18'!$A$17:$N$36,IF(C176=6,'20.08.18'!$A$17:$N$36,IF(C176=7,'24.08.18'!$A$38:$N$40,IF(C176=8,'27.08.18'!$A$38:$N$40,'03.09.18'!$A$38:$N$40)))))))),14,FALSE),"")</f>
        <v/>
      </c>
      <c r="P176" s="102" t="str">
        <f t="shared" si="31"/>
        <v/>
      </c>
    </row>
    <row r="177" spans="1:16">
      <c r="A177" s="101" t="s">
        <v>25</v>
      </c>
      <c r="B177" s="101" t="str">
        <f t="shared" si="28"/>
        <v>TVA 6E C</v>
      </c>
      <c r="C177" s="101">
        <f t="shared" si="39"/>
        <v>9</v>
      </c>
      <c r="D177" s="101" t="e">
        <f t="shared" si="33"/>
        <v>#N/A</v>
      </c>
      <c r="E177" s="101">
        <f>VLOOKUP($A177,'30.07.18'!$A$17:$I$36,9,FALSE)</f>
        <v>43308.73541666667</v>
      </c>
      <c r="F177" s="101">
        <f t="shared" si="29"/>
        <v>2018</v>
      </c>
      <c r="G177" s="101">
        <f t="shared" si="34"/>
        <v>7</v>
      </c>
      <c r="H177" s="101">
        <f t="shared" si="35"/>
        <v>27.735416666670062</v>
      </c>
      <c r="I177" s="103" t="e">
        <f>VLOOKUP($A177,IF(C177=1,'30.07.18'!$A$17:$N$36,IF(C177=2,'02.08.18'!$A$17:$N$36,IF(C177=3,'06.08.18'!$A$17:$N$36,IF(C177=4,'09.08.18'!$A$17:$N$36,IF(C177=5,'13.08.18'!$A$17:$N$36,IF(C177=6,'20.08.18'!$A$17:$N$36,IF(C177=7,'24.08.18'!$A$38:$N$40,IF(C177=8,'27.08.18'!$A$38:$N$40,'03.09.18'!$A$38:$N$40)))))))),2,FALSE)</f>
        <v>#N/A</v>
      </c>
      <c r="J177" s="101" t="e">
        <f t="shared" si="36"/>
        <v>#N/A</v>
      </c>
      <c r="K177" s="101" t="e">
        <f t="shared" si="37"/>
        <v>#N/A</v>
      </c>
      <c r="L177" s="101" t="e">
        <f t="shared" si="38"/>
        <v>#N/A</v>
      </c>
      <c r="M177" s="101" t="s">
        <v>164</v>
      </c>
      <c r="N177" s="102" t="str">
        <f t="shared" si="30"/>
        <v/>
      </c>
      <c r="O177" s="101" t="str">
        <f>IFERROR(VLOOKUP($A177,IF(C177=1,'30.07.18'!$A$17:$N$36,IF(C177=2,'02.08.18'!$A$17:$N$36,IF(C177=3,'06.08.18'!$A$17:$N$36,IF(C177=4,'09.08.18'!$A$17:$N$36,IF(C177=5,'13.08.18'!$A$17:$N$36,IF(C177=6,'20.08.18'!$A$17:$N$36,IF(C177=7,'24.08.18'!$A$38:$N$40,IF(C177=8,'27.08.18'!$A$38:$N$40,'03.09.18'!$A$38:$N$40)))))))),14,FALSE),"")</f>
        <v/>
      </c>
      <c r="P177" s="102" t="str">
        <f t="shared" si="31"/>
        <v/>
      </c>
    </row>
    <row r="178" spans="1:16">
      <c r="A178" s="101" t="s">
        <v>26</v>
      </c>
      <c r="B178" s="101" t="str">
        <f t="shared" si="28"/>
        <v>TVA 8E C</v>
      </c>
      <c r="C178" s="101">
        <f t="shared" si="39"/>
        <v>9</v>
      </c>
      <c r="D178" s="101" t="e">
        <f t="shared" si="33"/>
        <v>#N/A</v>
      </c>
      <c r="E178" s="101">
        <f>VLOOKUP($A178,'30.07.18'!$A$17:$I$36,9,FALSE)</f>
        <v>43308.73541666667</v>
      </c>
      <c r="F178" s="101">
        <f t="shared" si="29"/>
        <v>2018</v>
      </c>
      <c r="G178" s="101">
        <f t="shared" si="34"/>
        <v>7</v>
      </c>
      <c r="H178" s="101">
        <f t="shared" si="35"/>
        <v>27.735416666670062</v>
      </c>
      <c r="I178" s="103" t="e">
        <f>VLOOKUP($A178,IF(C178=1,'30.07.18'!$A$17:$N$36,IF(C178=2,'02.08.18'!$A$17:$N$36,IF(C178=3,'06.08.18'!$A$17:$N$36,IF(C178=4,'09.08.18'!$A$17:$N$36,IF(C178=5,'13.08.18'!$A$17:$N$36,IF(C178=6,'20.08.18'!$A$17:$N$36,IF(C178=7,'24.08.18'!$A$38:$N$40,IF(C178=8,'27.08.18'!$A$38:$N$40,'03.09.18'!$A$38:$N$40)))))))),2,FALSE)</f>
        <v>#N/A</v>
      </c>
      <c r="J178" s="101" t="e">
        <f t="shared" si="36"/>
        <v>#N/A</v>
      </c>
      <c r="K178" s="101" t="e">
        <f t="shared" si="37"/>
        <v>#N/A</v>
      </c>
      <c r="L178" s="101" t="e">
        <f t="shared" si="38"/>
        <v>#N/A</v>
      </c>
      <c r="M178" s="101" t="s">
        <v>164</v>
      </c>
      <c r="N178" s="102" t="str">
        <f t="shared" si="30"/>
        <v/>
      </c>
      <c r="O178" s="101" t="str">
        <f>IFERROR(VLOOKUP($A178,IF(C178=1,'30.07.18'!$A$17:$N$36,IF(C178=2,'02.08.18'!$A$17:$N$36,IF(C178=3,'06.08.18'!$A$17:$N$36,IF(C178=4,'09.08.18'!$A$17:$N$36,IF(C178=5,'13.08.18'!$A$17:$N$36,IF(C178=6,'20.08.18'!$A$17:$N$36,IF(C178=7,'24.08.18'!$A$38:$N$40,IF(C178=8,'27.08.18'!$A$38:$N$40,'03.09.18'!$A$38:$N$40)))))))),14,FALSE),"")</f>
        <v/>
      </c>
      <c r="P178" s="102" t="str">
        <f t="shared" si="31"/>
        <v/>
      </c>
    </row>
    <row r="179" spans="1:16">
      <c r="A179" s="101" t="s">
        <v>27</v>
      </c>
      <c r="B179" s="101" t="str">
        <f t="shared" si="28"/>
        <v>TVA 2B C</v>
      </c>
      <c r="C179" s="101">
        <f t="shared" si="39"/>
        <v>9</v>
      </c>
      <c r="D179" s="101" t="e">
        <f t="shared" si="33"/>
        <v>#N/A</v>
      </c>
      <c r="E179" s="101">
        <f>VLOOKUP($A179,'30.07.18'!$A$17:$I$36,9,FALSE)</f>
        <v>43308.73541666667</v>
      </c>
      <c r="F179" s="101">
        <f t="shared" si="29"/>
        <v>2018</v>
      </c>
      <c r="G179" s="101">
        <f t="shared" si="34"/>
        <v>7</v>
      </c>
      <c r="H179" s="101">
        <f t="shared" si="35"/>
        <v>27.735416666670062</v>
      </c>
      <c r="I179" s="103" t="e">
        <f>VLOOKUP($A179,IF(C179=1,'30.07.18'!$A$17:$N$36,IF(C179=2,'02.08.18'!$A$17:$N$36,IF(C179=3,'06.08.18'!$A$17:$N$36,IF(C179=4,'09.08.18'!$A$17:$N$36,IF(C179=5,'13.08.18'!$A$17:$N$36,IF(C179=6,'20.08.18'!$A$17:$N$36,IF(C179=7,'24.08.18'!$A$38:$N$40,IF(C179=8,'27.08.18'!$A$38:$N$40,'03.09.18'!$A$38:$N$40)))))))),2,FALSE)</f>
        <v>#N/A</v>
      </c>
      <c r="J179" s="101" t="e">
        <f t="shared" si="36"/>
        <v>#N/A</v>
      </c>
      <c r="K179" s="101" t="e">
        <f t="shared" si="37"/>
        <v>#N/A</v>
      </c>
      <c r="L179" s="101" t="e">
        <f t="shared" si="38"/>
        <v>#N/A</v>
      </c>
      <c r="M179" s="101" t="s">
        <v>164</v>
      </c>
      <c r="N179" s="102" t="str">
        <f t="shared" si="30"/>
        <v/>
      </c>
      <c r="O179" s="101" t="str">
        <f>IFERROR(VLOOKUP($A179,IF(C179=1,'30.07.18'!$A$17:$N$36,IF(C179=2,'02.08.18'!$A$17:$N$36,IF(C179=3,'06.08.18'!$A$17:$N$36,IF(C179=4,'09.08.18'!$A$17:$N$36,IF(C179=5,'13.08.18'!$A$17:$N$36,IF(C179=6,'20.08.18'!$A$17:$N$36,IF(C179=7,'24.08.18'!$A$38:$N$40,IF(C179=8,'27.08.18'!$A$38:$N$40,'03.09.18'!$A$38:$N$40)))))))),14,FALSE),"")</f>
        <v/>
      </c>
      <c r="P179" s="102" t="str">
        <f t="shared" si="31"/>
        <v/>
      </c>
    </row>
    <row r="180" spans="1:16">
      <c r="A180" s="101" t="s">
        <v>28</v>
      </c>
      <c r="B180" s="101" t="str">
        <f t="shared" si="28"/>
        <v>TVA 3B C</v>
      </c>
      <c r="C180" s="101">
        <f t="shared" si="39"/>
        <v>9</v>
      </c>
      <c r="D180" s="101" t="e">
        <f t="shared" si="33"/>
        <v>#N/A</v>
      </c>
      <c r="E180" s="101">
        <f>VLOOKUP($A180,'30.07.18'!$A$17:$I$36,9,FALSE)</f>
        <v>43308.73541666667</v>
      </c>
      <c r="F180" s="101">
        <f t="shared" si="29"/>
        <v>2018</v>
      </c>
      <c r="G180" s="101">
        <f t="shared" si="34"/>
        <v>7</v>
      </c>
      <c r="H180" s="101">
        <f t="shared" si="35"/>
        <v>27.735416666670062</v>
      </c>
      <c r="I180" s="103" t="e">
        <f>VLOOKUP($A180,IF(C180=1,'30.07.18'!$A$17:$N$36,IF(C180=2,'02.08.18'!$A$17:$N$36,IF(C180=3,'06.08.18'!$A$17:$N$36,IF(C180=4,'09.08.18'!$A$17:$N$36,IF(C180=5,'13.08.18'!$A$17:$N$36,IF(C180=6,'20.08.18'!$A$17:$N$36,IF(C180=7,'24.08.18'!$A$38:$N$40,IF(C180=8,'27.08.18'!$A$38:$N$40,'03.09.18'!$A$38:$N$40)))))))),2,FALSE)</f>
        <v>#N/A</v>
      </c>
      <c r="J180" s="101" t="e">
        <f t="shared" si="36"/>
        <v>#N/A</v>
      </c>
      <c r="K180" s="101" t="e">
        <f t="shared" si="37"/>
        <v>#N/A</v>
      </c>
      <c r="L180" s="101" t="e">
        <f t="shared" si="38"/>
        <v>#N/A</v>
      </c>
      <c r="M180" s="101" t="s">
        <v>164</v>
      </c>
      <c r="N180" s="102" t="str">
        <f t="shared" si="30"/>
        <v/>
      </c>
      <c r="O180" s="101" t="str">
        <f>IFERROR(VLOOKUP($A180,IF(C180=1,'30.07.18'!$A$17:$N$36,IF(C180=2,'02.08.18'!$A$17:$N$36,IF(C180=3,'06.08.18'!$A$17:$N$36,IF(C180=4,'09.08.18'!$A$17:$N$36,IF(C180=5,'13.08.18'!$A$17:$N$36,IF(C180=6,'20.08.18'!$A$17:$N$36,IF(C180=7,'24.08.18'!$A$38:$N$40,IF(C180=8,'27.08.18'!$A$38:$N$40,'03.09.18'!$A$38:$N$40)))))))),14,FALSE),"")</f>
        <v/>
      </c>
      <c r="P180" s="102" t="str">
        <f t="shared" si="31"/>
        <v/>
      </c>
    </row>
    <row r="181" spans="1:16">
      <c r="A181" s="101" t="s">
        <v>29</v>
      </c>
      <c r="B181" s="101" t="str">
        <f t="shared" si="28"/>
        <v>TVA 5B C</v>
      </c>
      <c r="C181" s="101">
        <f t="shared" si="39"/>
        <v>9</v>
      </c>
      <c r="D181" s="101" t="e">
        <f t="shared" si="33"/>
        <v>#N/A</v>
      </c>
      <c r="E181" s="101">
        <f>VLOOKUP($A181,'30.07.18'!$A$17:$I$36,9,FALSE)</f>
        <v>43308.73541666667</v>
      </c>
      <c r="F181" s="101">
        <f t="shared" si="29"/>
        <v>2018</v>
      </c>
      <c r="G181" s="101">
        <f t="shared" si="34"/>
        <v>7</v>
      </c>
      <c r="H181" s="101">
        <f t="shared" si="35"/>
        <v>27.735416666670062</v>
      </c>
      <c r="I181" s="103" t="e">
        <f>VLOOKUP($A181,IF(C181=1,'30.07.18'!$A$17:$N$36,IF(C181=2,'02.08.18'!$A$17:$N$36,IF(C181=3,'06.08.18'!$A$17:$N$36,IF(C181=4,'09.08.18'!$A$17:$N$36,IF(C181=5,'13.08.18'!$A$17:$N$36,IF(C181=6,'20.08.18'!$A$17:$N$36,IF(C181=7,'24.08.18'!$A$38:$N$40,IF(C181=8,'27.08.18'!$A$38:$N$40,'03.09.18'!$A$38:$N$40)))))))),2,FALSE)</f>
        <v>#N/A</v>
      </c>
      <c r="J181" s="101" t="e">
        <f t="shared" si="36"/>
        <v>#N/A</v>
      </c>
      <c r="K181" s="101" t="e">
        <f t="shared" si="37"/>
        <v>#N/A</v>
      </c>
      <c r="L181" s="101" t="e">
        <f t="shared" si="38"/>
        <v>#N/A</v>
      </c>
      <c r="M181" s="101" t="s">
        <v>164</v>
      </c>
      <c r="N181" s="102" t="str">
        <f t="shared" si="30"/>
        <v/>
      </c>
      <c r="O181" s="101" t="str">
        <f>IFERROR(VLOOKUP($A181,IF(C181=1,'30.07.18'!$A$17:$N$36,IF(C181=2,'02.08.18'!$A$17:$N$36,IF(C181=3,'06.08.18'!$A$17:$N$36,IF(C181=4,'09.08.18'!$A$17:$N$36,IF(C181=5,'13.08.18'!$A$17:$N$36,IF(C181=6,'20.08.18'!$A$17:$N$36,IF(C181=7,'24.08.18'!$A$38:$N$40,IF(C181=8,'27.08.18'!$A$38:$N$40,'03.09.18'!$A$38:$N$40)))))))),14,FALSE),"")</f>
        <v/>
      </c>
      <c r="P181" s="102" t="str">
        <f t="shared" si="31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9" workbookViewId="0">
      <selection activeCell="P30" sqref="P30"/>
    </sheetView>
  </sheetViews>
  <sheetFormatPr baseColWidth="10" defaultRowHeight="14" x14ac:dyDescent="0"/>
  <cols>
    <col min="9" max="9" width="12.83203125" bestFit="1" customWidth="1"/>
  </cols>
  <sheetData>
    <row r="1" spans="1:16" ht="15">
      <c r="A1" s="101" t="s">
        <v>3</v>
      </c>
      <c r="B1" s="101" t="s">
        <v>179</v>
      </c>
      <c r="C1" s="101" t="s">
        <v>178</v>
      </c>
      <c r="D1" s="101" t="s">
        <v>177</v>
      </c>
      <c r="E1" s="101" t="s">
        <v>176</v>
      </c>
      <c r="F1" s="101" t="s">
        <v>175</v>
      </c>
      <c r="G1" s="101" t="s">
        <v>174</v>
      </c>
      <c r="H1" s="101" t="s">
        <v>173</v>
      </c>
      <c r="I1" s="101" t="s">
        <v>172</v>
      </c>
      <c r="J1" s="101" t="s">
        <v>171</v>
      </c>
      <c r="K1" s="101" t="s">
        <v>170</v>
      </c>
      <c r="L1" s="101" t="s">
        <v>169</v>
      </c>
      <c r="M1" s="101" t="s">
        <v>168</v>
      </c>
      <c r="N1" s="101" t="s">
        <v>167</v>
      </c>
      <c r="O1" s="101" t="s">
        <v>166</v>
      </c>
      <c r="P1" s="101" t="s">
        <v>165</v>
      </c>
    </row>
    <row r="2" spans="1:16" ht="15">
      <c r="A2" s="101" t="str">
        <f>Jar_Information!B23</f>
        <v>WB 4B C-1</v>
      </c>
      <c r="B2" s="101" t="str">
        <f>LEFT(A2,LEN(A2)-2)</f>
        <v>WB 4B C</v>
      </c>
      <c r="C2" s="101">
        <v>1</v>
      </c>
      <c r="D2" s="101" t="str">
        <f>IF(AND(C2&lt;&gt;C1,I2=I1),"fix meas date","")</f>
        <v/>
      </c>
      <c r="E2" s="101">
        <f>VLOOKUP($A2,Jar_Information!$B$23:$Q$42,16,FALSE)</f>
        <v>43333.603472222225</v>
      </c>
      <c r="F2" s="101">
        <f>YEAR(E2)</f>
        <v>2018</v>
      </c>
      <c r="G2" s="101">
        <f>MONTH(E2)</f>
        <v>8</v>
      </c>
      <c r="H2" s="101">
        <f>DAY(E2)+E2-ROUNDDOWN(E2,0)</f>
        <v>21.603472222224809</v>
      </c>
      <c r="I2" s="103">
        <f>VLOOKUP($A2,IF(C2=1,'24.08.18'!$A$17:$N$36,'27.08.18'!$A$17:$N$36),2,FALSE)</f>
        <v>43336.630555555559</v>
      </c>
      <c r="J2" s="101">
        <f>YEAR(I2)</f>
        <v>2018</v>
      </c>
      <c r="K2" s="101">
        <f>MONTH(I2)</f>
        <v>8</v>
      </c>
      <c r="L2" s="101">
        <f>DAY(I2)+I2-ROUNDDOWN(I2,0)</f>
        <v>24.630555555559113</v>
      </c>
      <c r="M2" s="101" t="s">
        <v>164</v>
      </c>
      <c r="N2" s="102">
        <f>IFERROR(IF(OR(I2=0,E2=0),"",I2-E2),"")</f>
        <v>3.0270833333343035</v>
      </c>
      <c r="O2" s="101">
        <f>VLOOKUP($A2,IF(C2=1,'24.08.18'!$A$17:$N$36,'27.08.18'!$A$17:$N$36),14,FALSE)</f>
        <v>9.3960032327917329</v>
      </c>
      <c r="P2" s="102">
        <f>N2</f>
        <v>3.0270833333343035</v>
      </c>
    </row>
    <row r="3" spans="1:16" ht="15">
      <c r="A3" s="101" t="str">
        <f>Jar_Information!B24</f>
        <v>WB 5B C-1</v>
      </c>
      <c r="B3" s="101" t="str">
        <f t="shared" ref="B3:B41" si="0">LEFT(A3,LEN(A3)-2)</f>
        <v>WB 5B C</v>
      </c>
      <c r="C3">
        <f>C2</f>
        <v>1</v>
      </c>
      <c r="D3" s="101" t="str">
        <f t="shared" ref="D3:D41" si="1">IF(AND(C3&lt;&gt;C2,I3=I2),"fix meas date","")</f>
        <v/>
      </c>
      <c r="E3" s="101">
        <f>VLOOKUP($A3,Jar_Information!$B$23:$Q$42,16,FALSE)</f>
        <v>43333.603472222225</v>
      </c>
      <c r="F3" s="101">
        <f t="shared" ref="F3:F41" si="2">YEAR(E3)</f>
        <v>2018</v>
      </c>
      <c r="G3" s="101">
        <f t="shared" ref="G3:G41" si="3">MONTH(E3)</f>
        <v>8</v>
      </c>
      <c r="H3" s="101">
        <f t="shared" ref="H3:H41" si="4">DAY(E3)+E3-ROUNDDOWN(E3,0)</f>
        <v>21.603472222224809</v>
      </c>
      <c r="I3" s="103">
        <f>VLOOKUP($A3,IF(C3=1,'24.08.18'!$A$17:$N$36,'27.08.18'!$A$17:$N$36),2,FALSE)</f>
        <v>43336.631944444445</v>
      </c>
      <c r="J3" s="101">
        <f t="shared" ref="J3:J41" si="5">YEAR(I3)</f>
        <v>2018</v>
      </c>
      <c r="K3" s="101">
        <f t="shared" ref="K3:K41" si="6">MONTH(I3)</f>
        <v>8</v>
      </c>
      <c r="L3" s="101">
        <f t="shared" ref="L3:L41" si="7">DAY(I3)+I3-ROUNDDOWN(I3,0)</f>
        <v>24.631944444445253</v>
      </c>
      <c r="M3" s="101" t="s">
        <v>164</v>
      </c>
      <c r="N3" s="102">
        <f t="shared" ref="N3:N41" si="8">IFERROR(IF(OR(I3=0,E3=0),"",I3-E3),"")</f>
        <v>3.0284722222204437</v>
      </c>
      <c r="O3" s="101">
        <f>VLOOKUP($A3,IF(C3=1,'24.08.18'!$A$17:$N$36,'27.08.18'!$A$17:$N$36),14,FALSE)</f>
        <v>5.8221113606087318</v>
      </c>
      <c r="P3" s="102">
        <f t="shared" ref="P3:P41" si="9">N3</f>
        <v>3.0284722222204437</v>
      </c>
    </row>
    <row r="4" spans="1:16" ht="15">
      <c r="A4" s="101" t="str">
        <f>Jar_Information!B25</f>
        <v>WB 8B C-1</v>
      </c>
      <c r="B4" s="101" t="str">
        <f t="shared" si="0"/>
        <v>WB 8B C</v>
      </c>
      <c r="C4">
        <f t="shared" ref="C4:C21" si="10">C3</f>
        <v>1</v>
      </c>
      <c r="D4" s="101" t="str">
        <f t="shared" si="1"/>
        <v/>
      </c>
      <c r="E4" s="101">
        <f>VLOOKUP($A4,Jar_Information!$B$23:$Q$42,16,FALSE)</f>
        <v>43333.603472222225</v>
      </c>
      <c r="F4" s="101">
        <f t="shared" si="2"/>
        <v>2018</v>
      </c>
      <c r="G4" s="101">
        <f t="shared" si="3"/>
        <v>8</v>
      </c>
      <c r="H4" s="101">
        <f t="shared" si="4"/>
        <v>21.603472222224809</v>
      </c>
      <c r="I4" s="103">
        <f>VLOOKUP($A4,IF(C4=1,'24.08.18'!$A$17:$N$36,'27.08.18'!$A$17:$N$36),2,FALSE)</f>
        <v>43336.633333333331</v>
      </c>
      <c r="J4" s="101">
        <f t="shared" si="5"/>
        <v>2018</v>
      </c>
      <c r="K4" s="101">
        <f t="shared" si="6"/>
        <v>8</v>
      </c>
      <c r="L4" s="101">
        <f t="shared" si="7"/>
        <v>24.633333333331393</v>
      </c>
      <c r="M4" s="101" t="s">
        <v>164</v>
      </c>
      <c r="N4" s="102">
        <f t="shared" si="8"/>
        <v>3.0298611111065838</v>
      </c>
      <c r="O4" s="101">
        <f>VLOOKUP($A4,IF(C4=1,'24.08.18'!$A$17:$N$36,'27.08.18'!$A$17:$N$36),14,FALSE)</f>
        <v>2.8889774015655663</v>
      </c>
      <c r="P4" s="102">
        <f t="shared" si="9"/>
        <v>3.0298611111065838</v>
      </c>
    </row>
    <row r="5" spans="1:16" ht="15">
      <c r="A5" s="101" t="str">
        <f>Jar_Information!B26</f>
        <v>WB 3E C-1</v>
      </c>
      <c r="B5" s="101" t="str">
        <f t="shared" si="0"/>
        <v>WB 3E C</v>
      </c>
      <c r="C5">
        <f t="shared" si="10"/>
        <v>1</v>
      </c>
      <c r="D5" s="101" t="str">
        <f t="shared" si="1"/>
        <v/>
      </c>
      <c r="E5" s="101">
        <f>VLOOKUP($A5,Jar_Information!$B$23:$Q$42,16,FALSE)</f>
        <v>43333.65902777778</v>
      </c>
      <c r="F5" s="101">
        <f t="shared" si="2"/>
        <v>2018</v>
      </c>
      <c r="G5" s="101">
        <f t="shared" si="3"/>
        <v>8</v>
      </c>
      <c r="H5" s="101">
        <f t="shared" si="4"/>
        <v>21.659027777779556</v>
      </c>
      <c r="I5" s="103">
        <f>VLOOKUP($A5,IF(C5=1,'24.08.18'!$A$17:$N$36,'27.08.18'!$A$17:$N$36),2,FALSE)</f>
        <v>43336.634722222225</v>
      </c>
      <c r="J5" s="101">
        <f t="shared" si="5"/>
        <v>2018</v>
      </c>
      <c r="K5" s="101">
        <f t="shared" si="6"/>
        <v>8</v>
      </c>
      <c r="L5" s="101">
        <f t="shared" si="7"/>
        <v>24.634722222224809</v>
      </c>
      <c r="M5" s="101" t="s">
        <v>164</v>
      </c>
      <c r="N5" s="102">
        <f t="shared" si="8"/>
        <v>2.9756944444452529</v>
      </c>
      <c r="O5" s="101">
        <f>VLOOKUP($A5,IF(C5=1,'24.08.18'!$A$17:$N$36,'27.08.18'!$A$17:$N$36),14,FALSE)</f>
        <v>2.9173914592308225</v>
      </c>
      <c r="P5" s="102">
        <f t="shared" si="9"/>
        <v>2.9756944444452529</v>
      </c>
    </row>
    <row r="6" spans="1:16" ht="15">
      <c r="A6" s="101" t="str">
        <f>Jar_Information!B27</f>
        <v>WB 6E C-1</v>
      </c>
      <c r="B6" s="101" t="str">
        <f t="shared" si="0"/>
        <v>WB 6E C</v>
      </c>
      <c r="C6">
        <f t="shared" si="10"/>
        <v>1</v>
      </c>
      <c r="D6" s="101" t="str">
        <f t="shared" si="1"/>
        <v/>
      </c>
      <c r="E6" s="101">
        <f>VLOOKUP($A6,Jar_Information!$B$23:$Q$42,16,FALSE)</f>
        <v>43333.603472222225</v>
      </c>
      <c r="F6" s="101">
        <f t="shared" si="2"/>
        <v>2018</v>
      </c>
      <c r="G6" s="101">
        <f t="shared" si="3"/>
        <v>8</v>
      </c>
      <c r="H6" s="101">
        <f t="shared" si="4"/>
        <v>21.603472222224809</v>
      </c>
      <c r="I6" s="103">
        <f>VLOOKUP($A6,IF(C6=1,'24.08.18'!$A$17:$N$36,'27.08.18'!$A$17:$N$36),2,FALSE)</f>
        <v>43336.635416666664</v>
      </c>
      <c r="J6" s="101">
        <f t="shared" si="5"/>
        <v>2018</v>
      </c>
      <c r="K6" s="101">
        <f t="shared" si="6"/>
        <v>8</v>
      </c>
      <c r="L6" s="101">
        <f t="shared" si="7"/>
        <v>24.635416666664241</v>
      </c>
      <c r="M6" s="101" t="s">
        <v>164</v>
      </c>
      <c r="N6" s="102">
        <f t="shared" si="8"/>
        <v>3.0319444444394321</v>
      </c>
      <c r="O6" s="101">
        <f>VLOOKUP($A6,IF(C6=1,'24.08.18'!$A$17:$N$36,'27.08.18'!$A$17:$N$36),14,FALSE)</f>
        <v>2.2748935550108889</v>
      </c>
      <c r="P6" s="102">
        <f t="shared" si="9"/>
        <v>3.0319444444394321</v>
      </c>
    </row>
    <row r="7" spans="1:16" ht="15">
      <c r="A7" s="101" t="str">
        <f>Jar_Information!B28</f>
        <v>WB 7E C-1</v>
      </c>
      <c r="B7" s="101" t="str">
        <f t="shared" si="0"/>
        <v>WB 7E C</v>
      </c>
      <c r="C7">
        <f t="shared" si="10"/>
        <v>1</v>
      </c>
      <c r="D7" s="101" t="str">
        <f t="shared" si="1"/>
        <v/>
      </c>
      <c r="E7" s="101">
        <f>VLOOKUP($A7,Jar_Information!$B$23:$Q$42,16,FALSE)</f>
        <v>43333.65902777778</v>
      </c>
      <c r="F7" s="101">
        <f t="shared" si="2"/>
        <v>2018</v>
      </c>
      <c r="G7" s="101">
        <f t="shared" si="3"/>
        <v>8</v>
      </c>
      <c r="H7" s="101">
        <f t="shared" si="4"/>
        <v>21.659027777779556</v>
      </c>
      <c r="I7" s="103">
        <f>VLOOKUP($A7,IF(C7=1,'24.08.18'!$A$17:$N$36,'27.08.18'!$A$17:$N$36),2,FALSE)</f>
        <v>43336.636805555558</v>
      </c>
      <c r="J7" s="101">
        <f t="shared" si="5"/>
        <v>2018</v>
      </c>
      <c r="K7" s="101">
        <f t="shared" si="6"/>
        <v>8</v>
      </c>
      <c r="L7" s="101">
        <f t="shared" si="7"/>
        <v>24.636805555557657</v>
      </c>
      <c r="M7" s="101" t="s">
        <v>164</v>
      </c>
      <c r="N7" s="102">
        <f t="shared" si="8"/>
        <v>2.9777777777781012</v>
      </c>
      <c r="O7" s="101">
        <f>VLOOKUP($A7,IF(C7=1,'24.08.18'!$A$17:$N$36,'27.08.18'!$A$17:$N$36),14,FALSE)</f>
        <v>2.4475551951972796</v>
      </c>
      <c r="P7" s="102">
        <f t="shared" si="9"/>
        <v>2.9777777777781012</v>
      </c>
    </row>
    <row r="8" spans="1:16" ht="15">
      <c r="A8" s="101" t="str">
        <f>Jar_Information!B29</f>
        <v>HEW26-1</v>
      </c>
      <c r="B8" s="101" t="str">
        <f t="shared" si="0"/>
        <v>HEW26</v>
      </c>
      <c r="C8">
        <f t="shared" si="10"/>
        <v>1</v>
      </c>
      <c r="D8" s="101" t="str">
        <f t="shared" si="1"/>
        <v/>
      </c>
      <c r="E8" s="101">
        <f>VLOOKUP($A8,Jar_Information!$B$23:$Q$42,16,FALSE)</f>
        <v>43333.65902777778</v>
      </c>
      <c r="F8" s="101">
        <f t="shared" si="2"/>
        <v>2018</v>
      </c>
      <c r="G8" s="101">
        <f t="shared" si="3"/>
        <v>8</v>
      </c>
      <c r="H8" s="101">
        <f t="shared" si="4"/>
        <v>21.659027777779556</v>
      </c>
      <c r="I8" s="103">
        <f>VLOOKUP($A8,IF(C8=1,'24.08.18'!$A$17:$N$36,'27.08.18'!$A$17:$N$36),2,FALSE)</f>
        <v>43336.637499999997</v>
      </c>
      <c r="J8" s="101">
        <f t="shared" si="5"/>
        <v>2018</v>
      </c>
      <c r="K8" s="101">
        <f t="shared" si="6"/>
        <v>8</v>
      </c>
      <c r="L8" s="101">
        <f t="shared" si="7"/>
        <v>24.63749999999709</v>
      </c>
      <c r="M8" s="101" t="s">
        <v>164</v>
      </c>
      <c r="N8" s="102">
        <f t="shared" si="8"/>
        <v>2.9784722222175333</v>
      </c>
      <c r="O8" s="101">
        <f>VLOOKUP($A8,IF(C8=1,'24.08.18'!$A$17:$N$36,'27.08.18'!$A$17:$N$36),14,FALSE)</f>
        <v>15.680646797900495</v>
      </c>
      <c r="P8" s="102">
        <f t="shared" si="9"/>
        <v>2.9784722222175333</v>
      </c>
    </row>
    <row r="9" spans="1:16" ht="15">
      <c r="A9" s="101" t="str">
        <f>Jar_Information!B30</f>
        <v>HEW26-2</v>
      </c>
      <c r="B9" s="101" t="str">
        <f t="shared" si="0"/>
        <v>HEW26</v>
      </c>
      <c r="C9">
        <f t="shared" si="10"/>
        <v>1</v>
      </c>
      <c r="D9" s="101" t="str">
        <f t="shared" si="1"/>
        <v/>
      </c>
      <c r="E9" s="101">
        <f>VLOOKUP($A9,Jar_Information!$B$23:$Q$42,16,FALSE)</f>
        <v>43333.65902777778</v>
      </c>
      <c r="F9" s="101">
        <f t="shared" si="2"/>
        <v>2018</v>
      </c>
      <c r="G9" s="101">
        <f t="shared" si="3"/>
        <v>8</v>
      </c>
      <c r="H9" s="101">
        <f t="shared" si="4"/>
        <v>21.659027777779556</v>
      </c>
      <c r="I9" s="103">
        <f>VLOOKUP($A9,IF(C9=1,'24.08.18'!$A$17:$N$36,'27.08.18'!$A$17:$N$36),2,FALSE)</f>
        <v>43336.63958333333</v>
      </c>
      <c r="J9" s="101">
        <f t="shared" si="5"/>
        <v>2018</v>
      </c>
      <c r="K9" s="101">
        <f t="shared" si="6"/>
        <v>8</v>
      </c>
      <c r="L9" s="101">
        <f t="shared" si="7"/>
        <v>24.639583333329938</v>
      </c>
      <c r="M9" s="101" t="s">
        <v>164</v>
      </c>
      <c r="N9" s="102">
        <f t="shared" si="8"/>
        <v>2.9805555555503815</v>
      </c>
      <c r="O9" s="101">
        <f>VLOOKUP($A9,IF(C9=1,'24.08.18'!$A$17:$N$36,'27.08.18'!$A$17:$N$36),14,FALSE)</f>
        <v>14.545522728219423</v>
      </c>
      <c r="P9" s="102">
        <f t="shared" si="9"/>
        <v>2.9805555555503815</v>
      </c>
    </row>
    <row r="10" spans="1:16" ht="15">
      <c r="A10" s="101" t="str">
        <f>Jar_Information!B31</f>
        <v>HEW47-1</v>
      </c>
      <c r="B10" s="101" t="str">
        <f t="shared" si="0"/>
        <v>HEW47</v>
      </c>
      <c r="C10">
        <f t="shared" si="10"/>
        <v>1</v>
      </c>
      <c r="D10" s="101" t="str">
        <f t="shared" si="1"/>
        <v/>
      </c>
      <c r="E10" s="101">
        <f>VLOOKUP($A10,Jar_Information!$B$23:$Q$42,16,FALSE)</f>
        <v>43333.65902777778</v>
      </c>
      <c r="F10" s="101">
        <f t="shared" si="2"/>
        <v>2018</v>
      </c>
      <c r="G10" s="101">
        <f t="shared" si="3"/>
        <v>8</v>
      </c>
      <c r="H10" s="101">
        <f t="shared" si="4"/>
        <v>21.659027777779556</v>
      </c>
      <c r="I10" s="103">
        <f>VLOOKUP($A10,IF(C10=1,'24.08.18'!$A$17:$N$36,'27.08.18'!$A$17:$N$36),2,FALSE)</f>
        <v>43336.640972222223</v>
      </c>
      <c r="J10" s="101">
        <f t="shared" si="5"/>
        <v>2018</v>
      </c>
      <c r="K10" s="101">
        <f t="shared" si="6"/>
        <v>8</v>
      </c>
      <c r="L10" s="101">
        <f t="shared" si="7"/>
        <v>24.640972222223354</v>
      </c>
      <c r="M10" s="101" t="s">
        <v>164</v>
      </c>
      <c r="N10" s="102">
        <f t="shared" si="8"/>
        <v>2.9819444444437977</v>
      </c>
      <c r="O10" s="101">
        <f>VLOOKUP($A10,IF(C10=1,'24.08.18'!$A$17:$N$36,'27.08.18'!$A$17:$N$36),14,FALSE)</f>
        <v>27.425677010579872</v>
      </c>
      <c r="P10" s="102">
        <f t="shared" si="9"/>
        <v>2.9819444444437977</v>
      </c>
    </row>
    <row r="11" spans="1:16" ht="15">
      <c r="A11" s="101" t="str">
        <f>Jar_Information!B32</f>
        <v>HEW47-2</v>
      </c>
      <c r="B11" s="101" t="str">
        <f t="shared" si="0"/>
        <v>HEW47</v>
      </c>
      <c r="C11">
        <f t="shared" si="10"/>
        <v>1</v>
      </c>
      <c r="D11" s="101" t="str">
        <f t="shared" si="1"/>
        <v/>
      </c>
      <c r="E11" s="101">
        <f>VLOOKUP($A11,Jar_Information!$B$23:$Q$42,16,FALSE)</f>
        <v>43333.663194444445</v>
      </c>
      <c r="F11" s="101">
        <f t="shared" si="2"/>
        <v>2018</v>
      </c>
      <c r="G11" s="101">
        <f t="shared" si="3"/>
        <v>8</v>
      </c>
      <c r="H11" s="101">
        <f t="shared" si="4"/>
        <v>21.663194444445253</v>
      </c>
      <c r="I11" s="103">
        <f>VLOOKUP($A11,IF(C11=1,'24.08.18'!$A$17:$N$36,'27.08.18'!$A$17:$N$36),2,FALSE)</f>
        <v>43336.64166666667</v>
      </c>
      <c r="J11" s="101">
        <f t="shared" si="5"/>
        <v>2018</v>
      </c>
      <c r="K11" s="101">
        <f t="shared" si="6"/>
        <v>8</v>
      </c>
      <c r="L11" s="101">
        <f t="shared" si="7"/>
        <v>24.641666666670062</v>
      </c>
      <c r="M11" s="101" t="s">
        <v>164</v>
      </c>
      <c r="N11" s="102">
        <f t="shared" si="8"/>
        <v>2.9784722222248092</v>
      </c>
      <c r="O11" s="101">
        <f>VLOOKUP($A11,IF(C11=1,'24.08.18'!$A$17:$N$36,'27.08.18'!$A$17:$N$36),14,FALSE)</f>
        <v>26.054350376728244</v>
      </c>
      <c r="P11" s="102">
        <f t="shared" si="9"/>
        <v>2.9784722222248092</v>
      </c>
    </row>
    <row r="12" spans="1:16" ht="15">
      <c r="A12" s="101" t="str">
        <f>Jar_Information!B33</f>
        <v>HEG20-1</v>
      </c>
      <c r="B12" s="101" t="str">
        <f t="shared" si="0"/>
        <v>HEG20</v>
      </c>
      <c r="C12">
        <f t="shared" si="10"/>
        <v>1</v>
      </c>
      <c r="D12" s="101" t="str">
        <f t="shared" si="1"/>
        <v/>
      </c>
      <c r="E12" s="101">
        <f>VLOOKUP($A12,Jar_Information!$B$23:$Q$42,16,FALSE)</f>
        <v>43333.663194444445</v>
      </c>
      <c r="F12" s="101">
        <f t="shared" si="2"/>
        <v>2018</v>
      </c>
      <c r="G12" s="101">
        <f t="shared" si="3"/>
        <v>8</v>
      </c>
      <c r="H12" s="101">
        <f t="shared" si="4"/>
        <v>21.663194444445253</v>
      </c>
      <c r="I12" s="103">
        <f>VLOOKUP($A12,IF(C12=1,'24.08.18'!$A$17:$N$36,'27.08.18'!$A$17:$N$36),2,FALSE)</f>
        <v>43336.656944444447</v>
      </c>
      <c r="J12" s="101">
        <f t="shared" si="5"/>
        <v>2018</v>
      </c>
      <c r="K12" s="101">
        <f t="shared" si="6"/>
        <v>8</v>
      </c>
      <c r="L12" s="101">
        <f t="shared" si="7"/>
        <v>24.656944444446708</v>
      </c>
      <c r="M12" s="101" t="s">
        <v>164</v>
      </c>
      <c r="N12" s="102">
        <f t="shared" si="8"/>
        <v>2.9937500000014552</v>
      </c>
      <c r="O12" s="101">
        <f>VLOOKUP($A12,IF(C12=1,'24.08.18'!$A$17:$N$36,'27.08.18'!$A$17:$N$36),14,FALSE)</f>
        <v>94.133649514368315</v>
      </c>
      <c r="P12" s="102">
        <f t="shared" si="9"/>
        <v>2.9937500000014552</v>
      </c>
    </row>
    <row r="13" spans="1:16" ht="15">
      <c r="A13" s="101" t="str">
        <f>Jar_Information!B34</f>
        <v>HEG20-2</v>
      </c>
      <c r="B13" s="101" t="str">
        <f t="shared" si="0"/>
        <v>HEG20</v>
      </c>
      <c r="C13">
        <f t="shared" si="10"/>
        <v>1</v>
      </c>
      <c r="D13" s="101" t="str">
        <f t="shared" si="1"/>
        <v/>
      </c>
      <c r="E13" s="101">
        <f>VLOOKUP($A13,Jar_Information!$B$23:$Q$42,16,FALSE)</f>
        <v>43333.663194444445</v>
      </c>
      <c r="F13" s="101">
        <f t="shared" si="2"/>
        <v>2018</v>
      </c>
      <c r="G13" s="101">
        <f t="shared" si="3"/>
        <v>8</v>
      </c>
      <c r="H13" s="101">
        <f t="shared" si="4"/>
        <v>21.663194444445253</v>
      </c>
      <c r="I13" s="103">
        <f>VLOOKUP($A13,IF(C13=1,'24.08.18'!$A$17:$N$36,'27.08.18'!$A$17:$N$36),2,FALSE)</f>
        <v>43336.658333333333</v>
      </c>
      <c r="J13" s="101">
        <f t="shared" si="5"/>
        <v>2018</v>
      </c>
      <c r="K13" s="101">
        <f t="shared" si="6"/>
        <v>8</v>
      </c>
      <c r="L13" s="101">
        <f t="shared" si="7"/>
        <v>24.658333333332848</v>
      </c>
      <c r="M13" s="101" t="s">
        <v>164</v>
      </c>
      <c r="N13" s="102">
        <f t="shared" si="8"/>
        <v>2.9951388888875954</v>
      </c>
      <c r="O13" s="101">
        <f>VLOOKUP($A13,IF(C13=1,'24.08.18'!$A$17:$N$36,'27.08.18'!$A$17:$N$36),14,FALSE)</f>
        <v>90.427184302109794</v>
      </c>
      <c r="P13" s="102">
        <f t="shared" si="9"/>
        <v>2.9951388888875954</v>
      </c>
    </row>
    <row r="14" spans="1:16" ht="15">
      <c r="A14" s="101" t="str">
        <f>Jar_Information!B35</f>
        <v>HEG20-3</v>
      </c>
      <c r="B14" s="101" t="str">
        <f t="shared" si="0"/>
        <v>HEG20</v>
      </c>
      <c r="C14">
        <f t="shared" si="10"/>
        <v>1</v>
      </c>
      <c r="D14" s="101" t="str">
        <f t="shared" si="1"/>
        <v/>
      </c>
      <c r="E14" s="101">
        <f>VLOOKUP($A14,Jar_Information!$B$23:$Q$42,16,FALSE)</f>
        <v>43333.663194444445</v>
      </c>
      <c r="F14" s="101">
        <f t="shared" si="2"/>
        <v>2018</v>
      </c>
      <c r="G14" s="101">
        <f t="shared" si="3"/>
        <v>8</v>
      </c>
      <c r="H14" s="101">
        <f t="shared" si="4"/>
        <v>21.663194444445253</v>
      </c>
      <c r="I14" s="103">
        <f>VLOOKUP($A14,IF(C14=1,'24.08.18'!$A$17:$N$36,'27.08.18'!$A$17:$N$36),2,FALSE)</f>
        <v>43336.660416666666</v>
      </c>
      <c r="J14" s="101">
        <f t="shared" si="5"/>
        <v>2018</v>
      </c>
      <c r="K14" s="101">
        <f t="shared" si="6"/>
        <v>8</v>
      </c>
      <c r="L14" s="101">
        <f t="shared" si="7"/>
        <v>24.660416666665697</v>
      </c>
      <c r="M14" s="101" t="s">
        <v>164</v>
      </c>
      <c r="N14" s="102">
        <f t="shared" si="8"/>
        <v>2.9972222222204437</v>
      </c>
      <c r="O14" s="101">
        <f>VLOOKUP($A14,IF(C14=1,'24.08.18'!$A$17:$N$36,'27.08.18'!$A$17:$N$36),14,FALSE)</f>
        <v>95.89807241174671</v>
      </c>
      <c r="P14" s="102">
        <f t="shared" si="9"/>
        <v>2.9972222222204437</v>
      </c>
    </row>
    <row r="15" spans="1:16" ht="15">
      <c r="A15" s="101" t="str">
        <f>Jar_Information!B36</f>
        <v>HEG33-1</v>
      </c>
      <c r="B15" s="101" t="str">
        <f t="shared" si="0"/>
        <v>HEG33</v>
      </c>
      <c r="C15">
        <f t="shared" si="10"/>
        <v>1</v>
      </c>
      <c r="D15" s="101" t="str">
        <f t="shared" si="1"/>
        <v/>
      </c>
      <c r="E15" s="101">
        <f>VLOOKUP($A15,Jar_Information!$B$23:$Q$42,16,FALSE)</f>
        <v>43333.663194444445</v>
      </c>
      <c r="F15" s="101">
        <f t="shared" si="2"/>
        <v>2018</v>
      </c>
      <c r="G15" s="101">
        <f t="shared" si="3"/>
        <v>8</v>
      </c>
      <c r="H15" s="101">
        <f t="shared" si="4"/>
        <v>21.663194444445253</v>
      </c>
      <c r="I15" s="103">
        <f>VLOOKUP($A15,IF(C15=1,'24.08.18'!$A$17:$N$36,'27.08.18'!$A$17:$N$36),2,FALSE)</f>
        <v>43336.661805555559</v>
      </c>
      <c r="J15" s="101">
        <f t="shared" si="5"/>
        <v>2018</v>
      </c>
      <c r="K15" s="101">
        <f t="shared" si="6"/>
        <v>8</v>
      </c>
      <c r="L15" s="101">
        <f t="shared" si="7"/>
        <v>24.661805555559113</v>
      </c>
      <c r="M15" s="101" t="s">
        <v>164</v>
      </c>
      <c r="N15" s="102">
        <f t="shared" si="8"/>
        <v>2.9986111111138598</v>
      </c>
      <c r="O15" s="101">
        <f>VLOOKUP($A15,IF(C15=1,'24.08.18'!$A$17:$N$36,'27.08.18'!$A$17:$N$36),14,FALSE)</f>
        <v>88.527963173885453</v>
      </c>
      <c r="P15" s="102">
        <f t="shared" si="9"/>
        <v>2.9986111111138598</v>
      </c>
    </row>
    <row r="16" spans="1:16" ht="15">
      <c r="A16" s="101" t="str">
        <f>Jar_Information!B37</f>
        <v>HEG33-2</v>
      </c>
      <c r="B16" s="101" t="str">
        <f t="shared" si="0"/>
        <v>HEG33</v>
      </c>
      <c r="C16">
        <f t="shared" si="10"/>
        <v>1</v>
      </c>
      <c r="D16" s="101" t="str">
        <f t="shared" si="1"/>
        <v/>
      </c>
      <c r="E16" s="101">
        <f>VLOOKUP($A16,Jar_Information!$B$23:$Q$42,16,FALSE)</f>
        <v>43333.663194444445</v>
      </c>
      <c r="F16" s="101">
        <f t="shared" si="2"/>
        <v>2018</v>
      </c>
      <c r="G16" s="101">
        <f t="shared" si="3"/>
        <v>8</v>
      </c>
      <c r="H16" s="101">
        <f t="shared" si="4"/>
        <v>21.663194444445253</v>
      </c>
      <c r="I16" s="103">
        <f>VLOOKUP($A16,IF(C16=1,'24.08.18'!$A$17:$N$36,'27.08.18'!$A$17:$N$36),2,FALSE)</f>
        <v>43336.662499999999</v>
      </c>
      <c r="J16" s="101">
        <f t="shared" si="5"/>
        <v>2018</v>
      </c>
      <c r="K16" s="101">
        <f t="shared" si="6"/>
        <v>8</v>
      </c>
      <c r="L16" s="101">
        <f t="shared" si="7"/>
        <v>24.662499999998545</v>
      </c>
      <c r="M16" s="101" t="s">
        <v>164</v>
      </c>
      <c r="N16" s="102">
        <f t="shared" si="8"/>
        <v>2.9993055555532919</v>
      </c>
      <c r="O16" s="101">
        <f>VLOOKUP($A16,IF(C16=1,'24.08.18'!$A$17:$N$36,'27.08.18'!$A$17:$N$36),14,FALSE)</f>
        <v>93.171812206441814</v>
      </c>
      <c r="P16" s="102">
        <f t="shared" si="9"/>
        <v>2.9993055555532919</v>
      </c>
    </row>
    <row r="17" spans="1:16" ht="15">
      <c r="A17" s="101" t="str">
        <f>Jar_Information!B38</f>
        <v>HEG33-3</v>
      </c>
      <c r="B17" s="101" t="str">
        <f t="shared" si="0"/>
        <v>HEG33</v>
      </c>
      <c r="C17">
        <f t="shared" si="10"/>
        <v>1</v>
      </c>
      <c r="D17" s="101" t="str">
        <f t="shared" si="1"/>
        <v/>
      </c>
      <c r="E17" s="101">
        <f>VLOOKUP($A17,Jar_Information!$B$23:$Q$42,16,FALSE)</f>
        <v>43333.667361111111</v>
      </c>
      <c r="F17" s="101">
        <f t="shared" si="2"/>
        <v>2018</v>
      </c>
      <c r="G17" s="101">
        <f t="shared" si="3"/>
        <v>8</v>
      </c>
      <c r="H17" s="101">
        <f t="shared" si="4"/>
        <v>21.667361111110949</v>
      </c>
      <c r="I17" s="103">
        <f>VLOOKUP($A17,IF(C17=1,'24.08.18'!$A$17:$N$36,'27.08.18'!$A$17:$N$36),2,FALSE)</f>
        <v>43336.663888888892</v>
      </c>
      <c r="J17" s="101">
        <f t="shared" si="5"/>
        <v>2018</v>
      </c>
      <c r="K17" s="101">
        <f t="shared" si="6"/>
        <v>8</v>
      </c>
      <c r="L17" s="101">
        <f t="shared" si="7"/>
        <v>24.663888888891961</v>
      </c>
      <c r="M17" s="101" t="s">
        <v>164</v>
      </c>
      <c r="N17" s="102">
        <f t="shared" si="8"/>
        <v>2.9965277777810115</v>
      </c>
      <c r="O17" s="101">
        <f>VLOOKUP($A17,IF(C17=1,'24.08.18'!$A$17:$N$36,'27.08.18'!$A$17:$N$36),14,FALSE)</f>
        <v>98.189273503375702</v>
      </c>
      <c r="P17" s="102">
        <f t="shared" si="9"/>
        <v>2.9965277777810115</v>
      </c>
    </row>
    <row r="18" spans="1:16" ht="15">
      <c r="A18" s="101" t="str">
        <f>Jar_Information!B39</f>
        <v>HEG6-1</v>
      </c>
      <c r="B18" s="101" t="str">
        <f t="shared" si="0"/>
        <v>HEG6</v>
      </c>
      <c r="C18">
        <f t="shared" si="10"/>
        <v>1</v>
      </c>
      <c r="D18" s="101" t="str">
        <f t="shared" si="1"/>
        <v/>
      </c>
      <c r="E18" s="101">
        <f>VLOOKUP($A18,Jar_Information!$B$23:$Q$42,16,FALSE)</f>
        <v>43333.667361111111</v>
      </c>
      <c r="F18" s="101">
        <f t="shared" si="2"/>
        <v>2018</v>
      </c>
      <c r="G18" s="101">
        <f t="shared" si="3"/>
        <v>8</v>
      </c>
      <c r="H18" s="101">
        <f t="shared" si="4"/>
        <v>21.667361111110949</v>
      </c>
      <c r="I18" s="103">
        <f>VLOOKUP($A18,IF(C18=1,'24.08.18'!$A$17:$N$36,'27.08.18'!$A$17:$N$36),2,FALSE)</f>
        <v>43336.664583333331</v>
      </c>
      <c r="J18" s="101">
        <f t="shared" si="5"/>
        <v>2018</v>
      </c>
      <c r="K18" s="101">
        <f t="shared" si="6"/>
        <v>8</v>
      </c>
      <c r="L18" s="101">
        <f t="shared" si="7"/>
        <v>24.664583333331393</v>
      </c>
      <c r="M18" s="101" t="s">
        <v>164</v>
      </c>
      <c r="N18" s="102">
        <f t="shared" si="8"/>
        <v>2.9972222222204437</v>
      </c>
      <c r="O18" s="101">
        <f>VLOOKUP($A18,IF(C18=1,'24.08.18'!$A$17:$N$36,'27.08.18'!$A$17:$N$36),14,FALSE)</f>
        <v>88.365147380029796</v>
      </c>
      <c r="P18" s="102">
        <f t="shared" si="9"/>
        <v>2.9972222222204437</v>
      </c>
    </row>
    <row r="19" spans="1:16" ht="15">
      <c r="A19" s="101" t="str">
        <f>Jar_Information!B40</f>
        <v>HEG6-2</v>
      </c>
      <c r="B19" s="101" t="str">
        <f t="shared" si="0"/>
        <v>HEG6</v>
      </c>
      <c r="C19">
        <f t="shared" si="10"/>
        <v>1</v>
      </c>
      <c r="D19" s="101" t="str">
        <f t="shared" si="1"/>
        <v/>
      </c>
      <c r="E19" s="101">
        <f>VLOOKUP($A19,Jar_Information!$B$23:$Q$42,16,FALSE)</f>
        <v>43333.667361111111</v>
      </c>
      <c r="F19" s="101">
        <f t="shared" si="2"/>
        <v>2018</v>
      </c>
      <c r="G19" s="101">
        <f t="shared" si="3"/>
        <v>8</v>
      </c>
      <c r="H19" s="101">
        <f t="shared" si="4"/>
        <v>21.667361111110949</v>
      </c>
      <c r="I19" s="103">
        <f>VLOOKUP($A19,IF(C19=1,'24.08.18'!$A$17:$N$36,'27.08.18'!$A$17:$N$36),2,FALSE)</f>
        <v>43336.667361111111</v>
      </c>
      <c r="J19" s="101">
        <f t="shared" si="5"/>
        <v>2018</v>
      </c>
      <c r="K19" s="101">
        <f t="shared" si="6"/>
        <v>8</v>
      </c>
      <c r="L19" s="101">
        <f t="shared" si="7"/>
        <v>24.667361111110949</v>
      </c>
      <c r="M19" s="101" t="s">
        <v>164</v>
      </c>
      <c r="N19" s="102">
        <f t="shared" si="8"/>
        <v>3</v>
      </c>
      <c r="O19" s="101">
        <f>VLOOKUP($A19,IF(C19=1,'24.08.18'!$A$17:$N$36,'27.08.18'!$A$17:$N$36),14,FALSE)</f>
        <v>68.453761720496487</v>
      </c>
      <c r="P19" s="102">
        <f t="shared" si="9"/>
        <v>3</v>
      </c>
    </row>
    <row r="20" spans="1:16" ht="15">
      <c r="A20" s="101" t="str">
        <f>Jar_Information!B41</f>
        <v>HEG6-3</v>
      </c>
      <c r="B20" s="101" t="str">
        <f t="shared" si="0"/>
        <v>HEG6</v>
      </c>
      <c r="C20">
        <f t="shared" si="10"/>
        <v>1</v>
      </c>
      <c r="D20" s="101" t="str">
        <f t="shared" si="1"/>
        <v/>
      </c>
      <c r="E20" s="101">
        <f>VLOOKUP($A20,Jar_Information!$B$23:$Q$42,16,FALSE)</f>
        <v>43333.667361111111</v>
      </c>
      <c r="F20" s="101">
        <f t="shared" si="2"/>
        <v>2018</v>
      </c>
      <c r="G20" s="101">
        <f t="shared" si="3"/>
        <v>8</v>
      </c>
      <c r="H20" s="101">
        <f t="shared" si="4"/>
        <v>21.667361111110949</v>
      </c>
      <c r="I20" s="103">
        <f>VLOOKUP($A20,IF(C20=1,'24.08.18'!$A$17:$N$36,'27.08.18'!$A$17:$N$36),2,FALSE)</f>
        <v>43336.668749999997</v>
      </c>
      <c r="J20" s="101">
        <f t="shared" si="5"/>
        <v>2018</v>
      </c>
      <c r="K20" s="101">
        <f t="shared" si="6"/>
        <v>8</v>
      </c>
      <c r="L20" s="101">
        <f t="shared" si="7"/>
        <v>24.66874999999709</v>
      </c>
      <c r="M20" s="101" t="s">
        <v>164</v>
      </c>
      <c r="N20" s="102">
        <f t="shared" si="8"/>
        <v>3.0013888888861402</v>
      </c>
      <c r="O20" s="101">
        <f>VLOOKUP($A20,IF(C20=1,'24.08.18'!$A$17:$N$36,'27.08.18'!$A$17:$N$36),14,FALSE)</f>
        <v>63.254830884628866</v>
      </c>
      <c r="P20" s="102">
        <f t="shared" si="9"/>
        <v>3.0013888888861402</v>
      </c>
    </row>
    <row r="21" spans="1:16" ht="15">
      <c r="A21" s="101" t="str">
        <f>Jar_Information!B42</f>
        <v>HEW49-1</v>
      </c>
      <c r="B21" s="101" t="str">
        <f t="shared" si="0"/>
        <v>HEW49</v>
      </c>
      <c r="C21">
        <f t="shared" si="10"/>
        <v>1</v>
      </c>
      <c r="D21" s="101" t="str">
        <f t="shared" si="1"/>
        <v/>
      </c>
      <c r="E21" s="101">
        <f>VLOOKUP($A21,Jar_Information!$B$23:$Q$42,16,FALSE)</f>
        <v>43333.667361111111</v>
      </c>
      <c r="F21" s="101">
        <f t="shared" si="2"/>
        <v>2018</v>
      </c>
      <c r="G21" s="101">
        <f t="shared" si="3"/>
        <v>8</v>
      </c>
      <c r="H21" s="101">
        <f t="shared" si="4"/>
        <v>21.667361111110949</v>
      </c>
      <c r="I21" s="103">
        <f>VLOOKUP($A21,IF(C21=1,'24.08.18'!$A$17:$N$36,'27.08.18'!$A$17:$N$36),2,FALSE)</f>
        <v>43336.670138888891</v>
      </c>
      <c r="J21" s="101">
        <f t="shared" si="5"/>
        <v>2018</v>
      </c>
      <c r="K21" s="101">
        <f t="shared" si="6"/>
        <v>8</v>
      </c>
      <c r="L21" s="101">
        <f t="shared" si="7"/>
        <v>24.670138888890506</v>
      </c>
      <c r="M21" s="101" t="s">
        <v>164</v>
      </c>
      <c r="N21" s="102">
        <f t="shared" si="8"/>
        <v>3.0027777777795563</v>
      </c>
      <c r="O21" s="101">
        <f>VLOOKUP($A21,IF(C21=1,'24.08.18'!$A$17:$N$36,'27.08.18'!$A$17:$N$36),14,FALSE)</f>
        <v>9.1590176100710341</v>
      </c>
      <c r="P21" s="102">
        <f t="shared" si="9"/>
        <v>3.0027777777795563</v>
      </c>
    </row>
    <row r="22" spans="1:16" ht="15">
      <c r="A22" s="101" t="s">
        <v>30</v>
      </c>
      <c r="B22" s="101" t="str">
        <f t="shared" si="0"/>
        <v>WB 4B C</v>
      </c>
      <c r="C22" s="101">
        <v>2</v>
      </c>
      <c r="D22" s="101" t="str">
        <f t="shared" si="1"/>
        <v/>
      </c>
      <c r="E22" s="101">
        <f>VLOOKUP($A22,Jar_Information!$B$23:$Q$42,16,FALSE)</f>
        <v>43333.603472222225</v>
      </c>
      <c r="F22" s="101">
        <f t="shared" si="2"/>
        <v>2018</v>
      </c>
      <c r="G22" s="101">
        <f t="shared" si="3"/>
        <v>8</v>
      </c>
      <c r="H22" s="101">
        <f t="shared" si="4"/>
        <v>21.603472222224809</v>
      </c>
      <c r="I22" s="103">
        <f>VLOOKUP($A22,IF(C22=1,'24.08.18'!$A$17:$N$36,'27.08.18'!$A$17:$N$36),2,FALSE)</f>
        <v>43339.677083333336</v>
      </c>
      <c r="J22" s="101">
        <f t="shared" si="5"/>
        <v>2018</v>
      </c>
      <c r="K22" s="101">
        <f t="shared" si="6"/>
        <v>8</v>
      </c>
      <c r="L22" s="101">
        <f t="shared" si="7"/>
        <v>27.677083333335759</v>
      </c>
      <c r="M22" s="101" t="s">
        <v>164</v>
      </c>
      <c r="N22" s="102">
        <f t="shared" si="8"/>
        <v>6.0736111111109494</v>
      </c>
      <c r="O22" s="101">
        <f>VLOOKUP($A22,IF(C22=1,'24.08.18'!$A$17:$N$36,'27.08.18'!$A$17:$N$36),14,FALSE)</f>
        <v>83.496605656721314</v>
      </c>
      <c r="P22" s="102">
        <f t="shared" si="9"/>
        <v>6.0736111111109494</v>
      </c>
    </row>
    <row r="23" spans="1:16" ht="15">
      <c r="A23" s="101" t="s">
        <v>31</v>
      </c>
      <c r="B23" s="101" t="str">
        <f t="shared" si="0"/>
        <v>WB 5B C</v>
      </c>
      <c r="C23">
        <f t="shared" ref="C23:C41" si="11">C22</f>
        <v>2</v>
      </c>
      <c r="D23" s="101" t="str">
        <f t="shared" si="1"/>
        <v/>
      </c>
      <c r="E23" s="101">
        <f>VLOOKUP($A23,Jar_Information!$B$23:$Q$42,16,FALSE)</f>
        <v>43333.603472222225</v>
      </c>
      <c r="F23" s="101">
        <f t="shared" si="2"/>
        <v>2018</v>
      </c>
      <c r="G23" s="101">
        <f t="shared" si="3"/>
        <v>8</v>
      </c>
      <c r="H23" s="101">
        <f t="shared" si="4"/>
        <v>21.603472222224809</v>
      </c>
      <c r="I23" s="103">
        <f>VLOOKUP($A23,IF(C23=1,'24.08.18'!$A$17:$N$36,'27.08.18'!$A$17:$N$36),2,FALSE)</f>
        <v>43339.678472222222</v>
      </c>
      <c r="J23" s="101">
        <f t="shared" si="5"/>
        <v>2018</v>
      </c>
      <c r="K23" s="101">
        <f t="shared" si="6"/>
        <v>8</v>
      </c>
      <c r="L23" s="101">
        <f t="shared" si="7"/>
        <v>27.678472222221899</v>
      </c>
      <c r="M23" s="101" t="s">
        <v>164</v>
      </c>
      <c r="N23" s="102">
        <f t="shared" si="8"/>
        <v>6.0749999999970896</v>
      </c>
      <c r="O23" s="101">
        <f>VLOOKUP($A23,IF(C23=1,'24.08.18'!$A$17:$N$36,'27.08.18'!$A$17:$N$36),14,FALSE)</f>
        <v>64.227320278872227</v>
      </c>
      <c r="P23" s="102">
        <f t="shared" si="9"/>
        <v>6.0749999999970896</v>
      </c>
    </row>
    <row r="24" spans="1:16" ht="15">
      <c r="A24" s="101" t="s">
        <v>32</v>
      </c>
      <c r="B24" s="101" t="str">
        <f t="shared" si="0"/>
        <v>WB 8B C</v>
      </c>
      <c r="C24">
        <f t="shared" si="11"/>
        <v>2</v>
      </c>
      <c r="D24" s="101" t="str">
        <f t="shared" si="1"/>
        <v/>
      </c>
      <c r="E24" s="101">
        <f>VLOOKUP($A24,Jar_Information!$B$23:$Q$42,16,FALSE)</f>
        <v>43333.603472222225</v>
      </c>
      <c r="F24" s="101">
        <f t="shared" si="2"/>
        <v>2018</v>
      </c>
      <c r="G24" s="101">
        <f t="shared" si="3"/>
        <v>8</v>
      </c>
      <c r="H24" s="101">
        <f t="shared" si="4"/>
        <v>21.603472222224809</v>
      </c>
      <c r="I24" s="103">
        <f>VLOOKUP($A24,IF(C24=1,'24.08.18'!$A$17:$N$36,'27.08.18'!$A$17:$N$36),2,FALSE)</f>
        <v>43339.679861111108</v>
      </c>
      <c r="J24" s="101">
        <f t="shared" si="5"/>
        <v>2018</v>
      </c>
      <c r="K24" s="101">
        <f t="shared" si="6"/>
        <v>8</v>
      </c>
      <c r="L24" s="101">
        <f t="shared" si="7"/>
        <v>27.679861111108039</v>
      </c>
      <c r="M24" s="101" t="s">
        <v>164</v>
      </c>
      <c r="N24" s="102">
        <f t="shared" si="8"/>
        <v>6.0763888888832298</v>
      </c>
      <c r="O24" s="101">
        <f>VLOOKUP($A24,IF(C24=1,'24.08.18'!$A$17:$N$36,'27.08.18'!$A$17:$N$36),14,FALSE)</f>
        <v>46.740743606562972</v>
      </c>
      <c r="P24" s="102">
        <f t="shared" si="9"/>
        <v>6.0763888888832298</v>
      </c>
    </row>
    <row r="25" spans="1:16" ht="15">
      <c r="A25" s="101" t="s">
        <v>33</v>
      </c>
      <c r="B25" s="101" t="str">
        <f t="shared" si="0"/>
        <v>WB 3E C</v>
      </c>
      <c r="C25">
        <f t="shared" si="11"/>
        <v>2</v>
      </c>
      <c r="D25" s="101" t="str">
        <f t="shared" si="1"/>
        <v/>
      </c>
      <c r="E25" s="101">
        <f>VLOOKUP($A25,Jar_Information!$B$23:$Q$42,16,FALSE)</f>
        <v>43333.65902777778</v>
      </c>
      <c r="F25" s="101">
        <f t="shared" si="2"/>
        <v>2018</v>
      </c>
      <c r="G25" s="101">
        <f t="shared" si="3"/>
        <v>8</v>
      </c>
      <c r="H25" s="101">
        <f t="shared" si="4"/>
        <v>21.659027777779556</v>
      </c>
      <c r="I25" s="103">
        <f>VLOOKUP($A25,IF(C25=1,'24.08.18'!$A$17:$N$36,'27.08.18'!$A$17:$N$36),2,FALSE)</f>
        <v>43339.681250000001</v>
      </c>
      <c r="J25" s="101">
        <f t="shared" si="5"/>
        <v>2018</v>
      </c>
      <c r="K25" s="101">
        <f t="shared" si="6"/>
        <v>8</v>
      </c>
      <c r="L25" s="101">
        <f t="shared" si="7"/>
        <v>27.681250000001455</v>
      </c>
      <c r="M25" s="101" t="s">
        <v>164</v>
      </c>
      <c r="N25" s="102">
        <f t="shared" si="8"/>
        <v>6.0222222222218988</v>
      </c>
      <c r="O25" s="101">
        <f>VLOOKUP($A25,IF(C25=1,'24.08.18'!$A$17:$N$36,'27.08.18'!$A$17:$N$36),14,FALSE)</f>
        <v>24.213768755975266</v>
      </c>
      <c r="P25" s="102">
        <f t="shared" si="9"/>
        <v>6.0222222222218988</v>
      </c>
    </row>
    <row r="26" spans="1:16" ht="15">
      <c r="A26" t="s">
        <v>34</v>
      </c>
      <c r="B26" s="101" t="str">
        <f t="shared" si="0"/>
        <v>WB 6E C</v>
      </c>
      <c r="C26">
        <f t="shared" si="11"/>
        <v>2</v>
      </c>
      <c r="D26" s="101" t="str">
        <f t="shared" si="1"/>
        <v/>
      </c>
      <c r="E26" s="101">
        <f>VLOOKUP($A26,Jar_Information!$B$23:$Q$42,16,FALSE)</f>
        <v>43333.603472222225</v>
      </c>
      <c r="F26" s="101">
        <f t="shared" si="2"/>
        <v>2018</v>
      </c>
      <c r="G26" s="101">
        <f t="shared" si="3"/>
        <v>8</v>
      </c>
      <c r="H26" s="101">
        <f t="shared" si="4"/>
        <v>21.603472222224809</v>
      </c>
      <c r="I26" s="103">
        <f>VLOOKUP($A26,IF(C26=1,'24.08.18'!$A$17:$N$36,'27.08.18'!$A$17:$N$36),2,FALSE)</f>
        <v>43339.682638888888</v>
      </c>
      <c r="J26" s="101">
        <f t="shared" si="5"/>
        <v>2018</v>
      </c>
      <c r="K26" s="101">
        <f t="shared" si="6"/>
        <v>8</v>
      </c>
      <c r="L26" s="101">
        <f t="shared" si="7"/>
        <v>27.682638888887595</v>
      </c>
      <c r="M26" s="101" t="s">
        <v>164</v>
      </c>
      <c r="N26" s="102">
        <f t="shared" si="8"/>
        <v>6.0791666666627862</v>
      </c>
      <c r="O26" s="101">
        <f>VLOOKUP($A26,IF(C26=1,'24.08.18'!$A$17:$N$36,'27.08.18'!$A$17:$N$36),14,FALSE)</f>
        <v>14.866363805969918</v>
      </c>
      <c r="P26" s="102">
        <f t="shared" si="9"/>
        <v>6.0791666666627862</v>
      </c>
    </row>
    <row r="27" spans="1:16" ht="15">
      <c r="A27" t="s">
        <v>35</v>
      </c>
      <c r="B27" s="101" t="str">
        <f t="shared" si="0"/>
        <v>WB 7E C</v>
      </c>
      <c r="C27">
        <f t="shared" si="11"/>
        <v>2</v>
      </c>
      <c r="D27" s="101" t="str">
        <f t="shared" si="1"/>
        <v/>
      </c>
      <c r="E27" s="101">
        <f>VLOOKUP($A27,Jar_Information!$B$23:$Q$42,16,FALSE)</f>
        <v>43333.65902777778</v>
      </c>
      <c r="F27" s="101">
        <f t="shared" si="2"/>
        <v>2018</v>
      </c>
      <c r="G27" s="101">
        <f t="shared" si="3"/>
        <v>8</v>
      </c>
      <c r="H27" s="101">
        <f t="shared" si="4"/>
        <v>21.659027777779556</v>
      </c>
      <c r="I27" s="103">
        <f>VLOOKUP($A27,IF(C27=1,'24.08.18'!$A$17:$N$36,'27.08.18'!$A$17:$N$36),2,FALSE)</f>
        <v>43339.684027777781</v>
      </c>
      <c r="J27" s="101">
        <f t="shared" si="5"/>
        <v>2018</v>
      </c>
      <c r="K27" s="101">
        <f t="shared" si="6"/>
        <v>8</v>
      </c>
      <c r="L27" s="101">
        <f t="shared" si="7"/>
        <v>27.684027777781012</v>
      </c>
      <c r="M27" s="101" t="s">
        <v>164</v>
      </c>
      <c r="N27" s="102">
        <f t="shared" si="8"/>
        <v>6.0250000000014552</v>
      </c>
      <c r="O27" s="101">
        <f>VLOOKUP($A27,IF(C27=1,'24.08.18'!$A$17:$N$36,'27.08.18'!$A$17:$N$36),14,FALSE)</f>
        <v>35.847849924589411</v>
      </c>
      <c r="P27" s="102">
        <f t="shared" si="9"/>
        <v>6.0250000000014552</v>
      </c>
    </row>
    <row r="28" spans="1:16" ht="15">
      <c r="A28" t="s">
        <v>36</v>
      </c>
      <c r="B28" s="101" t="str">
        <f t="shared" si="0"/>
        <v>HEW26</v>
      </c>
      <c r="C28">
        <f t="shared" si="11"/>
        <v>2</v>
      </c>
      <c r="D28" s="101" t="str">
        <f t="shared" si="1"/>
        <v/>
      </c>
      <c r="E28" s="101">
        <f>VLOOKUP($A28,Jar_Information!$B$23:$Q$42,16,FALSE)</f>
        <v>43333.65902777778</v>
      </c>
      <c r="F28" s="101">
        <f t="shared" si="2"/>
        <v>2018</v>
      </c>
      <c r="G28" s="101">
        <f t="shared" si="3"/>
        <v>8</v>
      </c>
      <c r="H28" s="101">
        <f t="shared" si="4"/>
        <v>21.659027777779556</v>
      </c>
      <c r="I28" s="103">
        <f>VLOOKUP($A28,IF(C28=1,'24.08.18'!$A$17:$N$36,'27.08.18'!$A$17:$N$36),2,FALSE)</f>
        <v>43339.670138888891</v>
      </c>
      <c r="J28" s="101">
        <f t="shared" si="5"/>
        <v>2018</v>
      </c>
      <c r="K28" s="101">
        <f t="shared" si="6"/>
        <v>8</v>
      </c>
      <c r="L28" s="101">
        <f t="shared" si="7"/>
        <v>27.670138888890506</v>
      </c>
      <c r="M28" s="101" t="s">
        <v>164</v>
      </c>
      <c r="N28" s="102">
        <f t="shared" si="8"/>
        <v>6.0111111111109494</v>
      </c>
      <c r="O28" s="101">
        <f>VLOOKUP($A28,IF(C28=1,'24.08.18'!$A$17:$N$36,'27.08.18'!$A$17:$N$36),14,FALSE)</f>
        <v>32.247966182886486</v>
      </c>
      <c r="P28" s="102">
        <f t="shared" si="9"/>
        <v>6.0111111111109494</v>
      </c>
    </row>
    <row r="29" spans="1:16" ht="15">
      <c r="A29" t="s">
        <v>37</v>
      </c>
      <c r="B29" s="101" t="str">
        <f t="shared" si="0"/>
        <v>HEW26</v>
      </c>
      <c r="C29">
        <f t="shared" si="11"/>
        <v>2</v>
      </c>
      <c r="D29" s="101" t="str">
        <f t="shared" si="1"/>
        <v/>
      </c>
      <c r="E29" s="101">
        <f>VLOOKUP($A29,Jar_Information!$B$23:$Q$42,16,FALSE)</f>
        <v>43333.65902777778</v>
      </c>
      <c r="F29" s="101">
        <f t="shared" si="2"/>
        <v>2018</v>
      </c>
      <c r="G29" s="101">
        <f t="shared" si="3"/>
        <v>8</v>
      </c>
      <c r="H29" s="101">
        <f t="shared" si="4"/>
        <v>21.659027777779556</v>
      </c>
      <c r="I29" s="103">
        <f>VLOOKUP($A29,IF(C29=1,'24.08.18'!$A$17:$N$36,'27.08.18'!$A$17:$N$36),2,FALSE)</f>
        <v>43339.671527777777</v>
      </c>
      <c r="J29" s="101">
        <f t="shared" si="5"/>
        <v>2018</v>
      </c>
      <c r="K29" s="101">
        <f t="shared" si="6"/>
        <v>8</v>
      </c>
      <c r="L29" s="101">
        <f t="shared" si="7"/>
        <v>27.671527777776646</v>
      </c>
      <c r="M29" s="101" t="s">
        <v>164</v>
      </c>
      <c r="N29" s="102">
        <f t="shared" si="8"/>
        <v>6.0124999999970896</v>
      </c>
      <c r="O29" s="101">
        <f>VLOOKUP($A29,IF(C29=1,'24.08.18'!$A$17:$N$36,'27.08.18'!$A$17:$N$36),14,FALSE)</f>
        <v>29.250386143530307</v>
      </c>
      <c r="P29" s="102">
        <f t="shared" si="9"/>
        <v>6.0124999999970896</v>
      </c>
    </row>
    <row r="30" spans="1:16" ht="15">
      <c r="A30" t="s">
        <v>38</v>
      </c>
      <c r="B30" s="101" t="str">
        <f t="shared" si="0"/>
        <v>HEW47</v>
      </c>
      <c r="C30">
        <f t="shared" si="11"/>
        <v>2</v>
      </c>
      <c r="D30" s="101" t="str">
        <f t="shared" si="1"/>
        <v/>
      </c>
      <c r="E30" s="101">
        <f>VLOOKUP($A30,Jar_Information!$B$23:$Q$42,16,FALSE)</f>
        <v>43333.65902777778</v>
      </c>
      <c r="F30" s="101">
        <f t="shared" si="2"/>
        <v>2018</v>
      </c>
      <c r="G30" s="101">
        <f t="shared" si="3"/>
        <v>8</v>
      </c>
      <c r="H30" s="101">
        <f t="shared" si="4"/>
        <v>21.659027777779556</v>
      </c>
      <c r="I30" s="103">
        <f>VLOOKUP($A30,IF(C30=1,'24.08.18'!$A$17:$N$36,'27.08.18'!$A$17:$N$36),2,FALSE)</f>
        <v>0</v>
      </c>
      <c r="J30" s="101">
        <f t="shared" si="5"/>
        <v>1900</v>
      </c>
      <c r="K30" s="101">
        <f t="shared" si="6"/>
        <v>1</v>
      </c>
      <c r="L30" s="101">
        <f t="shared" si="7"/>
        <v>0</v>
      </c>
      <c r="M30" s="101" t="s">
        <v>164</v>
      </c>
      <c r="N30" s="102" t="str">
        <f t="shared" si="8"/>
        <v/>
      </c>
      <c r="O30" s="101" t="e">
        <f>VLOOKUP($A30,IF(C30=1,'24.08.18'!$A$17:$N$36,'27.08.18'!$A$17:$N$36),14,FALSE)</f>
        <v>#DIV/0!</v>
      </c>
      <c r="P30" s="102" t="str">
        <f t="shared" si="9"/>
        <v/>
      </c>
    </row>
    <row r="31" spans="1:16" ht="15">
      <c r="A31" t="s">
        <v>39</v>
      </c>
      <c r="B31" s="101" t="str">
        <f t="shared" si="0"/>
        <v>HEW47</v>
      </c>
      <c r="C31">
        <f t="shared" si="11"/>
        <v>2</v>
      </c>
      <c r="D31" s="101" t="str">
        <f t="shared" si="1"/>
        <v/>
      </c>
      <c r="E31" s="101">
        <f>VLOOKUP($A31,Jar_Information!$B$23:$Q$42,16,FALSE)</f>
        <v>43333.663194444445</v>
      </c>
      <c r="F31" s="101">
        <f t="shared" si="2"/>
        <v>2018</v>
      </c>
      <c r="G31" s="101">
        <f t="shared" si="3"/>
        <v>8</v>
      </c>
      <c r="H31" s="101">
        <f t="shared" si="4"/>
        <v>21.663194444445253</v>
      </c>
      <c r="I31" s="103">
        <f>VLOOKUP($A31,IF(C31=1,'24.08.18'!$A$17:$N$36,'27.08.18'!$A$17:$N$36),2,FALSE)</f>
        <v>0</v>
      </c>
      <c r="J31" s="101">
        <f t="shared" si="5"/>
        <v>1900</v>
      </c>
      <c r="K31" s="101">
        <f t="shared" si="6"/>
        <v>1</v>
      </c>
      <c r="L31" s="101">
        <f t="shared" si="7"/>
        <v>0</v>
      </c>
      <c r="M31" s="101" t="s">
        <v>164</v>
      </c>
      <c r="N31" s="102" t="str">
        <f t="shared" si="8"/>
        <v/>
      </c>
      <c r="O31" s="101" t="e">
        <f>VLOOKUP($A31,IF(C31=1,'24.08.18'!$A$17:$N$36,'27.08.18'!$A$17:$N$36),14,FALSE)</f>
        <v>#DIV/0!</v>
      </c>
      <c r="P31" s="102" t="str">
        <f t="shared" si="9"/>
        <v/>
      </c>
    </row>
    <row r="32" spans="1:16" ht="15">
      <c r="A32" t="s">
        <v>40</v>
      </c>
      <c r="B32" s="101" t="str">
        <f t="shared" si="0"/>
        <v>HEG20</v>
      </c>
      <c r="C32">
        <f t="shared" si="11"/>
        <v>2</v>
      </c>
      <c r="D32" s="101" t="str">
        <f t="shared" si="1"/>
        <v/>
      </c>
      <c r="E32" s="101">
        <f>VLOOKUP($A32,Jar_Information!$B$23:$Q$42,16,FALSE)</f>
        <v>43333.663194444445</v>
      </c>
      <c r="F32" s="101">
        <f t="shared" si="2"/>
        <v>2018</v>
      </c>
      <c r="G32" s="101">
        <f t="shared" si="3"/>
        <v>8</v>
      </c>
      <c r="H32" s="101">
        <f t="shared" si="4"/>
        <v>21.663194444445253</v>
      </c>
      <c r="I32" s="103">
        <f>VLOOKUP($A32,IF(C32=1,'24.08.18'!$A$17:$N$36,'27.08.18'!$A$17:$N$36),2,FALSE)</f>
        <v>0</v>
      </c>
      <c r="J32" s="101">
        <f t="shared" si="5"/>
        <v>1900</v>
      </c>
      <c r="K32" s="101">
        <f t="shared" si="6"/>
        <v>1</v>
      </c>
      <c r="L32" s="101">
        <f t="shared" si="7"/>
        <v>0</v>
      </c>
      <c r="M32" s="101" t="s">
        <v>164</v>
      </c>
      <c r="N32" s="102" t="str">
        <f t="shared" si="8"/>
        <v/>
      </c>
      <c r="O32" s="101" t="e">
        <f>VLOOKUP($A32,IF(C32=1,'24.08.18'!$A$17:$N$36,'27.08.18'!$A$17:$N$36),14,FALSE)</f>
        <v>#DIV/0!</v>
      </c>
      <c r="P32" s="102" t="str">
        <f t="shared" si="9"/>
        <v/>
      </c>
    </row>
    <row r="33" spans="1:16" ht="15">
      <c r="A33" t="s">
        <v>41</v>
      </c>
      <c r="B33" s="101" t="str">
        <f t="shared" si="0"/>
        <v>HEG20</v>
      </c>
      <c r="C33">
        <f t="shared" si="11"/>
        <v>2</v>
      </c>
      <c r="D33" s="101" t="str">
        <f t="shared" si="1"/>
        <v/>
      </c>
      <c r="E33" s="101">
        <f>VLOOKUP($A33,Jar_Information!$B$23:$Q$42,16,FALSE)</f>
        <v>43333.663194444445</v>
      </c>
      <c r="F33" s="101">
        <f t="shared" si="2"/>
        <v>2018</v>
      </c>
      <c r="G33" s="101">
        <f t="shared" si="3"/>
        <v>8</v>
      </c>
      <c r="H33" s="101">
        <f t="shared" si="4"/>
        <v>21.663194444445253</v>
      </c>
      <c r="I33" s="103">
        <f>VLOOKUP($A33,IF(C33=1,'24.08.18'!$A$17:$N$36,'27.08.18'!$A$17:$N$36),2,FALSE)</f>
        <v>0</v>
      </c>
      <c r="J33" s="101">
        <f t="shared" si="5"/>
        <v>1900</v>
      </c>
      <c r="K33" s="101">
        <f t="shared" si="6"/>
        <v>1</v>
      </c>
      <c r="L33" s="101">
        <f t="shared" si="7"/>
        <v>0</v>
      </c>
      <c r="M33" s="101" t="s">
        <v>164</v>
      </c>
      <c r="N33" s="102" t="str">
        <f t="shared" si="8"/>
        <v/>
      </c>
      <c r="O33" s="101" t="e">
        <f>VLOOKUP($A33,IF(C33=1,'24.08.18'!$A$17:$N$36,'27.08.18'!$A$17:$N$36),14,FALSE)</f>
        <v>#DIV/0!</v>
      </c>
      <c r="P33" s="102" t="str">
        <f t="shared" si="9"/>
        <v/>
      </c>
    </row>
    <row r="34" spans="1:16" ht="15">
      <c r="A34" t="s">
        <v>42</v>
      </c>
      <c r="B34" s="101" t="str">
        <f t="shared" si="0"/>
        <v>HEG20</v>
      </c>
      <c r="C34">
        <f t="shared" si="11"/>
        <v>2</v>
      </c>
      <c r="D34" s="101" t="str">
        <f t="shared" si="1"/>
        <v/>
      </c>
      <c r="E34" s="101">
        <f>VLOOKUP($A34,Jar_Information!$B$23:$Q$42,16,FALSE)</f>
        <v>43333.663194444445</v>
      </c>
      <c r="F34" s="101">
        <f t="shared" si="2"/>
        <v>2018</v>
      </c>
      <c r="G34" s="101">
        <f t="shared" si="3"/>
        <v>8</v>
      </c>
      <c r="H34" s="101">
        <f t="shared" si="4"/>
        <v>21.663194444445253</v>
      </c>
      <c r="I34" s="103">
        <f>VLOOKUP($A34,IF(C34=1,'24.08.18'!$A$17:$N$36,'27.08.18'!$A$17:$N$36),2,FALSE)</f>
        <v>0</v>
      </c>
      <c r="J34" s="101">
        <f t="shared" si="5"/>
        <v>1900</v>
      </c>
      <c r="K34" s="101">
        <f t="shared" si="6"/>
        <v>1</v>
      </c>
      <c r="L34" s="101">
        <f t="shared" si="7"/>
        <v>0</v>
      </c>
      <c r="M34" s="101" t="s">
        <v>164</v>
      </c>
      <c r="N34" s="102" t="str">
        <f t="shared" si="8"/>
        <v/>
      </c>
      <c r="O34" s="101" t="e">
        <f>VLOOKUP($A34,IF(C34=1,'24.08.18'!$A$17:$N$36,'27.08.18'!$A$17:$N$36),14,FALSE)</f>
        <v>#DIV/0!</v>
      </c>
      <c r="P34" s="102" t="str">
        <f t="shared" si="9"/>
        <v/>
      </c>
    </row>
    <row r="35" spans="1:16" ht="15">
      <c r="A35" t="s">
        <v>43</v>
      </c>
      <c r="B35" s="101" t="str">
        <f t="shared" si="0"/>
        <v>HEG33</v>
      </c>
      <c r="C35">
        <f t="shared" si="11"/>
        <v>2</v>
      </c>
      <c r="D35" s="101" t="str">
        <f t="shared" si="1"/>
        <v/>
      </c>
      <c r="E35" s="101">
        <f>VLOOKUP($A35,Jar_Information!$B$23:$Q$42,16,FALSE)</f>
        <v>43333.663194444445</v>
      </c>
      <c r="F35" s="101">
        <f t="shared" si="2"/>
        <v>2018</v>
      </c>
      <c r="G35" s="101">
        <f t="shared" si="3"/>
        <v>8</v>
      </c>
      <c r="H35" s="101">
        <f t="shared" si="4"/>
        <v>21.663194444445253</v>
      </c>
      <c r="I35" s="103">
        <f>VLOOKUP($A35,IF(C35=1,'24.08.18'!$A$17:$N$36,'27.08.18'!$A$17:$N$36),2,FALSE)</f>
        <v>0</v>
      </c>
      <c r="J35" s="101">
        <f t="shared" si="5"/>
        <v>1900</v>
      </c>
      <c r="K35" s="101">
        <f t="shared" si="6"/>
        <v>1</v>
      </c>
      <c r="L35" s="101">
        <f t="shared" si="7"/>
        <v>0</v>
      </c>
      <c r="M35" s="101" t="s">
        <v>164</v>
      </c>
      <c r="N35" s="102" t="str">
        <f t="shared" si="8"/>
        <v/>
      </c>
      <c r="O35" s="101" t="e">
        <f>VLOOKUP($A35,IF(C35=1,'24.08.18'!$A$17:$N$36,'27.08.18'!$A$17:$N$36),14,FALSE)</f>
        <v>#DIV/0!</v>
      </c>
      <c r="P35" s="102" t="str">
        <f t="shared" si="9"/>
        <v/>
      </c>
    </row>
    <row r="36" spans="1:16" ht="15">
      <c r="A36" t="s">
        <v>44</v>
      </c>
      <c r="B36" s="101" t="str">
        <f t="shared" si="0"/>
        <v>HEG33</v>
      </c>
      <c r="C36">
        <f t="shared" si="11"/>
        <v>2</v>
      </c>
      <c r="D36" s="101" t="str">
        <f t="shared" si="1"/>
        <v/>
      </c>
      <c r="E36" s="101">
        <f>VLOOKUP($A36,Jar_Information!$B$23:$Q$42,16,FALSE)</f>
        <v>43333.663194444445</v>
      </c>
      <c r="F36" s="101">
        <f t="shared" si="2"/>
        <v>2018</v>
      </c>
      <c r="G36" s="101">
        <f t="shared" si="3"/>
        <v>8</v>
      </c>
      <c r="H36" s="101">
        <f t="shared" si="4"/>
        <v>21.663194444445253</v>
      </c>
      <c r="I36" s="103">
        <f>VLOOKUP($A36,IF(C36=1,'24.08.18'!$A$17:$N$36,'27.08.18'!$A$17:$N$36),2,FALSE)</f>
        <v>0</v>
      </c>
      <c r="J36" s="101">
        <f t="shared" si="5"/>
        <v>1900</v>
      </c>
      <c r="K36" s="101">
        <f t="shared" si="6"/>
        <v>1</v>
      </c>
      <c r="L36" s="101">
        <f t="shared" si="7"/>
        <v>0</v>
      </c>
      <c r="M36" s="101" t="s">
        <v>164</v>
      </c>
      <c r="N36" s="102" t="str">
        <f t="shared" si="8"/>
        <v/>
      </c>
      <c r="O36" s="101" t="e">
        <f>VLOOKUP($A36,IF(C36=1,'24.08.18'!$A$17:$N$36,'27.08.18'!$A$17:$N$36),14,FALSE)</f>
        <v>#DIV/0!</v>
      </c>
      <c r="P36" s="102" t="str">
        <f t="shared" si="9"/>
        <v/>
      </c>
    </row>
    <row r="37" spans="1:16" ht="15">
      <c r="A37" t="s">
        <v>45</v>
      </c>
      <c r="B37" s="101" t="str">
        <f t="shared" si="0"/>
        <v>HEG33</v>
      </c>
      <c r="C37">
        <f t="shared" si="11"/>
        <v>2</v>
      </c>
      <c r="D37" s="101" t="str">
        <f t="shared" si="1"/>
        <v/>
      </c>
      <c r="E37" s="101">
        <f>VLOOKUP($A37,Jar_Information!$B$23:$Q$42,16,FALSE)</f>
        <v>43333.667361111111</v>
      </c>
      <c r="F37" s="101">
        <f t="shared" si="2"/>
        <v>2018</v>
      </c>
      <c r="G37" s="101">
        <f t="shared" si="3"/>
        <v>8</v>
      </c>
      <c r="H37" s="101">
        <f t="shared" si="4"/>
        <v>21.667361111110949</v>
      </c>
      <c r="I37" s="103">
        <f>VLOOKUP($A37,IF(C37=1,'24.08.18'!$A$17:$N$36,'27.08.18'!$A$17:$N$36),2,FALSE)</f>
        <v>0</v>
      </c>
      <c r="J37" s="101">
        <f t="shared" si="5"/>
        <v>1900</v>
      </c>
      <c r="K37" s="101">
        <f t="shared" si="6"/>
        <v>1</v>
      </c>
      <c r="L37" s="101">
        <f t="shared" si="7"/>
        <v>0</v>
      </c>
      <c r="M37" s="101" t="s">
        <v>164</v>
      </c>
      <c r="N37" s="102" t="str">
        <f t="shared" si="8"/>
        <v/>
      </c>
      <c r="O37" s="101" t="e">
        <f>VLOOKUP($A37,IF(C37=1,'24.08.18'!$A$17:$N$36,'27.08.18'!$A$17:$N$36),14,FALSE)</f>
        <v>#DIV/0!</v>
      </c>
      <c r="P37" s="102" t="str">
        <f t="shared" si="9"/>
        <v/>
      </c>
    </row>
    <row r="38" spans="1:16" ht="15">
      <c r="A38" t="s">
        <v>46</v>
      </c>
      <c r="B38" s="101" t="str">
        <f t="shared" si="0"/>
        <v>HEG6</v>
      </c>
      <c r="C38">
        <f t="shared" si="11"/>
        <v>2</v>
      </c>
      <c r="D38" s="101" t="str">
        <f t="shared" si="1"/>
        <v/>
      </c>
      <c r="E38" s="101">
        <f>VLOOKUP($A38,Jar_Information!$B$23:$Q$42,16,FALSE)</f>
        <v>43333.667361111111</v>
      </c>
      <c r="F38" s="101">
        <f t="shared" si="2"/>
        <v>2018</v>
      </c>
      <c r="G38" s="101">
        <f t="shared" si="3"/>
        <v>8</v>
      </c>
      <c r="H38" s="101">
        <f t="shared" si="4"/>
        <v>21.667361111110949</v>
      </c>
      <c r="I38" s="103">
        <f>VLOOKUP($A38,IF(C38=1,'24.08.18'!$A$17:$N$36,'27.08.18'!$A$17:$N$36),2,FALSE)</f>
        <v>0</v>
      </c>
      <c r="J38" s="101">
        <f t="shared" si="5"/>
        <v>1900</v>
      </c>
      <c r="K38" s="101">
        <f t="shared" si="6"/>
        <v>1</v>
      </c>
      <c r="L38" s="101">
        <f t="shared" si="7"/>
        <v>0</v>
      </c>
      <c r="M38" s="101" t="s">
        <v>164</v>
      </c>
      <c r="N38" s="102" t="str">
        <f t="shared" si="8"/>
        <v/>
      </c>
      <c r="O38" s="101" t="e">
        <f>VLOOKUP($A38,IF(C38=1,'24.08.18'!$A$17:$N$36,'27.08.18'!$A$17:$N$36),14,FALSE)</f>
        <v>#DIV/0!</v>
      </c>
      <c r="P38" s="102" t="str">
        <f t="shared" si="9"/>
        <v/>
      </c>
    </row>
    <row r="39" spans="1:16" ht="15">
      <c r="A39" t="s">
        <v>47</v>
      </c>
      <c r="B39" s="101" t="str">
        <f t="shared" si="0"/>
        <v>HEG6</v>
      </c>
      <c r="C39">
        <f t="shared" si="11"/>
        <v>2</v>
      </c>
      <c r="D39" s="101" t="str">
        <f t="shared" si="1"/>
        <v/>
      </c>
      <c r="E39" s="101">
        <f>VLOOKUP($A39,Jar_Information!$B$23:$Q$42,16,FALSE)</f>
        <v>43333.667361111111</v>
      </c>
      <c r="F39" s="101">
        <f t="shared" si="2"/>
        <v>2018</v>
      </c>
      <c r="G39" s="101">
        <f t="shared" si="3"/>
        <v>8</v>
      </c>
      <c r="H39" s="101">
        <f t="shared" si="4"/>
        <v>21.667361111110949</v>
      </c>
      <c r="I39" s="103">
        <f>VLOOKUP($A39,IF(C39=1,'24.08.18'!$A$17:$N$36,'27.08.18'!$A$17:$N$36),2,FALSE)</f>
        <v>0</v>
      </c>
      <c r="J39" s="101">
        <f t="shared" si="5"/>
        <v>1900</v>
      </c>
      <c r="K39" s="101">
        <f t="shared" si="6"/>
        <v>1</v>
      </c>
      <c r="L39" s="101">
        <f t="shared" si="7"/>
        <v>0</v>
      </c>
      <c r="M39" s="101" t="s">
        <v>164</v>
      </c>
      <c r="N39" s="102" t="str">
        <f t="shared" si="8"/>
        <v/>
      </c>
      <c r="O39" s="101" t="e">
        <f>VLOOKUP($A39,IF(C39=1,'24.08.18'!$A$17:$N$36,'27.08.18'!$A$17:$N$36),14,FALSE)</f>
        <v>#DIV/0!</v>
      </c>
      <c r="P39" s="102" t="str">
        <f t="shared" si="9"/>
        <v/>
      </c>
    </row>
    <row r="40" spans="1:16" ht="15">
      <c r="A40" t="s">
        <v>48</v>
      </c>
      <c r="B40" s="101" t="str">
        <f t="shared" si="0"/>
        <v>HEG6</v>
      </c>
      <c r="C40">
        <f t="shared" si="11"/>
        <v>2</v>
      </c>
      <c r="D40" s="101" t="str">
        <f t="shared" si="1"/>
        <v/>
      </c>
      <c r="E40" s="101">
        <f>VLOOKUP($A40,Jar_Information!$B$23:$Q$42,16,FALSE)</f>
        <v>43333.667361111111</v>
      </c>
      <c r="F40" s="101">
        <f t="shared" si="2"/>
        <v>2018</v>
      </c>
      <c r="G40" s="101">
        <f t="shared" si="3"/>
        <v>8</v>
      </c>
      <c r="H40" s="101">
        <f t="shared" si="4"/>
        <v>21.667361111110949</v>
      </c>
      <c r="I40" s="103">
        <f>VLOOKUP($A40,IF(C40=1,'24.08.18'!$A$17:$N$36,'27.08.18'!$A$17:$N$36),2,FALSE)</f>
        <v>0</v>
      </c>
      <c r="J40" s="101">
        <f t="shared" si="5"/>
        <v>1900</v>
      </c>
      <c r="K40" s="101">
        <f t="shared" si="6"/>
        <v>1</v>
      </c>
      <c r="L40" s="101">
        <f t="shared" si="7"/>
        <v>0</v>
      </c>
      <c r="M40" s="101" t="s">
        <v>164</v>
      </c>
      <c r="N40" s="102" t="str">
        <f t="shared" si="8"/>
        <v/>
      </c>
      <c r="O40" s="101" t="e">
        <f>VLOOKUP($A40,IF(C40=1,'24.08.18'!$A$17:$N$36,'27.08.18'!$A$17:$N$36),14,FALSE)</f>
        <v>#DIV/0!</v>
      </c>
      <c r="P40" s="102" t="str">
        <f t="shared" si="9"/>
        <v/>
      </c>
    </row>
    <row r="41" spans="1:16" ht="15">
      <c r="A41" t="s">
        <v>49</v>
      </c>
      <c r="B41" s="101" t="str">
        <f t="shared" si="0"/>
        <v>HEW49</v>
      </c>
      <c r="C41">
        <f t="shared" si="11"/>
        <v>2</v>
      </c>
      <c r="D41" s="101" t="str">
        <f t="shared" si="1"/>
        <v/>
      </c>
      <c r="E41" s="101">
        <f>VLOOKUP($A41,Jar_Information!$B$23:$Q$42,16,FALSE)</f>
        <v>43333.667361111111</v>
      </c>
      <c r="F41" s="101">
        <f t="shared" si="2"/>
        <v>2018</v>
      </c>
      <c r="G41" s="101">
        <f t="shared" si="3"/>
        <v>8</v>
      </c>
      <c r="H41" s="101">
        <f t="shared" si="4"/>
        <v>21.667361111110949</v>
      </c>
      <c r="I41" s="103">
        <f>VLOOKUP($A41,IF(C41=1,'24.08.18'!$A$17:$N$36,'27.08.18'!$A$17:$N$36),2,FALSE)</f>
        <v>43339.67291666667</v>
      </c>
      <c r="J41" s="101">
        <f t="shared" si="5"/>
        <v>2018</v>
      </c>
      <c r="K41" s="101">
        <f t="shared" si="6"/>
        <v>8</v>
      </c>
      <c r="L41" s="101">
        <f t="shared" si="7"/>
        <v>27.672916666670062</v>
      </c>
      <c r="M41" s="101" t="s">
        <v>164</v>
      </c>
      <c r="N41" s="102">
        <f t="shared" si="8"/>
        <v>6.0055555555591127</v>
      </c>
      <c r="O41" s="101">
        <f>VLOOKUP($A41,IF(C41=1,'24.08.18'!$A$17:$N$36,'27.08.18'!$A$17:$N$36),14,FALSE)</f>
        <v>24.646313777713921</v>
      </c>
      <c r="P41" s="102">
        <f t="shared" si="9"/>
        <v>6.0055555555591127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5" sqref="E35"/>
    </sheetView>
  </sheetViews>
  <sheetFormatPr baseColWidth="10" defaultColWidth="10.83203125" defaultRowHeight="14" x14ac:dyDescent="0"/>
  <cols>
    <col min="1" max="1" width="6.33203125" style="1" customWidth="1"/>
    <col min="2" max="2" width="10.83203125" style="1"/>
    <col min="3" max="4" width="15.5" style="1" customWidth="1"/>
    <col min="5" max="5" width="16.6640625" style="1" customWidth="1"/>
    <col min="6" max="6" width="6.33203125" style="1" customWidth="1"/>
    <col min="7" max="7" width="10.83203125" style="1"/>
    <col min="8" max="8" width="14.6640625" style="1" customWidth="1"/>
    <col min="9" max="9" width="14.83203125" style="1" customWidth="1"/>
    <col min="10" max="10" width="15.6640625" style="1" customWidth="1"/>
    <col min="11" max="16384" width="10.83203125" style="1"/>
  </cols>
  <sheetData>
    <row r="1" spans="1:10">
      <c r="A1" s="1" t="s">
        <v>73</v>
      </c>
      <c r="B1" s="1" t="s">
        <v>74</v>
      </c>
      <c r="C1" s="1" t="s">
        <v>70</v>
      </c>
      <c r="D1" s="1" t="s">
        <v>71</v>
      </c>
      <c r="E1" s="1" t="s">
        <v>72</v>
      </c>
      <c r="H1" s="1" t="s">
        <v>70</v>
      </c>
      <c r="I1" s="1" t="s">
        <v>71</v>
      </c>
      <c r="J1" s="1" t="s">
        <v>72</v>
      </c>
    </row>
    <row r="2" spans="1:10">
      <c r="A2" s="2">
        <v>1</v>
      </c>
      <c r="B2" s="2" t="s">
        <v>9</v>
      </c>
      <c r="C2" s="2"/>
      <c r="D2" s="2"/>
      <c r="E2" s="2"/>
      <c r="F2" s="2">
        <v>31</v>
      </c>
      <c r="G2" s="2" t="s">
        <v>40</v>
      </c>
      <c r="H2" s="2"/>
      <c r="I2" s="2"/>
      <c r="J2" s="2"/>
    </row>
    <row r="3" spans="1:10">
      <c r="A3" s="2">
        <v>2</v>
      </c>
      <c r="B3" s="2" t="s">
        <v>11</v>
      </c>
      <c r="C3" s="2"/>
      <c r="D3" s="2"/>
      <c r="E3" s="2"/>
      <c r="F3" s="2">
        <v>32</v>
      </c>
      <c r="G3" s="2" t="s">
        <v>41</v>
      </c>
      <c r="H3" s="2"/>
      <c r="I3" s="2"/>
      <c r="J3" s="2"/>
    </row>
    <row r="4" spans="1:10">
      <c r="A4" s="2">
        <v>3</v>
      </c>
      <c r="B4" s="2" t="s">
        <v>12</v>
      </c>
      <c r="C4" s="2"/>
      <c r="D4" s="2"/>
      <c r="E4" s="2"/>
      <c r="F4" s="2">
        <v>33</v>
      </c>
      <c r="G4" s="2" t="s">
        <v>42</v>
      </c>
      <c r="H4" s="2"/>
      <c r="I4" s="2"/>
      <c r="J4" s="2"/>
    </row>
    <row r="5" spans="1:10">
      <c r="A5" s="2">
        <v>4</v>
      </c>
      <c r="B5" s="2" t="s">
        <v>13</v>
      </c>
      <c r="C5" s="2"/>
      <c r="D5" s="2"/>
      <c r="E5" s="2"/>
      <c r="F5" s="2">
        <v>34</v>
      </c>
      <c r="G5" s="2" t="s">
        <v>43</v>
      </c>
      <c r="H5" s="2"/>
      <c r="I5" s="2"/>
      <c r="J5" s="2"/>
    </row>
    <row r="6" spans="1:10">
      <c r="A6" s="2">
        <v>5</v>
      </c>
      <c r="B6" s="2" t="s">
        <v>14</v>
      </c>
      <c r="C6" s="2"/>
      <c r="D6" s="2"/>
      <c r="E6" s="2"/>
      <c r="F6" s="2">
        <v>35</v>
      </c>
      <c r="G6" s="2" t="s">
        <v>44</v>
      </c>
      <c r="H6" s="2"/>
      <c r="I6" s="2"/>
      <c r="J6" s="2"/>
    </row>
    <row r="7" spans="1:10">
      <c r="A7" s="2">
        <v>6</v>
      </c>
      <c r="B7" s="2" t="s">
        <v>15</v>
      </c>
      <c r="C7" s="2"/>
      <c r="D7" s="2"/>
      <c r="E7" s="2"/>
      <c r="F7" s="2">
        <v>36</v>
      </c>
      <c r="G7" s="2" t="s">
        <v>45</v>
      </c>
      <c r="H7" s="2"/>
      <c r="I7" s="2"/>
      <c r="J7" s="2"/>
    </row>
    <row r="8" spans="1:10">
      <c r="A8" s="2">
        <v>7</v>
      </c>
      <c r="B8" s="2" t="s">
        <v>16</v>
      </c>
      <c r="C8" s="2"/>
      <c r="D8" s="2"/>
      <c r="E8" s="2"/>
      <c r="F8" s="2">
        <v>37</v>
      </c>
      <c r="G8" s="2" t="s">
        <v>46</v>
      </c>
      <c r="H8" s="2"/>
      <c r="I8" s="2"/>
      <c r="J8" s="2"/>
    </row>
    <row r="9" spans="1:10">
      <c r="A9" s="2">
        <v>8</v>
      </c>
      <c r="B9" s="2" t="s">
        <v>17</v>
      </c>
      <c r="C9" s="2"/>
      <c r="D9" s="2"/>
      <c r="E9" s="2"/>
      <c r="F9" s="2">
        <v>38</v>
      </c>
      <c r="G9" s="2" t="s">
        <v>47</v>
      </c>
      <c r="H9" s="2"/>
      <c r="I9" s="2"/>
      <c r="J9" s="2"/>
    </row>
    <row r="10" spans="1:10">
      <c r="A10" s="2">
        <v>9</v>
      </c>
      <c r="B10" s="2" t="s">
        <v>18</v>
      </c>
      <c r="C10" s="2"/>
      <c r="D10" s="2"/>
      <c r="E10" s="2"/>
      <c r="F10" s="2">
        <v>39</v>
      </c>
      <c r="G10" s="2" t="s">
        <v>48</v>
      </c>
      <c r="H10" s="2"/>
      <c r="I10" s="2"/>
      <c r="J10" s="2"/>
    </row>
    <row r="11" spans="1:10">
      <c r="A11" s="2">
        <v>10</v>
      </c>
      <c r="B11" s="2" t="s">
        <v>19</v>
      </c>
      <c r="C11" s="2"/>
      <c r="D11" s="2"/>
      <c r="E11" s="2"/>
      <c r="F11" s="2">
        <v>40</v>
      </c>
      <c r="G11" s="2" t="s">
        <v>49</v>
      </c>
      <c r="H11" s="2"/>
      <c r="I11" s="2"/>
      <c r="J11" s="2"/>
    </row>
    <row r="12" spans="1:10">
      <c r="A12" s="2">
        <v>11</v>
      </c>
      <c r="B12" s="2" t="s">
        <v>20</v>
      </c>
      <c r="C12" s="2"/>
      <c r="D12" s="2"/>
      <c r="E12" s="2"/>
      <c r="F12" s="2">
        <v>41</v>
      </c>
      <c r="G12" s="2" t="s">
        <v>50</v>
      </c>
      <c r="H12" s="2"/>
      <c r="I12" s="2"/>
      <c r="J12" s="2"/>
    </row>
    <row r="13" spans="1:10">
      <c r="A13" s="2">
        <v>12</v>
      </c>
      <c r="B13" s="2" t="s">
        <v>21</v>
      </c>
      <c r="C13" s="2"/>
      <c r="D13" s="2"/>
      <c r="E13" s="2"/>
      <c r="F13" s="2">
        <v>42</v>
      </c>
      <c r="G13" s="2" t="s">
        <v>51</v>
      </c>
      <c r="H13" s="2"/>
      <c r="I13" s="2"/>
      <c r="J13" s="2"/>
    </row>
    <row r="14" spans="1:10">
      <c r="A14" s="2">
        <v>13</v>
      </c>
      <c r="B14" s="2" t="s">
        <v>22</v>
      </c>
      <c r="C14" s="2"/>
      <c r="D14" s="2"/>
      <c r="E14" s="2"/>
      <c r="F14" s="2">
        <v>43</v>
      </c>
      <c r="G14" s="2" t="s">
        <v>52</v>
      </c>
      <c r="H14" s="2"/>
      <c r="I14" s="2"/>
      <c r="J14" s="2"/>
    </row>
    <row r="15" spans="1:10">
      <c r="A15" s="2">
        <v>14</v>
      </c>
      <c r="B15" s="2" t="s">
        <v>23</v>
      </c>
      <c r="C15" s="2"/>
      <c r="D15" s="2"/>
      <c r="E15" s="2"/>
      <c r="F15" s="2">
        <v>44</v>
      </c>
      <c r="G15" s="2" t="s">
        <v>53</v>
      </c>
      <c r="H15" s="2"/>
      <c r="I15" s="2"/>
      <c r="J15" s="2"/>
    </row>
    <row r="16" spans="1:10">
      <c r="A16" s="2">
        <v>15</v>
      </c>
      <c r="B16" s="2" t="s">
        <v>24</v>
      </c>
      <c r="C16" s="2"/>
      <c r="D16" s="2"/>
      <c r="E16" s="2"/>
      <c r="F16" s="2">
        <v>45</v>
      </c>
      <c r="G16" s="2" t="s">
        <v>54</v>
      </c>
      <c r="H16" s="2"/>
      <c r="I16" s="2"/>
      <c r="J16" s="2"/>
    </row>
    <row r="17" spans="1:10">
      <c r="A17" s="2">
        <v>16</v>
      </c>
      <c r="B17" s="2" t="s">
        <v>25</v>
      </c>
      <c r="C17" s="2"/>
      <c r="D17" s="2"/>
      <c r="E17" s="2"/>
      <c r="F17" s="2">
        <v>46</v>
      </c>
      <c r="G17" s="2" t="s">
        <v>55</v>
      </c>
      <c r="H17" s="2"/>
      <c r="I17" s="2"/>
      <c r="J17" s="2"/>
    </row>
    <row r="18" spans="1:10">
      <c r="A18" s="2">
        <v>17</v>
      </c>
      <c r="B18" s="2" t="s">
        <v>26</v>
      </c>
      <c r="C18" s="2"/>
      <c r="D18" s="2"/>
      <c r="E18" s="2"/>
      <c r="F18" s="2">
        <v>47</v>
      </c>
      <c r="G18" s="2" t="s">
        <v>56</v>
      </c>
      <c r="H18" s="2"/>
      <c r="I18" s="2"/>
      <c r="J18" s="2"/>
    </row>
    <row r="19" spans="1:10">
      <c r="A19" s="2">
        <v>18</v>
      </c>
      <c r="B19" s="2" t="s">
        <v>27</v>
      </c>
      <c r="C19" s="2"/>
      <c r="D19" s="2"/>
      <c r="E19" s="2"/>
      <c r="F19" s="2">
        <v>48</v>
      </c>
      <c r="G19" s="2" t="s">
        <v>57</v>
      </c>
      <c r="H19" s="2"/>
      <c r="I19" s="2"/>
      <c r="J19" s="2"/>
    </row>
    <row r="20" spans="1:10">
      <c r="A20" s="2">
        <v>19</v>
      </c>
      <c r="B20" s="2" t="s">
        <v>28</v>
      </c>
      <c r="C20" s="2"/>
      <c r="D20" s="2"/>
      <c r="E20" s="2"/>
      <c r="F20" s="2">
        <v>49</v>
      </c>
      <c r="G20" s="2" t="s">
        <v>58</v>
      </c>
      <c r="H20" s="2"/>
      <c r="I20" s="2"/>
      <c r="J20" s="2"/>
    </row>
    <row r="21" spans="1:10">
      <c r="A21" s="2">
        <v>20</v>
      </c>
      <c r="B21" s="2" t="s">
        <v>29</v>
      </c>
      <c r="C21" s="2"/>
      <c r="D21" s="2"/>
      <c r="E21" s="2"/>
      <c r="F21" s="2">
        <v>50</v>
      </c>
      <c r="G21" s="2" t="s">
        <v>59</v>
      </c>
      <c r="H21" s="2"/>
      <c r="I21" s="2"/>
      <c r="J21" s="2"/>
    </row>
    <row r="22" spans="1:10">
      <c r="A22" s="2">
        <v>21</v>
      </c>
      <c r="B22" s="2" t="s">
        <v>30</v>
      </c>
      <c r="C22" s="2"/>
      <c r="D22" s="2"/>
      <c r="E22" s="2"/>
      <c r="F22" s="2">
        <v>51</v>
      </c>
      <c r="G22" s="2" t="s">
        <v>60</v>
      </c>
      <c r="H22" s="2"/>
      <c r="I22" s="2"/>
      <c r="J22" s="2"/>
    </row>
    <row r="23" spans="1:10">
      <c r="A23" s="2">
        <v>22</v>
      </c>
      <c r="B23" s="2" t="s">
        <v>31</v>
      </c>
      <c r="C23" s="2"/>
      <c r="D23" s="2"/>
      <c r="E23" s="2"/>
      <c r="F23" s="2">
        <v>52</v>
      </c>
      <c r="G23" s="2" t="s">
        <v>61</v>
      </c>
      <c r="H23" s="2"/>
      <c r="I23" s="2"/>
      <c r="J23" s="2"/>
    </row>
    <row r="24" spans="1:10">
      <c r="A24" s="2">
        <v>23</v>
      </c>
      <c r="B24" s="2" t="s">
        <v>32</v>
      </c>
      <c r="C24" s="2"/>
      <c r="D24" s="2"/>
      <c r="E24" s="2"/>
      <c r="F24" s="2">
        <v>53</v>
      </c>
      <c r="G24" s="2" t="s">
        <v>62</v>
      </c>
      <c r="H24" s="2"/>
      <c r="I24" s="2"/>
      <c r="J24" s="2"/>
    </row>
    <row r="25" spans="1:10">
      <c r="A25" s="2">
        <v>24</v>
      </c>
      <c r="B25" s="2" t="s">
        <v>33</v>
      </c>
      <c r="C25" s="2"/>
      <c r="D25" s="2"/>
      <c r="E25" s="2"/>
      <c r="F25" s="2">
        <v>54</v>
      </c>
      <c r="G25" s="2" t="s">
        <v>63</v>
      </c>
      <c r="H25" s="2"/>
      <c r="I25" s="2"/>
      <c r="J25" s="2"/>
    </row>
    <row r="26" spans="1:10">
      <c r="A26" s="2">
        <v>25</v>
      </c>
      <c r="B26" s="2" t="s">
        <v>34</v>
      </c>
      <c r="C26" s="2"/>
      <c r="D26" s="2"/>
      <c r="E26" s="2"/>
      <c r="F26" s="2">
        <v>55</v>
      </c>
      <c r="G26" s="2" t="s">
        <v>64</v>
      </c>
      <c r="H26" s="2"/>
      <c r="I26" s="2"/>
      <c r="J26" s="2"/>
    </row>
    <row r="27" spans="1:10">
      <c r="A27" s="2">
        <v>26</v>
      </c>
      <c r="B27" s="2" t="s">
        <v>35</v>
      </c>
      <c r="C27" s="2"/>
      <c r="D27" s="2"/>
      <c r="E27" s="2"/>
      <c r="F27" s="2">
        <v>56</v>
      </c>
      <c r="G27" s="2" t="s">
        <v>65</v>
      </c>
      <c r="H27" s="2"/>
      <c r="I27" s="2"/>
      <c r="J27" s="2"/>
    </row>
    <row r="28" spans="1:10">
      <c r="A28" s="2">
        <v>27</v>
      </c>
      <c r="B28" s="2" t="s">
        <v>36</v>
      </c>
      <c r="C28" s="2"/>
      <c r="D28" s="2"/>
      <c r="E28" s="2"/>
      <c r="F28" s="2">
        <v>57</v>
      </c>
      <c r="G28" s="2" t="s">
        <v>66</v>
      </c>
      <c r="H28" s="2"/>
      <c r="I28" s="2"/>
      <c r="J28" s="2"/>
    </row>
    <row r="29" spans="1:10">
      <c r="A29" s="2">
        <v>28</v>
      </c>
      <c r="B29" s="2" t="s">
        <v>37</v>
      </c>
      <c r="C29" s="2"/>
      <c r="D29" s="2"/>
      <c r="E29" s="2"/>
      <c r="F29" s="2">
        <v>58</v>
      </c>
      <c r="G29" s="2" t="s">
        <v>67</v>
      </c>
      <c r="H29" s="2"/>
      <c r="I29" s="2"/>
      <c r="J29" s="2"/>
    </row>
    <row r="30" spans="1:10">
      <c r="A30" s="2">
        <v>29</v>
      </c>
      <c r="B30" s="2" t="s">
        <v>38</v>
      </c>
      <c r="C30" s="2"/>
      <c r="D30" s="2"/>
      <c r="E30" s="2"/>
      <c r="F30" s="2">
        <v>59</v>
      </c>
      <c r="G30" s="2" t="s">
        <v>68</v>
      </c>
      <c r="H30" s="2"/>
      <c r="I30" s="2"/>
      <c r="J30" s="2"/>
    </row>
    <row r="31" spans="1:10">
      <c r="A31" s="2">
        <v>30</v>
      </c>
      <c r="B31" s="2" t="s">
        <v>39</v>
      </c>
      <c r="C31" s="2"/>
      <c r="D31" s="2"/>
      <c r="E31" s="2"/>
      <c r="F31" s="2">
        <v>60</v>
      </c>
      <c r="G31" s="2" t="s">
        <v>69</v>
      </c>
      <c r="H31" s="2"/>
      <c r="I31" s="2"/>
      <c r="J31" s="2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H1" sqref="H1:N46"/>
    </sheetView>
  </sheetViews>
  <sheetFormatPr baseColWidth="10" defaultRowHeight="14" x14ac:dyDescent="0"/>
  <sheetData>
    <row r="1" spans="1:21" ht="15">
      <c r="A1" s="3" t="s">
        <v>75</v>
      </c>
      <c r="H1" s="3" t="s">
        <v>75</v>
      </c>
      <c r="O1" s="3" t="s">
        <v>75</v>
      </c>
    </row>
    <row r="2" spans="1:21" s="1" customFormat="1" ht="30">
      <c r="A2" s="6" t="s">
        <v>72</v>
      </c>
      <c r="B2" s="6" t="s">
        <v>73</v>
      </c>
      <c r="C2" s="6" t="s">
        <v>74</v>
      </c>
      <c r="D2" s="6" t="s">
        <v>76</v>
      </c>
      <c r="E2" s="6" t="s">
        <v>77</v>
      </c>
      <c r="F2" s="6" t="s">
        <v>78</v>
      </c>
      <c r="G2" s="2"/>
      <c r="H2" s="6" t="s">
        <v>72</v>
      </c>
      <c r="I2" s="6" t="s">
        <v>73</v>
      </c>
      <c r="J2" s="6" t="s">
        <v>74</v>
      </c>
      <c r="K2" s="6" t="s">
        <v>76</v>
      </c>
      <c r="L2" s="6" t="s">
        <v>77</v>
      </c>
      <c r="M2" s="6" t="s">
        <v>78</v>
      </c>
      <c r="N2" s="2"/>
      <c r="O2" s="6" t="s">
        <v>72</v>
      </c>
      <c r="P2" s="6" t="s">
        <v>73</v>
      </c>
      <c r="Q2" s="6" t="s">
        <v>74</v>
      </c>
      <c r="R2" s="6" t="s">
        <v>76</v>
      </c>
      <c r="S2" s="6" t="s">
        <v>77</v>
      </c>
      <c r="T2" s="6" t="s">
        <v>78</v>
      </c>
      <c r="U2" s="2"/>
    </row>
    <row r="3" spans="1:21" ht="15">
      <c r="A3" s="4"/>
      <c r="B3" s="7"/>
      <c r="C3" s="7"/>
      <c r="D3" s="8" t="s">
        <v>79</v>
      </c>
      <c r="E3" s="4"/>
      <c r="F3" s="4"/>
      <c r="G3" s="7"/>
      <c r="H3" s="4"/>
      <c r="I3" s="7"/>
      <c r="J3" s="7"/>
      <c r="K3" s="8" t="s">
        <v>79</v>
      </c>
      <c r="L3" s="4"/>
      <c r="M3" s="4"/>
      <c r="N3" s="7"/>
      <c r="O3" s="4"/>
      <c r="P3" s="7"/>
      <c r="Q3" s="7"/>
      <c r="R3" s="8" t="s">
        <v>79</v>
      </c>
      <c r="S3" s="4"/>
      <c r="T3" s="4"/>
      <c r="U3" s="7"/>
    </row>
    <row r="4" spans="1:21" ht="15">
      <c r="A4" s="4"/>
      <c r="B4" s="7"/>
      <c r="C4" s="7"/>
      <c r="D4" s="8" t="s">
        <v>80</v>
      </c>
      <c r="E4" s="4"/>
      <c r="F4" s="4"/>
      <c r="G4" s="7"/>
      <c r="H4" s="4"/>
      <c r="I4" s="7"/>
      <c r="J4" s="7"/>
      <c r="K4" s="8" t="s">
        <v>80</v>
      </c>
      <c r="L4" s="4"/>
      <c r="M4" s="4"/>
      <c r="N4" s="7"/>
      <c r="O4" s="4"/>
      <c r="P4" s="7"/>
      <c r="Q4" s="7"/>
      <c r="R4" s="8" t="s">
        <v>80</v>
      </c>
      <c r="S4" s="4"/>
      <c r="T4" s="4"/>
      <c r="U4" s="7"/>
    </row>
    <row r="5" spans="1:21" ht="15">
      <c r="A5" s="4"/>
      <c r="B5" s="7"/>
      <c r="C5" s="7"/>
      <c r="D5" s="8" t="s">
        <v>81</v>
      </c>
      <c r="E5" s="4"/>
      <c r="F5" s="4"/>
      <c r="G5" s="7"/>
      <c r="H5" s="4"/>
      <c r="I5" s="7"/>
      <c r="J5" s="7"/>
      <c r="K5" s="8" t="s">
        <v>81</v>
      </c>
      <c r="L5" s="4"/>
      <c r="M5" s="4"/>
      <c r="N5" s="7"/>
      <c r="O5" s="4"/>
      <c r="P5" s="7"/>
      <c r="Q5" s="7"/>
      <c r="R5" s="8" t="s">
        <v>81</v>
      </c>
      <c r="S5" s="4"/>
      <c r="T5" s="4"/>
      <c r="U5" s="7"/>
    </row>
    <row r="6" spans="1:21" ht="15">
      <c r="A6" s="4"/>
      <c r="B6" s="7"/>
      <c r="C6" s="7"/>
      <c r="D6" s="8" t="s">
        <v>82</v>
      </c>
      <c r="E6" s="4"/>
      <c r="F6" s="4"/>
      <c r="G6" s="7"/>
      <c r="H6" s="4"/>
      <c r="I6" s="7"/>
      <c r="J6" s="7"/>
      <c r="K6" s="8" t="s">
        <v>82</v>
      </c>
      <c r="L6" s="4"/>
      <c r="M6" s="4"/>
      <c r="N6" s="7"/>
      <c r="O6" s="4"/>
      <c r="P6" s="7"/>
      <c r="Q6" s="7"/>
      <c r="R6" s="8" t="s">
        <v>82</v>
      </c>
      <c r="S6" s="4"/>
      <c r="T6" s="4"/>
      <c r="U6" s="7"/>
    </row>
    <row r="7" spans="1:21" ht="15">
      <c r="A7" s="4"/>
      <c r="B7" s="7"/>
      <c r="C7" s="7"/>
      <c r="D7" s="8" t="s">
        <v>83</v>
      </c>
      <c r="E7" s="4"/>
      <c r="F7" s="4"/>
      <c r="G7" s="7"/>
      <c r="H7" s="4"/>
      <c r="I7" s="7"/>
      <c r="J7" s="7"/>
      <c r="K7" s="8" t="s">
        <v>83</v>
      </c>
      <c r="L7" s="4"/>
      <c r="M7" s="4"/>
      <c r="N7" s="7"/>
      <c r="O7" s="4"/>
      <c r="P7" s="7"/>
      <c r="Q7" s="7"/>
      <c r="R7" s="8" t="s">
        <v>83</v>
      </c>
      <c r="S7" s="4"/>
      <c r="T7" s="4"/>
      <c r="U7" s="7"/>
    </row>
    <row r="8" spans="1:21" ht="15">
      <c r="A8" s="4"/>
      <c r="B8" s="7"/>
      <c r="C8" s="7"/>
      <c r="D8" s="8" t="s">
        <v>84</v>
      </c>
      <c r="E8" s="4"/>
      <c r="F8" s="4"/>
      <c r="G8" s="7"/>
      <c r="H8" s="4"/>
      <c r="I8" s="7"/>
      <c r="J8" s="7"/>
      <c r="K8" s="8" t="s">
        <v>84</v>
      </c>
      <c r="L8" s="4"/>
      <c r="M8" s="4"/>
      <c r="N8" s="7"/>
      <c r="O8" s="4"/>
      <c r="P8" s="7"/>
      <c r="Q8" s="7"/>
      <c r="R8" s="8" t="s">
        <v>84</v>
      </c>
      <c r="S8" s="4"/>
      <c r="T8" s="4"/>
      <c r="U8" s="7"/>
    </row>
    <row r="9" spans="1:21" ht="15">
      <c r="A9" s="4"/>
      <c r="B9" s="7"/>
      <c r="C9" s="7"/>
      <c r="D9" s="8" t="s">
        <v>85</v>
      </c>
      <c r="E9" s="4"/>
      <c r="F9" s="4"/>
      <c r="G9" s="7"/>
      <c r="H9" s="4"/>
      <c r="I9" s="7"/>
      <c r="J9" s="7"/>
      <c r="K9" s="8" t="s">
        <v>85</v>
      </c>
      <c r="L9" s="4"/>
      <c r="M9" s="4"/>
      <c r="N9" s="7"/>
      <c r="O9" s="4"/>
      <c r="P9" s="7"/>
      <c r="Q9" s="7"/>
      <c r="R9" s="8" t="s">
        <v>85</v>
      </c>
      <c r="S9" s="4"/>
      <c r="T9" s="4"/>
      <c r="U9" s="7"/>
    </row>
    <row r="10" spans="1:21" ht="15">
      <c r="A10" s="4"/>
      <c r="B10" s="7"/>
      <c r="C10" s="7"/>
      <c r="D10" s="8" t="s">
        <v>86</v>
      </c>
      <c r="E10" s="4"/>
      <c r="F10" s="4"/>
      <c r="G10" s="7"/>
      <c r="H10" s="4"/>
      <c r="I10" s="7"/>
      <c r="J10" s="7"/>
      <c r="K10" s="8" t="s">
        <v>86</v>
      </c>
      <c r="L10" s="4"/>
      <c r="M10" s="4"/>
      <c r="N10" s="7"/>
      <c r="O10" s="4"/>
      <c r="P10" s="7"/>
      <c r="Q10" s="7"/>
      <c r="R10" s="8" t="s">
        <v>86</v>
      </c>
      <c r="S10" s="4"/>
      <c r="T10" s="4"/>
      <c r="U10" s="7"/>
    </row>
    <row r="11" spans="1:21" ht="15">
      <c r="A11" s="4"/>
      <c r="B11" s="7"/>
      <c r="C11" s="7"/>
      <c r="D11" s="8" t="s">
        <v>87</v>
      </c>
      <c r="E11" s="4"/>
      <c r="F11" s="4"/>
      <c r="G11" s="7"/>
      <c r="H11" s="4"/>
      <c r="I11" s="7"/>
      <c r="J11" s="7"/>
      <c r="K11" s="8" t="s">
        <v>87</v>
      </c>
      <c r="L11" s="4"/>
      <c r="M11" s="4"/>
      <c r="N11" s="7"/>
      <c r="O11" s="4"/>
      <c r="P11" s="7"/>
      <c r="Q11" s="7"/>
      <c r="R11" s="8" t="s">
        <v>87</v>
      </c>
      <c r="S11" s="4"/>
      <c r="T11" s="4"/>
      <c r="U11" s="7"/>
    </row>
    <row r="12" spans="1:21" ht="15">
      <c r="A12" s="4"/>
      <c r="B12" s="7"/>
      <c r="C12" s="7"/>
      <c r="D12" s="8" t="s">
        <v>88</v>
      </c>
      <c r="E12" s="4"/>
      <c r="F12" s="4"/>
      <c r="G12" s="7"/>
      <c r="H12" s="4"/>
      <c r="I12" s="7"/>
      <c r="J12" s="7"/>
      <c r="K12" s="8" t="s">
        <v>88</v>
      </c>
      <c r="L12" s="4"/>
      <c r="M12" s="4"/>
      <c r="N12" s="7"/>
      <c r="O12" s="4"/>
      <c r="P12" s="7"/>
      <c r="Q12" s="7"/>
      <c r="R12" s="8" t="s">
        <v>88</v>
      </c>
      <c r="S12" s="4"/>
      <c r="T12" s="4"/>
      <c r="U12" s="7"/>
    </row>
    <row r="13" spans="1:21" ht="15">
      <c r="A13" s="4"/>
      <c r="B13" s="7"/>
      <c r="C13" s="7"/>
      <c r="D13" s="8">
        <v>0.2</v>
      </c>
      <c r="E13" s="4"/>
      <c r="F13" s="4"/>
      <c r="G13" s="7"/>
      <c r="H13" s="4"/>
      <c r="I13" s="7"/>
      <c r="J13" s="7"/>
      <c r="K13" s="8">
        <v>0.2</v>
      </c>
      <c r="L13" s="4"/>
      <c r="M13" s="4"/>
      <c r="N13" s="7"/>
      <c r="O13" s="4"/>
      <c r="P13" s="7"/>
      <c r="Q13" s="7"/>
      <c r="R13" s="8">
        <v>0.2</v>
      </c>
      <c r="S13" s="4"/>
      <c r="T13" s="4"/>
      <c r="U13" s="7"/>
    </row>
    <row r="14" spans="1:21" ht="15">
      <c r="A14" s="9"/>
      <c r="B14" s="5"/>
      <c r="C14" s="5"/>
      <c r="D14" s="9"/>
      <c r="E14" s="9"/>
      <c r="F14" s="9"/>
      <c r="G14" s="7"/>
      <c r="H14" s="9"/>
      <c r="I14" s="5"/>
      <c r="J14" s="5"/>
      <c r="K14" s="9"/>
      <c r="L14" s="9"/>
      <c r="M14" s="9"/>
      <c r="N14" s="7"/>
      <c r="O14" s="9"/>
      <c r="P14" s="5"/>
      <c r="Q14" s="5"/>
      <c r="R14" s="9"/>
      <c r="S14" s="9"/>
      <c r="T14" s="9"/>
      <c r="U14" s="7"/>
    </row>
    <row r="15" spans="1:21" s="1" customFormat="1">
      <c r="A15" s="8"/>
      <c r="B15" s="2">
        <v>1</v>
      </c>
      <c r="C15" s="2" t="s">
        <v>9</v>
      </c>
      <c r="D15" s="11"/>
      <c r="E15" s="11"/>
      <c r="F15" s="11"/>
      <c r="G15" s="2"/>
      <c r="H15" s="8"/>
      <c r="I15" s="2">
        <v>21</v>
      </c>
      <c r="J15" s="2" t="s">
        <v>30</v>
      </c>
      <c r="K15" s="11"/>
      <c r="L15" s="11"/>
      <c r="M15" s="11"/>
      <c r="N15" s="2"/>
      <c r="O15" s="8"/>
      <c r="P15" s="2">
        <v>41</v>
      </c>
      <c r="Q15" s="2" t="s">
        <v>50</v>
      </c>
      <c r="R15" s="11"/>
      <c r="S15" s="11"/>
      <c r="T15" s="11"/>
      <c r="U15" s="2"/>
    </row>
    <row r="16" spans="1:21" s="1" customFormat="1">
      <c r="A16" s="8"/>
      <c r="B16" s="2">
        <v>2</v>
      </c>
      <c r="C16" s="2" t="s">
        <v>11</v>
      </c>
      <c r="D16" s="11"/>
      <c r="E16" s="11"/>
      <c r="F16" s="11"/>
      <c r="G16" s="2"/>
      <c r="H16" s="8"/>
      <c r="I16" s="2">
        <v>22</v>
      </c>
      <c r="J16" s="2" t="s">
        <v>31</v>
      </c>
      <c r="K16" s="11"/>
      <c r="L16" s="11"/>
      <c r="M16" s="11"/>
      <c r="N16" s="2"/>
      <c r="O16" s="8"/>
      <c r="P16" s="2">
        <v>42</v>
      </c>
      <c r="Q16" s="2" t="s">
        <v>51</v>
      </c>
      <c r="R16" s="11"/>
      <c r="S16" s="11"/>
      <c r="T16" s="11"/>
      <c r="U16" s="2"/>
    </row>
    <row r="17" spans="1:21" s="1" customFormat="1">
      <c r="A17" s="8"/>
      <c r="B17" s="2">
        <v>3</v>
      </c>
      <c r="C17" s="2" t="s">
        <v>12</v>
      </c>
      <c r="D17" s="11"/>
      <c r="E17" s="11"/>
      <c r="F17" s="11"/>
      <c r="G17" s="2"/>
      <c r="H17" s="8"/>
      <c r="I17" s="2">
        <v>23</v>
      </c>
      <c r="J17" s="2" t="s">
        <v>32</v>
      </c>
      <c r="K17" s="11"/>
      <c r="L17" s="11"/>
      <c r="M17" s="11"/>
      <c r="N17" s="2"/>
      <c r="O17" s="8"/>
      <c r="P17" s="2">
        <v>43</v>
      </c>
      <c r="Q17" s="2" t="s">
        <v>52</v>
      </c>
      <c r="R17" s="11"/>
      <c r="S17" s="11"/>
      <c r="T17" s="11"/>
      <c r="U17" s="2"/>
    </row>
    <row r="18" spans="1:21" s="1" customFormat="1">
      <c r="A18" s="8"/>
      <c r="B18" s="2">
        <v>4</v>
      </c>
      <c r="C18" s="2" t="s">
        <v>13</v>
      </c>
      <c r="D18" s="11"/>
      <c r="E18" s="11"/>
      <c r="F18" s="11"/>
      <c r="G18" s="2"/>
      <c r="H18" s="8"/>
      <c r="I18" s="2">
        <v>24</v>
      </c>
      <c r="J18" s="2" t="s">
        <v>33</v>
      </c>
      <c r="K18" s="11"/>
      <c r="L18" s="11"/>
      <c r="M18" s="11"/>
      <c r="N18" s="2"/>
      <c r="O18" s="8"/>
      <c r="P18" s="2">
        <v>44</v>
      </c>
      <c r="Q18" s="2" t="s">
        <v>53</v>
      </c>
      <c r="R18" s="11"/>
      <c r="S18" s="11"/>
      <c r="T18" s="11"/>
      <c r="U18" s="2"/>
    </row>
    <row r="19" spans="1:21" s="1" customFormat="1">
      <c r="A19" s="8"/>
      <c r="B19" s="2">
        <v>5</v>
      </c>
      <c r="C19" s="2" t="s">
        <v>14</v>
      </c>
      <c r="D19" s="11"/>
      <c r="E19" s="11"/>
      <c r="F19" s="11"/>
      <c r="G19" s="2"/>
      <c r="H19" s="8"/>
      <c r="I19" s="2">
        <v>25</v>
      </c>
      <c r="J19" s="2" t="s">
        <v>34</v>
      </c>
      <c r="K19" s="11"/>
      <c r="L19" s="11"/>
      <c r="M19" s="11"/>
      <c r="N19" s="2"/>
      <c r="O19" s="8"/>
      <c r="P19" s="2">
        <v>45</v>
      </c>
      <c r="Q19" s="2" t="s">
        <v>54</v>
      </c>
      <c r="R19" s="11"/>
      <c r="S19" s="11"/>
      <c r="T19" s="11"/>
      <c r="U19" s="2"/>
    </row>
    <row r="20" spans="1:21" s="1" customFormat="1">
      <c r="A20" s="8"/>
      <c r="B20" s="2">
        <v>6</v>
      </c>
      <c r="C20" s="2" t="s">
        <v>15</v>
      </c>
      <c r="D20" s="11"/>
      <c r="E20" s="11"/>
      <c r="F20" s="11"/>
      <c r="G20" s="2"/>
      <c r="H20" s="8"/>
      <c r="I20" s="2">
        <v>26</v>
      </c>
      <c r="J20" s="2" t="s">
        <v>35</v>
      </c>
      <c r="K20" s="11"/>
      <c r="L20" s="11"/>
      <c r="M20" s="11"/>
      <c r="N20" s="2"/>
      <c r="O20" s="8"/>
      <c r="P20" s="2">
        <v>46</v>
      </c>
      <c r="Q20" s="2" t="s">
        <v>55</v>
      </c>
      <c r="R20" s="11"/>
      <c r="S20" s="11"/>
      <c r="T20" s="11"/>
      <c r="U20" s="2"/>
    </row>
    <row r="21" spans="1:21" s="1" customFormat="1">
      <c r="A21" s="11"/>
      <c r="B21" s="2">
        <v>7</v>
      </c>
      <c r="C21" s="2" t="s">
        <v>16</v>
      </c>
      <c r="D21" s="11"/>
      <c r="E21" s="11"/>
      <c r="F21" s="11"/>
      <c r="G21" s="2"/>
      <c r="H21" s="11"/>
      <c r="I21" s="2">
        <v>27</v>
      </c>
      <c r="J21" s="2" t="s">
        <v>36</v>
      </c>
      <c r="K21" s="11"/>
      <c r="L21" s="11"/>
      <c r="M21" s="11"/>
      <c r="N21" s="2"/>
      <c r="O21" s="11"/>
      <c r="P21" s="2">
        <v>47</v>
      </c>
      <c r="Q21" s="2" t="s">
        <v>56</v>
      </c>
      <c r="R21" s="11"/>
      <c r="S21" s="11"/>
      <c r="T21" s="11"/>
      <c r="U21" s="2"/>
    </row>
    <row r="22" spans="1:21" s="1" customFormat="1">
      <c r="A22" s="8"/>
      <c r="B22" s="2">
        <v>8</v>
      </c>
      <c r="C22" s="2" t="s">
        <v>17</v>
      </c>
      <c r="D22" s="11"/>
      <c r="E22" s="11"/>
      <c r="F22" s="11"/>
      <c r="G22" s="2"/>
      <c r="H22" s="8"/>
      <c r="I22" s="2">
        <v>28</v>
      </c>
      <c r="J22" s="2" t="s">
        <v>37</v>
      </c>
      <c r="K22" s="11"/>
      <c r="L22" s="11"/>
      <c r="M22" s="11"/>
      <c r="N22" s="2"/>
      <c r="O22" s="8"/>
      <c r="P22" s="2">
        <v>48</v>
      </c>
      <c r="Q22" s="2" t="s">
        <v>57</v>
      </c>
      <c r="R22" s="11"/>
      <c r="S22" s="11"/>
      <c r="T22" s="11"/>
      <c r="U22" s="2"/>
    </row>
    <row r="23" spans="1:21" s="1" customFormat="1">
      <c r="A23" s="8"/>
      <c r="B23" s="2">
        <v>9</v>
      </c>
      <c r="C23" s="2" t="s">
        <v>18</v>
      </c>
      <c r="D23" s="11"/>
      <c r="E23" s="11"/>
      <c r="F23" s="11"/>
      <c r="G23" s="2"/>
      <c r="H23" s="8"/>
      <c r="I23" s="2">
        <v>29</v>
      </c>
      <c r="J23" s="2" t="s">
        <v>38</v>
      </c>
      <c r="K23" s="11"/>
      <c r="L23" s="11"/>
      <c r="M23" s="11"/>
      <c r="N23" s="2"/>
      <c r="O23" s="8"/>
      <c r="P23" s="2">
        <v>49</v>
      </c>
      <c r="Q23" s="2" t="s">
        <v>58</v>
      </c>
      <c r="R23" s="11"/>
      <c r="S23" s="11"/>
      <c r="T23" s="11"/>
      <c r="U23" s="2"/>
    </row>
    <row r="24" spans="1:21" s="1" customFormat="1">
      <c r="A24" s="8"/>
      <c r="B24" s="2">
        <v>10</v>
      </c>
      <c r="C24" s="2" t="s">
        <v>19</v>
      </c>
      <c r="D24" s="11"/>
      <c r="E24" s="11"/>
      <c r="F24" s="11"/>
      <c r="G24" s="2"/>
      <c r="H24" s="8"/>
      <c r="I24" s="2">
        <v>30</v>
      </c>
      <c r="J24" s="2" t="s">
        <v>39</v>
      </c>
      <c r="K24" s="11"/>
      <c r="L24" s="11"/>
      <c r="M24" s="11"/>
      <c r="N24" s="2"/>
      <c r="O24" s="8"/>
      <c r="P24" s="2">
        <v>50</v>
      </c>
      <c r="Q24" s="2" t="s">
        <v>59</v>
      </c>
      <c r="R24" s="11"/>
      <c r="S24" s="11"/>
      <c r="T24" s="11"/>
      <c r="U24" s="2"/>
    </row>
    <row r="25" spans="1:21" s="1" customFormat="1">
      <c r="A25" s="8"/>
      <c r="B25" s="2">
        <v>11</v>
      </c>
      <c r="C25" s="2" t="s">
        <v>20</v>
      </c>
      <c r="D25" s="11"/>
      <c r="E25" s="11"/>
      <c r="F25" s="11"/>
      <c r="G25" s="2"/>
      <c r="H25" s="8"/>
      <c r="I25" s="2">
        <v>31</v>
      </c>
      <c r="J25" s="2" t="s">
        <v>40</v>
      </c>
      <c r="K25" s="11"/>
      <c r="L25" s="11"/>
      <c r="M25" s="11"/>
      <c r="N25" s="2"/>
      <c r="O25" s="8"/>
      <c r="P25" s="2">
        <v>51</v>
      </c>
      <c r="Q25" s="2" t="s">
        <v>60</v>
      </c>
      <c r="R25" s="11"/>
      <c r="S25" s="11"/>
      <c r="T25" s="11"/>
      <c r="U25" s="2"/>
    </row>
    <row r="26" spans="1:21" s="1" customFormat="1" ht="15">
      <c r="A26" s="6"/>
      <c r="B26" s="2">
        <v>12</v>
      </c>
      <c r="C26" s="2" t="s">
        <v>21</v>
      </c>
      <c r="D26" s="11"/>
      <c r="E26" s="11"/>
      <c r="F26" s="11"/>
      <c r="G26" s="2"/>
      <c r="H26" s="6"/>
      <c r="I26" s="2">
        <v>32</v>
      </c>
      <c r="J26" s="2" t="s">
        <v>41</v>
      </c>
      <c r="K26" s="11"/>
      <c r="L26" s="11"/>
      <c r="M26" s="11"/>
      <c r="N26" s="2"/>
      <c r="O26" s="6"/>
      <c r="P26" s="2">
        <v>52</v>
      </c>
      <c r="Q26" s="2" t="s">
        <v>61</v>
      </c>
      <c r="R26" s="11"/>
      <c r="S26" s="11"/>
      <c r="T26" s="11"/>
      <c r="U26" s="2"/>
    </row>
    <row r="27" spans="1:21" s="1" customFormat="1">
      <c r="A27" s="8"/>
      <c r="B27" s="2">
        <v>13</v>
      </c>
      <c r="C27" s="2" t="s">
        <v>22</v>
      </c>
      <c r="D27" s="11"/>
      <c r="E27" s="11"/>
      <c r="F27" s="11"/>
      <c r="G27" s="2"/>
      <c r="H27" s="8"/>
      <c r="I27" s="2">
        <v>33</v>
      </c>
      <c r="J27" s="2" t="s">
        <v>42</v>
      </c>
      <c r="K27" s="11"/>
      <c r="L27" s="11"/>
      <c r="M27" s="11"/>
      <c r="N27" s="2"/>
      <c r="O27" s="8"/>
      <c r="P27" s="2">
        <v>53</v>
      </c>
      <c r="Q27" s="2" t="s">
        <v>62</v>
      </c>
      <c r="R27" s="11"/>
      <c r="S27" s="11"/>
      <c r="T27" s="11"/>
      <c r="U27" s="2"/>
    </row>
    <row r="28" spans="1:21" s="1" customFormat="1">
      <c r="A28" s="8"/>
      <c r="B28" s="2">
        <v>14</v>
      </c>
      <c r="C28" s="2" t="s">
        <v>23</v>
      </c>
      <c r="D28" s="11"/>
      <c r="E28" s="11"/>
      <c r="F28" s="11"/>
      <c r="G28" s="2"/>
      <c r="H28" s="8"/>
      <c r="I28" s="2">
        <v>34</v>
      </c>
      <c r="J28" s="2" t="s">
        <v>43</v>
      </c>
      <c r="K28" s="11"/>
      <c r="L28" s="11"/>
      <c r="M28" s="11"/>
      <c r="N28" s="2"/>
      <c r="O28" s="8"/>
      <c r="P28" s="2">
        <v>54</v>
      </c>
      <c r="Q28" s="2" t="s">
        <v>63</v>
      </c>
      <c r="R28" s="11"/>
      <c r="S28" s="11"/>
      <c r="T28" s="11"/>
      <c r="U28" s="2"/>
    </row>
    <row r="29" spans="1:21" s="1" customFormat="1">
      <c r="A29" s="8"/>
      <c r="B29" s="2">
        <v>15</v>
      </c>
      <c r="C29" s="2" t="s">
        <v>24</v>
      </c>
      <c r="D29" s="11"/>
      <c r="E29" s="11"/>
      <c r="F29" s="11"/>
      <c r="G29" s="2"/>
      <c r="H29" s="8"/>
      <c r="I29" s="2">
        <v>35</v>
      </c>
      <c r="J29" s="2" t="s">
        <v>44</v>
      </c>
      <c r="K29" s="11"/>
      <c r="L29" s="11"/>
      <c r="M29" s="11"/>
      <c r="N29" s="2"/>
      <c r="O29" s="8"/>
      <c r="P29" s="2">
        <v>55</v>
      </c>
      <c r="Q29" s="2" t="s">
        <v>64</v>
      </c>
      <c r="R29" s="11"/>
      <c r="S29" s="11"/>
      <c r="T29" s="11"/>
      <c r="U29" s="2"/>
    </row>
    <row r="30" spans="1:21" s="1" customFormat="1">
      <c r="A30" s="8"/>
      <c r="B30" s="2">
        <v>16</v>
      </c>
      <c r="C30" s="2" t="s">
        <v>25</v>
      </c>
      <c r="D30" s="11"/>
      <c r="E30" s="11"/>
      <c r="F30" s="11"/>
      <c r="G30" s="2"/>
      <c r="H30" s="8"/>
      <c r="I30" s="2">
        <v>36</v>
      </c>
      <c r="J30" s="2" t="s">
        <v>45</v>
      </c>
      <c r="K30" s="11"/>
      <c r="L30" s="11"/>
      <c r="M30" s="11"/>
      <c r="N30" s="2"/>
      <c r="O30" s="8"/>
      <c r="P30" s="2">
        <v>56</v>
      </c>
      <c r="Q30" s="2" t="s">
        <v>65</v>
      </c>
      <c r="R30" s="11"/>
      <c r="S30" s="11"/>
      <c r="T30" s="11"/>
      <c r="U30" s="2"/>
    </row>
    <row r="31" spans="1:21" s="1" customFormat="1">
      <c r="A31" s="8"/>
      <c r="B31" s="2">
        <v>17</v>
      </c>
      <c r="C31" s="2" t="s">
        <v>26</v>
      </c>
      <c r="D31" s="11"/>
      <c r="E31" s="11"/>
      <c r="F31" s="11"/>
      <c r="G31" s="2"/>
      <c r="H31" s="8"/>
      <c r="I31" s="2">
        <v>37</v>
      </c>
      <c r="J31" s="2" t="s">
        <v>46</v>
      </c>
      <c r="K31" s="11"/>
      <c r="L31" s="11"/>
      <c r="M31" s="11"/>
      <c r="N31" s="2"/>
      <c r="O31" s="8"/>
      <c r="P31" s="2">
        <v>57</v>
      </c>
      <c r="Q31" s="2" t="s">
        <v>66</v>
      </c>
      <c r="R31" s="11"/>
      <c r="S31" s="11"/>
      <c r="T31" s="11"/>
      <c r="U31" s="2"/>
    </row>
    <row r="32" spans="1:21" s="1" customFormat="1">
      <c r="A32" s="8"/>
      <c r="B32" s="2">
        <v>18</v>
      </c>
      <c r="C32" s="2" t="s">
        <v>27</v>
      </c>
      <c r="D32" s="11"/>
      <c r="E32" s="11"/>
      <c r="F32" s="11"/>
      <c r="G32" s="2"/>
      <c r="H32" s="8"/>
      <c r="I32" s="2">
        <v>38</v>
      </c>
      <c r="J32" s="2" t="s">
        <v>47</v>
      </c>
      <c r="K32" s="11"/>
      <c r="L32" s="11"/>
      <c r="M32" s="11"/>
      <c r="N32" s="2"/>
      <c r="O32" s="8"/>
      <c r="P32" s="2">
        <v>58</v>
      </c>
      <c r="Q32" s="2" t="s">
        <v>67</v>
      </c>
      <c r="R32" s="11"/>
      <c r="S32" s="11"/>
      <c r="T32" s="11"/>
      <c r="U32" s="2"/>
    </row>
    <row r="33" spans="1:21" s="1" customFormat="1">
      <c r="A33" s="8"/>
      <c r="B33" s="2">
        <v>19</v>
      </c>
      <c r="C33" s="2" t="s">
        <v>28</v>
      </c>
      <c r="D33" s="11"/>
      <c r="E33" s="11"/>
      <c r="F33" s="11"/>
      <c r="G33" s="2"/>
      <c r="H33" s="8"/>
      <c r="I33" s="2">
        <v>39</v>
      </c>
      <c r="J33" s="2" t="s">
        <v>48</v>
      </c>
      <c r="K33" s="11"/>
      <c r="L33" s="11"/>
      <c r="M33" s="11"/>
      <c r="N33" s="2"/>
      <c r="O33" s="8"/>
      <c r="P33" s="2">
        <v>59</v>
      </c>
      <c r="Q33" s="2" t="s">
        <v>68</v>
      </c>
      <c r="R33" s="11"/>
      <c r="S33" s="11"/>
      <c r="T33" s="11"/>
      <c r="U33" s="2"/>
    </row>
    <row r="34" spans="1:21" s="1" customFormat="1">
      <c r="A34" s="8"/>
      <c r="B34" s="2">
        <v>20</v>
      </c>
      <c r="C34" s="2" t="s">
        <v>29</v>
      </c>
      <c r="D34" s="8"/>
      <c r="E34" s="8"/>
      <c r="F34" s="8"/>
      <c r="G34" s="2"/>
      <c r="H34" s="8"/>
      <c r="I34" s="2">
        <v>40</v>
      </c>
      <c r="J34" s="2" t="s">
        <v>49</v>
      </c>
      <c r="K34" s="8"/>
      <c r="L34" s="8"/>
      <c r="M34" s="8"/>
      <c r="N34" s="2"/>
      <c r="O34" s="8"/>
      <c r="P34" s="2">
        <v>60</v>
      </c>
      <c r="Q34" s="2" t="s">
        <v>69</v>
      </c>
      <c r="R34" s="8"/>
      <c r="S34" s="8"/>
      <c r="T34" s="8"/>
      <c r="U34" s="2"/>
    </row>
    <row r="35" spans="1:21">
      <c r="A35" s="9"/>
      <c r="B35" s="2"/>
      <c r="C35" s="2"/>
      <c r="D35" s="9"/>
      <c r="E35" s="9"/>
      <c r="F35" s="9"/>
      <c r="G35" s="2"/>
      <c r="H35" s="9"/>
      <c r="I35" s="2"/>
      <c r="J35" s="2"/>
      <c r="K35" s="9"/>
      <c r="L35" s="9"/>
      <c r="M35" s="9"/>
      <c r="N35" s="2"/>
      <c r="O35" s="9"/>
      <c r="P35" s="2"/>
      <c r="Q35" s="2"/>
      <c r="R35" s="9"/>
      <c r="S35" s="9"/>
      <c r="T35" s="9"/>
      <c r="U35" s="7"/>
    </row>
    <row r="36" spans="1:21">
      <c r="A36" s="9"/>
      <c r="B36" s="2"/>
      <c r="C36" s="2"/>
      <c r="D36" s="9"/>
      <c r="E36" s="9"/>
      <c r="F36" s="9"/>
      <c r="G36" s="2"/>
      <c r="H36" s="9"/>
      <c r="I36" s="2"/>
      <c r="J36" s="2"/>
      <c r="K36" s="9"/>
      <c r="L36" s="9"/>
      <c r="M36" s="9"/>
      <c r="N36" s="2"/>
      <c r="O36" s="9"/>
      <c r="P36" s="2"/>
      <c r="Q36" s="2"/>
      <c r="R36" s="9"/>
      <c r="S36" s="9"/>
      <c r="T36" s="9"/>
      <c r="U36" s="7"/>
    </row>
    <row r="37" spans="1:21">
      <c r="A37" s="9"/>
      <c r="B37" s="2"/>
      <c r="C37" s="2"/>
      <c r="D37" s="9"/>
      <c r="E37" s="9"/>
      <c r="F37" s="9"/>
      <c r="G37" s="2"/>
      <c r="H37" s="9"/>
      <c r="I37" s="2"/>
      <c r="J37" s="2"/>
      <c r="K37" s="9"/>
      <c r="L37" s="9"/>
      <c r="M37" s="9"/>
      <c r="N37" s="2"/>
      <c r="O37" s="9"/>
      <c r="P37" s="2"/>
      <c r="Q37" s="2"/>
      <c r="R37" s="9"/>
      <c r="S37" s="9"/>
      <c r="T37" s="9"/>
      <c r="U37" s="7"/>
    </row>
    <row r="38" spans="1:21">
      <c r="A38" s="9"/>
      <c r="B38" s="2"/>
      <c r="C38" s="2"/>
      <c r="D38" s="9"/>
      <c r="E38" s="9"/>
      <c r="F38" s="9"/>
      <c r="G38" s="2"/>
      <c r="H38" s="9"/>
      <c r="I38" s="2"/>
      <c r="J38" s="2"/>
      <c r="K38" s="9"/>
      <c r="L38" s="9"/>
      <c r="M38" s="9"/>
      <c r="N38" s="2"/>
      <c r="O38" s="9"/>
      <c r="P38" s="2"/>
      <c r="Q38" s="2"/>
      <c r="R38" s="9"/>
      <c r="S38" s="9"/>
      <c r="T38" s="9"/>
      <c r="U38" s="7"/>
    </row>
    <row r="39" spans="1:21">
      <c r="A39" s="9"/>
      <c r="B39" s="2"/>
      <c r="C39" s="2"/>
      <c r="D39" s="9"/>
      <c r="E39" s="9"/>
      <c r="F39" s="9"/>
      <c r="G39" s="2"/>
      <c r="H39" s="9"/>
      <c r="I39" s="2"/>
      <c r="J39" s="2"/>
      <c r="K39" s="9"/>
      <c r="L39" s="9"/>
      <c r="M39" s="9"/>
      <c r="N39" s="2"/>
      <c r="O39" s="9"/>
      <c r="P39" s="2"/>
      <c r="Q39" s="2"/>
      <c r="R39" s="9"/>
      <c r="S39" s="9"/>
      <c r="T39" s="9"/>
      <c r="U39" s="7"/>
    </row>
    <row r="40" spans="1:21">
      <c r="A40" s="9"/>
      <c r="B40" s="2"/>
      <c r="C40" s="2"/>
      <c r="D40" s="9"/>
      <c r="E40" s="9"/>
      <c r="F40" s="9"/>
      <c r="G40" s="2"/>
      <c r="H40" s="9"/>
      <c r="I40" s="2"/>
      <c r="J40" s="2"/>
      <c r="K40" s="9"/>
      <c r="L40" s="9"/>
      <c r="M40" s="9"/>
      <c r="N40" s="2"/>
      <c r="O40" s="9"/>
      <c r="P40" s="2"/>
      <c r="Q40" s="2"/>
      <c r="R40" s="9"/>
      <c r="S40" s="9"/>
      <c r="T40" s="9"/>
      <c r="U40" s="7"/>
    </row>
    <row r="41" spans="1:21">
      <c r="A41" s="9"/>
      <c r="B41" s="2"/>
      <c r="C41" s="2"/>
      <c r="D41" s="9"/>
      <c r="E41" s="9"/>
      <c r="F41" s="9"/>
      <c r="G41" s="2"/>
      <c r="H41" s="9"/>
      <c r="I41" s="2"/>
      <c r="J41" s="2"/>
      <c r="K41" s="9"/>
      <c r="L41" s="9"/>
      <c r="M41" s="9"/>
      <c r="N41" s="2"/>
      <c r="O41" s="9"/>
      <c r="P41" s="2"/>
      <c r="Q41" s="2"/>
      <c r="R41" s="9"/>
      <c r="S41" s="9"/>
      <c r="T41" s="9"/>
      <c r="U41" s="7"/>
    </row>
    <row r="42" spans="1:21" ht="15">
      <c r="A42" s="9"/>
      <c r="B42" s="5"/>
      <c r="C42" s="5"/>
      <c r="D42" s="9"/>
      <c r="E42" s="9"/>
      <c r="F42" s="9"/>
      <c r="G42" s="10"/>
      <c r="H42" s="9"/>
      <c r="I42" s="5"/>
      <c r="J42" s="5"/>
      <c r="K42" s="9"/>
      <c r="L42" s="9"/>
      <c r="M42" s="9"/>
      <c r="N42" s="10"/>
      <c r="O42" s="9"/>
      <c r="P42" s="5"/>
      <c r="Q42" s="5"/>
      <c r="R42" s="9"/>
      <c r="S42" s="9"/>
      <c r="T42" s="9"/>
      <c r="U42" s="7"/>
    </row>
    <row r="43" spans="1:21" ht="15">
      <c r="A43" s="9"/>
      <c r="B43" s="5"/>
      <c r="C43" s="5"/>
      <c r="D43" s="9"/>
      <c r="E43" s="9"/>
      <c r="F43" s="9"/>
      <c r="G43" s="7"/>
      <c r="H43" s="9"/>
      <c r="I43" s="5"/>
      <c r="J43" s="5"/>
      <c r="K43" s="9"/>
      <c r="L43" s="9"/>
      <c r="M43" s="9"/>
      <c r="N43" s="7"/>
      <c r="O43" s="9"/>
      <c r="P43" s="5"/>
      <c r="Q43" s="5"/>
      <c r="R43" s="9"/>
      <c r="S43" s="9"/>
      <c r="T43" s="9"/>
      <c r="U43" s="7"/>
    </row>
    <row r="44" spans="1:21" ht="15">
      <c r="A44" s="9"/>
      <c r="B44" s="5"/>
      <c r="C44" s="5"/>
      <c r="D44" s="9"/>
      <c r="E44" s="9"/>
      <c r="F44" s="9"/>
      <c r="G44" s="7"/>
      <c r="H44" s="9"/>
      <c r="I44" s="5"/>
      <c r="J44" s="5"/>
      <c r="K44" s="9"/>
      <c r="L44" s="9"/>
      <c r="M44" s="9"/>
      <c r="N44" s="7"/>
      <c r="O44" s="9"/>
      <c r="P44" s="5"/>
      <c r="Q44" s="5"/>
      <c r="R44" s="9"/>
      <c r="S44" s="9"/>
      <c r="T44" s="9"/>
      <c r="U44" s="7"/>
    </row>
    <row r="45" spans="1:21" ht="15">
      <c r="A45" s="9"/>
      <c r="B45" s="5"/>
      <c r="C45" s="5"/>
      <c r="D45" s="9"/>
      <c r="E45" s="9"/>
      <c r="F45" s="9"/>
      <c r="G45" s="7"/>
      <c r="H45" s="9"/>
      <c r="I45" s="5"/>
      <c r="J45" s="5"/>
      <c r="K45" s="9"/>
      <c r="L45" s="9"/>
      <c r="M45" s="9"/>
      <c r="N45" s="7"/>
      <c r="O45" s="9"/>
      <c r="P45" s="5"/>
      <c r="Q45" s="5"/>
      <c r="R45" s="9"/>
      <c r="S45" s="9"/>
      <c r="T45" s="9"/>
      <c r="U45" s="7"/>
    </row>
    <row r="46" spans="1:21" ht="15">
      <c r="A46" s="9"/>
      <c r="B46" s="5"/>
      <c r="C46" s="5"/>
      <c r="D46" s="9"/>
      <c r="E46" s="9"/>
      <c r="F46" s="9"/>
      <c r="G46" s="7"/>
      <c r="H46" s="9"/>
      <c r="I46" s="5"/>
      <c r="J46" s="5"/>
      <c r="K46" s="9"/>
      <c r="L46" s="9"/>
      <c r="M46" s="9"/>
      <c r="N46" s="7"/>
      <c r="O46" s="9"/>
      <c r="P46" s="5"/>
      <c r="Q46" s="5"/>
      <c r="R46" s="9"/>
      <c r="S46" s="9"/>
      <c r="T46" s="9"/>
      <c r="U46" s="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8" workbookViewId="0">
      <selection activeCell="B23" sqref="B23"/>
    </sheetView>
  </sheetViews>
  <sheetFormatPr baseColWidth="10" defaultRowHeight="14" x14ac:dyDescent="0"/>
  <cols>
    <col min="3" max="3" width="10.83203125" style="85"/>
    <col min="13" max="13" width="17.1640625" customWidth="1"/>
    <col min="17" max="17" width="14.83203125" style="105" bestFit="1" customWidth="1"/>
  </cols>
  <sheetData>
    <row r="1" spans="1:18">
      <c r="A1" s="1" t="s">
        <v>73</v>
      </c>
      <c r="B1" s="1" t="s">
        <v>74</v>
      </c>
      <c r="C1" s="82" t="s">
        <v>89</v>
      </c>
      <c r="D1" s="12" t="s">
        <v>90</v>
      </c>
      <c r="E1" s="12" t="s">
        <v>91</v>
      </c>
      <c r="F1" s="12" t="s">
        <v>92</v>
      </c>
      <c r="G1" s="12" t="s">
        <v>93</v>
      </c>
      <c r="H1" s="13" t="s">
        <v>94</v>
      </c>
      <c r="I1" s="14" t="s">
        <v>95</v>
      </c>
      <c r="J1" s="14" t="s">
        <v>96</v>
      </c>
      <c r="K1" s="14" t="s">
        <v>97</v>
      </c>
      <c r="L1" s="15" t="s">
        <v>98</v>
      </c>
      <c r="M1" s="99" t="s">
        <v>101</v>
      </c>
    </row>
    <row r="2" spans="1:18" ht="15" thickBot="1">
      <c r="A2" s="1"/>
      <c r="B2" s="1"/>
      <c r="C2" s="83"/>
      <c r="D2" s="16" t="s">
        <v>99</v>
      </c>
      <c r="E2" s="16" t="s">
        <v>99</v>
      </c>
      <c r="F2" s="16" t="s">
        <v>99</v>
      </c>
      <c r="G2" s="16" t="s">
        <v>100</v>
      </c>
      <c r="H2" s="17" t="s">
        <v>100</v>
      </c>
      <c r="I2" s="18" t="s">
        <v>99</v>
      </c>
      <c r="J2" s="18" t="s">
        <v>99</v>
      </c>
      <c r="K2" s="18" t="s">
        <v>100</v>
      </c>
      <c r="L2" s="19" t="s">
        <v>100</v>
      </c>
      <c r="M2" s="100"/>
      <c r="N2" s="104" t="s">
        <v>180</v>
      </c>
      <c r="O2" s="104" t="s">
        <v>181</v>
      </c>
      <c r="P2" s="80" t="s">
        <v>183</v>
      </c>
      <c r="Q2" s="106" t="s">
        <v>182</v>
      </c>
    </row>
    <row r="3" spans="1:18">
      <c r="A3" s="1">
        <v>1</v>
      </c>
      <c r="B3" s="1" t="s">
        <v>9</v>
      </c>
      <c r="C3" s="84" t="s">
        <v>142</v>
      </c>
      <c r="D3" s="21">
        <v>312</v>
      </c>
      <c r="E3" s="21">
        <v>315</v>
      </c>
      <c r="F3" s="21">
        <v>990</v>
      </c>
      <c r="G3" s="22">
        <f>L3</f>
        <v>2250.7692307692309</v>
      </c>
      <c r="H3" s="23">
        <f>(((D3+J3)*G3)/(F3-(D3+J3)))</f>
        <v>1035.7522123893805</v>
      </c>
      <c r="I3" s="21">
        <v>325</v>
      </c>
      <c r="J3" s="21"/>
      <c r="K3" s="21">
        <v>1100</v>
      </c>
      <c r="L3" s="24">
        <f>((K3*F3)/(I3+J3))-K3</f>
        <v>2250.7692307692309</v>
      </c>
      <c r="M3" s="70" t="s">
        <v>136</v>
      </c>
      <c r="N3" t="str">
        <f>RIGHT(LEFT(M3,5),2)</f>
        <v>07</v>
      </c>
      <c r="O3" t="str">
        <f>LEFT(M3,2)</f>
        <v>27</v>
      </c>
      <c r="P3" t="str">
        <f>RIGHT(M3,5)</f>
        <v>16:50</v>
      </c>
      <c r="Q3" s="107">
        <f>DATE(2018,N3,O3)+(LEFT(P3,2)+RIGHT(P3,2)/60)/24</f>
        <v>43308.701388888891</v>
      </c>
      <c r="R3" s="72"/>
    </row>
    <row r="4" spans="1:18">
      <c r="A4" s="1">
        <v>2</v>
      </c>
      <c r="B4" s="1" t="s">
        <v>11</v>
      </c>
      <c r="C4" s="84" t="s">
        <v>142</v>
      </c>
      <c r="D4" s="21">
        <v>306</v>
      </c>
      <c r="E4" s="21">
        <v>308</v>
      </c>
      <c r="F4" s="21">
        <v>990</v>
      </c>
      <c r="G4" s="22">
        <f t="shared" ref="G4:G16" si="0">L4</f>
        <v>2250.7692307692309</v>
      </c>
      <c r="H4" s="23">
        <f t="shared" ref="H4:H16" si="1">(((D4+J4)*G4)/(F4-(D4+J4)))</f>
        <v>1006.9230769230769</v>
      </c>
      <c r="I4" s="21">
        <v>325</v>
      </c>
      <c r="J4" s="21"/>
      <c r="K4" s="21">
        <v>1100</v>
      </c>
      <c r="L4" s="24">
        <f t="shared" ref="L4:L16" si="2">((K4*F4)/(I4+J4))-K4</f>
        <v>2250.7692307692309</v>
      </c>
      <c r="M4" s="70" t="s">
        <v>136</v>
      </c>
      <c r="N4" t="str">
        <f t="shared" ref="N4:N42" si="3">RIGHT(LEFT(M4,5),2)</f>
        <v>07</v>
      </c>
      <c r="O4" t="str">
        <f t="shared" ref="O4:O42" si="4">LEFT(M4,2)</f>
        <v>27</v>
      </c>
      <c r="P4" t="str">
        <f t="shared" ref="P4:P42" si="5">RIGHT(M4,5)</f>
        <v>16:50</v>
      </c>
      <c r="Q4" s="107">
        <f t="shared" ref="Q4:Q42" si="6">DATE(2018,N4,O4)+(LEFT(P4,2)+RIGHT(P4,2)/60)/24</f>
        <v>43308.701388888891</v>
      </c>
    </row>
    <row r="5" spans="1:18">
      <c r="A5" s="1">
        <v>3</v>
      </c>
      <c r="B5" s="1" t="s">
        <v>12</v>
      </c>
      <c r="C5" s="84" t="s">
        <v>142</v>
      </c>
      <c r="D5" s="21">
        <v>312</v>
      </c>
      <c r="E5" s="21">
        <v>315</v>
      </c>
      <c r="F5" s="21">
        <v>990</v>
      </c>
      <c r="G5" s="22">
        <f t="shared" si="0"/>
        <v>2250.7692307692309</v>
      </c>
      <c r="H5" s="23">
        <f t="shared" si="1"/>
        <v>1035.7522123893805</v>
      </c>
      <c r="I5" s="21">
        <v>325</v>
      </c>
      <c r="J5" s="21"/>
      <c r="K5" s="21">
        <v>1100</v>
      </c>
      <c r="L5" s="24">
        <f t="shared" si="2"/>
        <v>2250.7692307692309</v>
      </c>
      <c r="M5" s="70" t="s">
        <v>136</v>
      </c>
      <c r="N5" t="str">
        <f t="shared" si="3"/>
        <v>07</v>
      </c>
      <c r="O5" t="str">
        <f t="shared" si="4"/>
        <v>27</v>
      </c>
      <c r="P5" t="str">
        <f t="shared" si="5"/>
        <v>16:50</v>
      </c>
      <c r="Q5" s="107">
        <f t="shared" si="6"/>
        <v>43308.701388888891</v>
      </c>
    </row>
    <row r="6" spans="1:18">
      <c r="A6" s="1">
        <v>4</v>
      </c>
      <c r="B6" s="1" t="s">
        <v>13</v>
      </c>
      <c r="C6" s="84" t="s">
        <v>142</v>
      </c>
      <c r="D6" s="21">
        <v>306</v>
      </c>
      <c r="E6" s="21">
        <v>308</v>
      </c>
      <c r="F6" s="21">
        <v>990</v>
      </c>
      <c r="G6" s="22">
        <f t="shared" si="0"/>
        <v>2250.7692307692309</v>
      </c>
      <c r="H6" s="23">
        <f t="shared" si="1"/>
        <v>1006.9230769230769</v>
      </c>
      <c r="I6" s="21">
        <v>325</v>
      </c>
      <c r="J6" s="21"/>
      <c r="K6" s="21">
        <v>1100</v>
      </c>
      <c r="L6" s="24">
        <f t="shared" si="2"/>
        <v>2250.7692307692309</v>
      </c>
      <c r="M6" s="70" t="s">
        <v>136</v>
      </c>
      <c r="N6" t="str">
        <f t="shared" si="3"/>
        <v>07</v>
      </c>
      <c r="O6" t="str">
        <f t="shared" si="4"/>
        <v>27</v>
      </c>
      <c r="P6" t="str">
        <f t="shared" si="5"/>
        <v>16:50</v>
      </c>
      <c r="Q6" s="107">
        <f t="shared" si="6"/>
        <v>43308.701388888891</v>
      </c>
    </row>
    <row r="7" spans="1:18">
      <c r="A7" s="1">
        <v>5</v>
      </c>
      <c r="B7" s="1" t="s">
        <v>14</v>
      </c>
      <c r="C7" s="84" t="s">
        <v>142</v>
      </c>
      <c r="D7" s="21">
        <v>310</v>
      </c>
      <c r="E7" s="21">
        <v>313</v>
      </c>
      <c r="F7" s="21">
        <v>990</v>
      </c>
      <c r="G7" s="22">
        <f t="shared" si="0"/>
        <v>2250.7692307692309</v>
      </c>
      <c r="H7" s="23">
        <f t="shared" si="1"/>
        <v>1026.0859728506789</v>
      </c>
      <c r="I7" s="21">
        <v>325</v>
      </c>
      <c r="J7" s="21"/>
      <c r="K7" s="21">
        <v>1100</v>
      </c>
      <c r="L7" s="24">
        <f t="shared" si="2"/>
        <v>2250.7692307692309</v>
      </c>
      <c r="M7" s="70" t="s">
        <v>136</v>
      </c>
      <c r="N7" t="str">
        <f t="shared" si="3"/>
        <v>07</v>
      </c>
      <c r="O7" t="str">
        <f t="shared" si="4"/>
        <v>27</v>
      </c>
      <c r="P7" t="str">
        <f t="shared" si="5"/>
        <v>16:50</v>
      </c>
      <c r="Q7" s="107">
        <f t="shared" si="6"/>
        <v>43308.701388888891</v>
      </c>
    </row>
    <row r="8" spans="1:18">
      <c r="A8" s="1">
        <v>6</v>
      </c>
      <c r="B8" s="1" t="s">
        <v>15</v>
      </c>
      <c r="C8" s="84" t="s">
        <v>142</v>
      </c>
      <c r="D8" s="21">
        <v>305</v>
      </c>
      <c r="E8" s="21">
        <v>308</v>
      </c>
      <c r="F8" s="21">
        <v>990</v>
      </c>
      <c r="G8" s="22">
        <f t="shared" si="0"/>
        <v>2250.7692307692309</v>
      </c>
      <c r="H8" s="23">
        <f t="shared" si="1"/>
        <v>1002.1673217293657</v>
      </c>
      <c r="I8" s="21">
        <v>325</v>
      </c>
      <c r="J8" s="21"/>
      <c r="K8" s="21">
        <v>1100</v>
      </c>
      <c r="L8" s="24">
        <f t="shared" si="2"/>
        <v>2250.7692307692309</v>
      </c>
      <c r="M8" s="70" t="s">
        <v>136</v>
      </c>
      <c r="N8" t="str">
        <f t="shared" si="3"/>
        <v>07</v>
      </c>
      <c r="O8" t="str">
        <f t="shared" si="4"/>
        <v>27</v>
      </c>
      <c r="P8" t="str">
        <f t="shared" si="5"/>
        <v>16:50</v>
      </c>
      <c r="Q8" s="107">
        <f t="shared" si="6"/>
        <v>43308.701388888891</v>
      </c>
    </row>
    <row r="9" spans="1:18">
      <c r="A9" s="1">
        <v>7</v>
      </c>
      <c r="B9" s="1" t="s">
        <v>16</v>
      </c>
      <c r="C9" s="84" t="s">
        <v>142</v>
      </c>
      <c r="D9" s="21">
        <v>313</v>
      </c>
      <c r="E9" s="21">
        <v>316</v>
      </c>
      <c r="F9" s="21">
        <v>990</v>
      </c>
      <c r="G9" s="22">
        <f t="shared" si="0"/>
        <v>2250.7692307692309</v>
      </c>
      <c r="H9" s="23">
        <f t="shared" si="1"/>
        <v>1040.6067492330417</v>
      </c>
      <c r="I9" s="21">
        <v>325</v>
      </c>
      <c r="J9" s="21"/>
      <c r="K9" s="21">
        <v>1100</v>
      </c>
      <c r="L9" s="24">
        <f t="shared" si="2"/>
        <v>2250.7692307692309</v>
      </c>
      <c r="M9" s="70" t="s">
        <v>137</v>
      </c>
      <c r="N9" t="str">
        <f t="shared" si="3"/>
        <v>07</v>
      </c>
      <c r="O9" t="str">
        <f t="shared" si="4"/>
        <v>27</v>
      </c>
      <c r="P9" t="str">
        <f t="shared" si="5"/>
        <v>17:22</v>
      </c>
      <c r="Q9" s="107">
        <f t="shared" si="6"/>
        <v>43308.723611111112</v>
      </c>
    </row>
    <row r="10" spans="1:18">
      <c r="A10" s="1">
        <v>8</v>
      </c>
      <c r="B10" s="1" t="s">
        <v>17</v>
      </c>
      <c r="C10" s="84" t="s">
        <v>142</v>
      </c>
      <c r="D10" s="21">
        <v>310</v>
      </c>
      <c r="E10" s="21">
        <v>312</v>
      </c>
      <c r="F10" s="21">
        <v>990</v>
      </c>
      <c r="G10" s="22">
        <f t="shared" si="0"/>
        <v>2250.7692307692309</v>
      </c>
      <c r="H10" s="23">
        <f t="shared" si="1"/>
        <v>1026.0859728506789</v>
      </c>
      <c r="I10" s="21">
        <v>325</v>
      </c>
      <c r="J10" s="21"/>
      <c r="K10" s="21">
        <v>1100</v>
      </c>
      <c r="L10" s="24">
        <f t="shared" si="2"/>
        <v>2250.7692307692309</v>
      </c>
      <c r="M10" s="70" t="s">
        <v>137</v>
      </c>
      <c r="N10" t="str">
        <f t="shared" si="3"/>
        <v>07</v>
      </c>
      <c r="O10" t="str">
        <f t="shared" si="4"/>
        <v>27</v>
      </c>
      <c r="P10" t="str">
        <f t="shared" si="5"/>
        <v>17:22</v>
      </c>
      <c r="Q10" s="107">
        <f t="shared" si="6"/>
        <v>43308.723611111112</v>
      </c>
    </row>
    <row r="11" spans="1:18">
      <c r="A11" s="1">
        <v>9</v>
      </c>
      <c r="B11" s="1" t="s">
        <v>18</v>
      </c>
      <c r="C11" s="84" t="s">
        <v>142</v>
      </c>
      <c r="D11" s="21">
        <v>311</v>
      </c>
      <c r="E11" s="21">
        <v>314</v>
      </c>
      <c r="F11" s="21">
        <v>990</v>
      </c>
      <c r="G11" s="22">
        <f t="shared" si="0"/>
        <v>2250.7692307692309</v>
      </c>
      <c r="H11" s="23">
        <f t="shared" si="1"/>
        <v>1030.911974623315</v>
      </c>
      <c r="I11" s="21">
        <v>325</v>
      </c>
      <c r="J11" s="21"/>
      <c r="K11" s="21">
        <v>1100</v>
      </c>
      <c r="L11" s="24">
        <f t="shared" si="2"/>
        <v>2250.7692307692309</v>
      </c>
      <c r="M11" s="70" t="s">
        <v>137</v>
      </c>
      <c r="N11" t="str">
        <f t="shared" si="3"/>
        <v>07</v>
      </c>
      <c r="O11" t="str">
        <f t="shared" si="4"/>
        <v>27</v>
      </c>
      <c r="P11" t="str">
        <f t="shared" si="5"/>
        <v>17:22</v>
      </c>
      <c r="Q11" s="107">
        <f t="shared" si="6"/>
        <v>43308.723611111112</v>
      </c>
    </row>
    <row r="12" spans="1:18">
      <c r="A12" s="1">
        <v>10</v>
      </c>
      <c r="B12" s="1" t="s">
        <v>19</v>
      </c>
      <c r="C12" s="84" t="s">
        <v>142</v>
      </c>
      <c r="D12" s="21">
        <v>305</v>
      </c>
      <c r="E12" s="21">
        <v>307</v>
      </c>
      <c r="F12" s="21">
        <v>990</v>
      </c>
      <c r="G12" s="22">
        <f t="shared" si="0"/>
        <v>2250.7692307692309</v>
      </c>
      <c r="H12" s="23">
        <f t="shared" si="1"/>
        <v>1002.1673217293657</v>
      </c>
      <c r="I12" s="21">
        <v>325</v>
      </c>
      <c r="J12" s="21"/>
      <c r="K12" s="21">
        <v>1100</v>
      </c>
      <c r="L12" s="24">
        <f t="shared" si="2"/>
        <v>2250.7692307692309</v>
      </c>
      <c r="M12" s="70" t="s">
        <v>137</v>
      </c>
      <c r="N12" t="str">
        <f t="shared" si="3"/>
        <v>07</v>
      </c>
      <c r="O12" t="str">
        <f t="shared" si="4"/>
        <v>27</v>
      </c>
      <c r="P12" t="str">
        <f t="shared" si="5"/>
        <v>17:22</v>
      </c>
      <c r="Q12" s="107">
        <f t="shared" si="6"/>
        <v>43308.723611111112</v>
      </c>
    </row>
    <row r="13" spans="1:18">
      <c r="A13" s="1">
        <v>11</v>
      </c>
      <c r="B13" s="1" t="s">
        <v>20</v>
      </c>
      <c r="C13" s="84" t="s">
        <v>142</v>
      </c>
      <c r="D13" s="21">
        <v>305</v>
      </c>
      <c r="E13" s="21">
        <v>307</v>
      </c>
      <c r="F13" s="21">
        <v>990</v>
      </c>
      <c r="G13" s="22">
        <f t="shared" si="0"/>
        <v>2250.7692307692309</v>
      </c>
      <c r="H13" s="23">
        <f t="shared" si="1"/>
        <v>1002.1673217293657</v>
      </c>
      <c r="I13" s="21">
        <v>325</v>
      </c>
      <c r="J13" s="21"/>
      <c r="K13" s="21">
        <v>1100</v>
      </c>
      <c r="L13" s="24">
        <f t="shared" si="2"/>
        <v>2250.7692307692309</v>
      </c>
      <c r="M13" s="70" t="s">
        <v>137</v>
      </c>
      <c r="N13" t="str">
        <f t="shared" si="3"/>
        <v>07</v>
      </c>
      <c r="O13" t="str">
        <f t="shared" si="4"/>
        <v>27</v>
      </c>
      <c r="P13" t="str">
        <f t="shared" si="5"/>
        <v>17:22</v>
      </c>
      <c r="Q13" s="107">
        <f t="shared" si="6"/>
        <v>43308.723611111112</v>
      </c>
    </row>
    <row r="14" spans="1:18">
      <c r="A14" s="1">
        <v>12</v>
      </c>
      <c r="B14" s="1" t="s">
        <v>21</v>
      </c>
      <c r="C14" s="84" t="s">
        <v>142</v>
      </c>
      <c r="D14" s="21">
        <v>306</v>
      </c>
      <c r="E14" s="21">
        <v>307</v>
      </c>
      <c r="F14" s="21">
        <v>990</v>
      </c>
      <c r="G14" s="22">
        <f t="shared" si="0"/>
        <v>2250.7692307692309</v>
      </c>
      <c r="H14" s="23">
        <f t="shared" si="1"/>
        <v>1006.9230769230769</v>
      </c>
      <c r="I14" s="21">
        <v>325</v>
      </c>
      <c r="J14" s="21"/>
      <c r="K14" s="21">
        <v>1100</v>
      </c>
      <c r="L14" s="24">
        <f t="shared" si="2"/>
        <v>2250.7692307692309</v>
      </c>
      <c r="M14" s="70" t="s">
        <v>138</v>
      </c>
      <c r="N14" t="str">
        <f t="shared" si="3"/>
        <v>07</v>
      </c>
      <c r="O14" t="str">
        <f t="shared" si="4"/>
        <v>27</v>
      </c>
      <c r="P14" t="str">
        <f t="shared" si="5"/>
        <v>17:30</v>
      </c>
      <c r="Q14" s="107">
        <f t="shared" si="6"/>
        <v>43308.729166666664</v>
      </c>
    </row>
    <row r="15" spans="1:18">
      <c r="A15" s="1">
        <v>13</v>
      </c>
      <c r="B15" s="1" t="s">
        <v>22</v>
      </c>
      <c r="C15" s="84" t="s">
        <v>142</v>
      </c>
      <c r="D15" s="21">
        <v>311</v>
      </c>
      <c r="E15" s="21">
        <v>312</v>
      </c>
      <c r="F15" s="21">
        <v>990</v>
      </c>
      <c r="G15" s="22">
        <f t="shared" si="0"/>
        <v>2250.7692307692309</v>
      </c>
      <c r="H15" s="23">
        <f t="shared" si="1"/>
        <v>1030.911974623315</v>
      </c>
      <c r="I15" s="21">
        <v>325</v>
      </c>
      <c r="J15" s="21"/>
      <c r="K15" s="21">
        <v>1100</v>
      </c>
      <c r="L15" s="24">
        <f t="shared" si="2"/>
        <v>2250.7692307692309</v>
      </c>
      <c r="M15" s="70" t="s">
        <v>138</v>
      </c>
      <c r="N15" t="str">
        <f t="shared" si="3"/>
        <v>07</v>
      </c>
      <c r="O15" t="str">
        <f t="shared" si="4"/>
        <v>27</v>
      </c>
      <c r="P15" t="str">
        <f t="shared" si="5"/>
        <v>17:30</v>
      </c>
      <c r="Q15" s="107">
        <f t="shared" si="6"/>
        <v>43308.729166666664</v>
      </c>
    </row>
    <row r="16" spans="1:18">
      <c r="A16" s="1">
        <v>14</v>
      </c>
      <c r="B16" s="1" t="s">
        <v>23</v>
      </c>
      <c r="C16" s="84" t="s">
        <v>142</v>
      </c>
      <c r="D16" s="21">
        <v>307</v>
      </c>
      <c r="E16" s="21">
        <v>309</v>
      </c>
      <c r="F16" s="21">
        <v>987</v>
      </c>
      <c r="G16" s="22">
        <f t="shared" si="0"/>
        <v>2261.3003095975232</v>
      </c>
      <c r="H16" s="23">
        <f t="shared" si="1"/>
        <v>1020.9105809506466</v>
      </c>
      <c r="I16" s="21">
        <v>323</v>
      </c>
      <c r="J16" s="21"/>
      <c r="K16" s="21">
        <v>1100</v>
      </c>
      <c r="L16" s="24">
        <f t="shared" si="2"/>
        <v>2261.3003095975232</v>
      </c>
      <c r="M16" s="70" t="s">
        <v>138</v>
      </c>
      <c r="N16" t="str">
        <f t="shared" si="3"/>
        <v>07</v>
      </c>
      <c r="O16" t="str">
        <f t="shared" si="4"/>
        <v>27</v>
      </c>
      <c r="P16" t="str">
        <f t="shared" si="5"/>
        <v>17:30</v>
      </c>
      <c r="Q16" s="107">
        <f t="shared" si="6"/>
        <v>43308.729166666664</v>
      </c>
    </row>
    <row r="17" spans="1:17">
      <c r="A17" s="1">
        <v>15</v>
      </c>
      <c r="B17" s="1" t="s">
        <v>24</v>
      </c>
      <c r="C17" s="84" t="s">
        <v>142</v>
      </c>
      <c r="D17" s="21">
        <v>309</v>
      </c>
      <c r="E17" s="21">
        <v>311</v>
      </c>
      <c r="F17" s="21">
        <v>987</v>
      </c>
      <c r="G17" s="22">
        <f t="shared" ref="G17:G22" si="7">L17</f>
        <v>2261.3003095975232</v>
      </c>
      <c r="H17" s="23">
        <f t="shared" ref="H17:H22" si="8">(((D17+J17)*G17)/(F17-(D17+J17)))</f>
        <v>1030.5926189758623</v>
      </c>
      <c r="I17" s="21">
        <v>323</v>
      </c>
      <c r="J17" s="21"/>
      <c r="K17" s="21">
        <v>1100</v>
      </c>
      <c r="L17" s="24">
        <f t="shared" ref="L17:L22" si="9">((K17*F17)/(I17+J17))-K17</f>
        <v>2261.3003095975232</v>
      </c>
      <c r="M17" s="70" t="s">
        <v>138</v>
      </c>
      <c r="N17" t="str">
        <f t="shared" si="3"/>
        <v>07</v>
      </c>
      <c r="O17" t="str">
        <f t="shared" si="4"/>
        <v>27</v>
      </c>
      <c r="P17" t="str">
        <f t="shared" si="5"/>
        <v>17:30</v>
      </c>
      <c r="Q17" s="107">
        <f t="shared" si="6"/>
        <v>43308.729166666664</v>
      </c>
    </row>
    <row r="18" spans="1:17">
      <c r="A18" s="1">
        <v>16</v>
      </c>
      <c r="B18" s="1" t="s">
        <v>25</v>
      </c>
      <c r="C18" s="84" t="s">
        <v>142</v>
      </c>
      <c r="D18" s="21">
        <v>308</v>
      </c>
      <c r="E18" s="21">
        <v>310</v>
      </c>
      <c r="F18" s="21">
        <v>987</v>
      </c>
      <c r="G18" s="22">
        <f t="shared" si="7"/>
        <v>2261.3003095975232</v>
      </c>
      <c r="H18" s="23">
        <f t="shared" si="8"/>
        <v>1025.7444703328972</v>
      </c>
      <c r="I18" s="21">
        <v>323</v>
      </c>
      <c r="J18" s="21"/>
      <c r="K18" s="21">
        <v>1100</v>
      </c>
      <c r="L18" s="24">
        <f t="shared" si="9"/>
        <v>2261.3003095975232</v>
      </c>
      <c r="M18" s="70" t="s">
        <v>139</v>
      </c>
      <c r="N18" t="str">
        <f t="shared" si="3"/>
        <v>07</v>
      </c>
      <c r="O18" t="str">
        <f t="shared" si="4"/>
        <v>27</v>
      </c>
      <c r="P18" t="str">
        <f t="shared" si="5"/>
        <v>17:39</v>
      </c>
      <c r="Q18" s="107">
        <f t="shared" si="6"/>
        <v>43308.73541666667</v>
      </c>
    </row>
    <row r="19" spans="1:17">
      <c r="A19" s="1">
        <v>17</v>
      </c>
      <c r="B19" s="1" t="s">
        <v>26</v>
      </c>
      <c r="C19" s="85" t="s">
        <v>142</v>
      </c>
      <c r="D19" s="1">
        <v>309</v>
      </c>
      <c r="E19" s="1">
        <v>311</v>
      </c>
      <c r="F19" s="21">
        <v>987</v>
      </c>
      <c r="G19" s="22">
        <f t="shared" si="7"/>
        <v>2261.3003095975232</v>
      </c>
      <c r="H19" s="23">
        <f t="shared" si="8"/>
        <v>1030.5926189758623</v>
      </c>
      <c r="I19" s="21">
        <v>323</v>
      </c>
      <c r="J19" s="21"/>
      <c r="K19" s="21">
        <v>1100</v>
      </c>
      <c r="L19" s="24">
        <f t="shared" si="9"/>
        <v>2261.3003095975232</v>
      </c>
      <c r="M19" s="88" t="s">
        <v>139</v>
      </c>
      <c r="N19" t="str">
        <f t="shared" si="3"/>
        <v>07</v>
      </c>
      <c r="O19" t="str">
        <f t="shared" si="4"/>
        <v>27</v>
      </c>
      <c r="P19" t="str">
        <f t="shared" si="5"/>
        <v>17:39</v>
      </c>
      <c r="Q19" s="107">
        <f t="shared" si="6"/>
        <v>43308.73541666667</v>
      </c>
    </row>
    <row r="20" spans="1:17">
      <c r="A20" s="1">
        <v>18</v>
      </c>
      <c r="B20" s="1" t="s">
        <v>27</v>
      </c>
      <c r="C20" s="85" t="s">
        <v>142</v>
      </c>
      <c r="D20" s="1">
        <v>311</v>
      </c>
      <c r="E20" s="1">
        <v>314</v>
      </c>
      <c r="F20" s="21">
        <v>987</v>
      </c>
      <c r="G20" s="22">
        <f t="shared" si="7"/>
        <v>2261.3003095975232</v>
      </c>
      <c r="H20" s="23">
        <f t="shared" si="8"/>
        <v>1040.3319471669079</v>
      </c>
      <c r="I20" s="21">
        <v>323</v>
      </c>
      <c r="J20" s="21"/>
      <c r="K20" s="21">
        <v>1100</v>
      </c>
      <c r="L20" s="24">
        <f t="shared" si="9"/>
        <v>2261.3003095975232</v>
      </c>
      <c r="M20" s="88" t="s">
        <v>139</v>
      </c>
      <c r="N20" t="str">
        <f t="shared" si="3"/>
        <v>07</v>
      </c>
      <c r="O20" t="str">
        <f t="shared" si="4"/>
        <v>27</v>
      </c>
      <c r="P20" t="str">
        <f t="shared" si="5"/>
        <v>17:39</v>
      </c>
      <c r="Q20" s="107">
        <f t="shared" si="6"/>
        <v>43308.73541666667</v>
      </c>
    </row>
    <row r="21" spans="1:17">
      <c r="A21" s="1">
        <v>19</v>
      </c>
      <c r="B21" s="1" t="s">
        <v>28</v>
      </c>
      <c r="C21" s="85" t="s">
        <v>142</v>
      </c>
      <c r="D21" s="1">
        <v>314</v>
      </c>
      <c r="E21" s="1">
        <v>317</v>
      </c>
      <c r="F21" s="21">
        <v>987</v>
      </c>
      <c r="G21" s="22">
        <f t="shared" si="7"/>
        <v>2261.3003095975232</v>
      </c>
      <c r="H21" s="23">
        <f t="shared" si="8"/>
        <v>1055.0494758003301</v>
      </c>
      <c r="I21" s="21">
        <v>323</v>
      </c>
      <c r="J21" s="21"/>
      <c r="K21" s="21">
        <v>1100</v>
      </c>
      <c r="L21" s="24">
        <f t="shared" si="9"/>
        <v>2261.3003095975232</v>
      </c>
      <c r="M21" s="88" t="s">
        <v>139</v>
      </c>
      <c r="N21" t="str">
        <f t="shared" si="3"/>
        <v>07</v>
      </c>
      <c r="O21" t="str">
        <f t="shared" si="4"/>
        <v>27</v>
      </c>
      <c r="P21" t="str">
        <f t="shared" si="5"/>
        <v>17:39</v>
      </c>
      <c r="Q21" s="107">
        <f t="shared" si="6"/>
        <v>43308.73541666667</v>
      </c>
    </row>
    <row r="22" spans="1:17" ht="15" thickBot="1">
      <c r="A22" s="20">
        <v>20</v>
      </c>
      <c r="B22" s="20" t="s">
        <v>29</v>
      </c>
      <c r="C22" s="86" t="s">
        <v>142</v>
      </c>
      <c r="D22" s="20">
        <v>309</v>
      </c>
      <c r="E22" s="20">
        <v>313</v>
      </c>
      <c r="F22" s="64">
        <v>987</v>
      </c>
      <c r="G22" s="65">
        <f t="shared" si="7"/>
        <v>2261.3003095975232</v>
      </c>
      <c r="H22" s="66">
        <f t="shared" si="8"/>
        <v>1030.5926189758623</v>
      </c>
      <c r="I22" s="64">
        <v>323</v>
      </c>
      <c r="J22" s="64"/>
      <c r="K22" s="64">
        <v>1100</v>
      </c>
      <c r="L22" s="67">
        <f t="shared" si="9"/>
        <v>2261.3003095975232</v>
      </c>
      <c r="M22" s="88" t="s">
        <v>139</v>
      </c>
      <c r="N22" t="str">
        <f t="shared" si="3"/>
        <v>07</v>
      </c>
      <c r="O22" t="str">
        <f t="shared" si="4"/>
        <v>27</v>
      </c>
      <c r="P22" t="str">
        <f t="shared" si="5"/>
        <v>17:39</v>
      </c>
      <c r="Q22" s="107">
        <f t="shared" si="6"/>
        <v>43308.73541666667</v>
      </c>
    </row>
    <row r="23" spans="1:17">
      <c r="A23" s="1">
        <v>21</v>
      </c>
      <c r="B23" s="1" t="s">
        <v>30</v>
      </c>
      <c r="C23" s="87" t="s">
        <v>143</v>
      </c>
      <c r="D23" s="69">
        <v>310</v>
      </c>
      <c r="E23" s="69">
        <v>312</v>
      </c>
      <c r="F23" s="21">
        <v>996</v>
      </c>
      <c r="G23" s="22">
        <f>L23</f>
        <v>2260.7361963190183</v>
      </c>
      <c r="H23" s="23">
        <f t="shared" ref="H23:H62" si="10">(((D23+J23)*G23)/(F23-(D23+J23)))</f>
        <v>1021.6154823015972</v>
      </c>
      <c r="I23" s="21">
        <v>326</v>
      </c>
      <c r="J23" s="21"/>
      <c r="K23" s="21">
        <v>1100</v>
      </c>
      <c r="L23" s="24">
        <f>((K23*F23)/(I23+J23))-K23</f>
        <v>2260.7361963190183</v>
      </c>
      <c r="M23" s="88" t="s">
        <v>144</v>
      </c>
      <c r="N23" t="str">
        <f t="shared" si="3"/>
        <v>08</v>
      </c>
      <c r="O23" t="str">
        <f t="shared" si="4"/>
        <v>21</v>
      </c>
      <c r="P23" t="str">
        <f t="shared" si="5"/>
        <v>14:29</v>
      </c>
      <c r="Q23" s="107">
        <f t="shared" si="6"/>
        <v>43333.603472222225</v>
      </c>
    </row>
    <row r="24" spans="1:17">
      <c r="A24" s="1">
        <v>22</v>
      </c>
      <c r="B24" s="1" t="s">
        <v>31</v>
      </c>
      <c r="C24" s="85" t="s">
        <v>143</v>
      </c>
      <c r="D24" s="69">
        <v>314</v>
      </c>
      <c r="E24" s="69">
        <v>317</v>
      </c>
      <c r="F24" s="21">
        <v>996</v>
      </c>
      <c r="G24" s="22">
        <f t="shared" ref="G24:G62" si="11">L24</f>
        <v>2260.7361963190183</v>
      </c>
      <c r="H24" s="23">
        <f t="shared" si="10"/>
        <v>1040.8668117949733</v>
      </c>
      <c r="I24" s="21">
        <v>326</v>
      </c>
      <c r="J24" s="21"/>
      <c r="K24" s="21">
        <v>1100</v>
      </c>
      <c r="L24" s="24">
        <f t="shared" ref="L24:L62" si="12">((K24*F24)/(I24+J24))-K24</f>
        <v>2260.7361963190183</v>
      </c>
      <c r="M24" s="88" t="s">
        <v>144</v>
      </c>
      <c r="N24" t="str">
        <f t="shared" si="3"/>
        <v>08</v>
      </c>
      <c r="O24" t="str">
        <f t="shared" si="4"/>
        <v>21</v>
      </c>
      <c r="P24" t="str">
        <f t="shared" si="5"/>
        <v>14:29</v>
      </c>
      <c r="Q24" s="107">
        <f t="shared" si="6"/>
        <v>43333.603472222225</v>
      </c>
    </row>
    <row r="25" spans="1:17">
      <c r="A25" s="1">
        <v>23</v>
      </c>
      <c r="B25" s="1" t="s">
        <v>32</v>
      </c>
      <c r="C25" s="85" t="s">
        <v>143</v>
      </c>
      <c r="D25" s="69">
        <v>312</v>
      </c>
      <c r="E25" s="69">
        <v>315</v>
      </c>
      <c r="F25" s="21">
        <v>996</v>
      </c>
      <c r="G25" s="22">
        <f t="shared" si="11"/>
        <v>2260.7361963190183</v>
      </c>
      <c r="H25" s="23">
        <f t="shared" si="10"/>
        <v>1031.2130018297275</v>
      </c>
      <c r="I25" s="21">
        <v>326</v>
      </c>
      <c r="J25" s="21"/>
      <c r="K25" s="21">
        <v>1100</v>
      </c>
      <c r="L25" s="24">
        <f t="shared" si="12"/>
        <v>2260.7361963190183</v>
      </c>
      <c r="M25" s="88" t="s">
        <v>144</v>
      </c>
      <c r="N25" t="str">
        <f t="shared" si="3"/>
        <v>08</v>
      </c>
      <c r="O25" t="str">
        <f t="shared" si="4"/>
        <v>21</v>
      </c>
      <c r="P25" t="str">
        <f t="shared" si="5"/>
        <v>14:29</v>
      </c>
      <c r="Q25" s="107">
        <f t="shared" si="6"/>
        <v>43333.603472222225</v>
      </c>
    </row>
    <row r="26" spans="1:17">
      <c r="A26" s="1">
        <v>24</v>
      </c>
      <c r="B26" s="1" t="s">
        <v>33</v>
      </c>
      <c r="C26" s="85" t="s">
        <v>143</v>
      </c>
      <c r="D26" s="1">
        <v>309</v>
      </c>
      <c r="E26" s="69">
        <v>311</v>
      </c>
      <c r="F26" s="21">
        <v>996</v>
      </c>
      <c r="G26" s="22">
        <f t="shared" si="11"/>
        <v>2260.7361963190183</v>
      </c>
      <c r="H26" s="23">
        <f t="shared" si="10"/>
        <v>1016.8376778203445</v>
      </c>
      <c r="I26" s="21">
        <v>326</v>
      </c>
      <c r="J26" s="21"/>
      <c r="K26" s="21">
        <v>1100</v>
      </c>
      <c r="L26" s="24">
        <f t="shared" si="12"/>
        <v>2260.7361963190183</v>
      </c>
      <c r="M26" s="88" t="s">
        <v>145</v>
      </c>
      <c r="N26" t="str">
        <f t="shared" si="3"/>
        <v>08</v>
      </c>
      <c r="O26" t="str">
        <f t="shared" si="4"/>
        <v>21</v>
      </c>
      <c r="P26" t="str">
        <f t="shared" si="5"/>
        <v>15:49</v>
      </c>
      <c r="Q26" s="107">
        <f t="shared" si="6"/>
        <v>43333.65902777778</v>
      </c>
    </row>
    <row r="27" spans="1:17">
      <c r="A27" s="1">
        <v>25</v>
      </c>
      <c r="B27" s="1" t="s">
        <v>34</v>
      </c>
      <c r="C27" s="85" t="s">
        <v>143</v>
      </c>
      <c r="D27" s="69">
        <v>311</v>
      </c>
      <c r="E27" s="69">
        <v>313</v>
      </c>
      <c r="F27" s="21">
        <v>996</v>
      </c>
      <c r="G27" s="22">
        <f t="shared" si="11"/>
        <v>2260.7361963190183</v>
      </c>
      <c r="H27" s="23">
        <f t="shared" si="10"/>
        <v>1026.4072365769557</v>
      </c>
      <c r="I27" s="21">
        <v>326</v>
      </c>
      <c r="J27" s="21"/>
      <c r="K27" s="21">
        <v>1100</v>
      </c>
      <c r="L27" s="24">
        <f t="shared" si="12"/>
        <v>2260.7361963190183</v>
      </c>
      <c r="M27" s="88" t="s">
        <v>144</v>
      </c>
      <c r="N27" t="str">
        <f t="shared" si="3"/>
        <v>08</v>
      </c>
      <c r="O27" t="str">
        <f t="shared" si="4"/>
        <v>21</v>
      </c>
      <c r="P27" t="str">
        <f t="shared" si="5"/>
        <v>14:29</v>
      </c>
      <c r="Q27" s="107">
        <f t="shared" si="6"/>
        <v>43333.603472222225</v>
      </c>
    </row>
    <row r="28" spans="1:17">
      <c r="A28" s="1">
        <v>26</v>
      </c>
      <c r="B28" s="1" t="s">
        <v>35</v>
      </c>
      <c r="C28" s="85" t="s">
        <v>143</v>
      </c>
      <c r="D28" s="69">
        <v>307</v>
      </c>
      <c r="E28" s="69">
        <v>309</v>
      </c>
      <c r="F28" s="21">
        <v>996</v>
      </c>
      <c r="G28" s="22">
        <f t="shared" si="11"/>
        <v>2260.7361963190183</v>
      </c>
      <c r="H28" s="23">
        <f t="shared" si="10"/>
        <v>1007.3236752829298</v>
      </c>
      <c r="I28" s="21">
        <v>326</v>
      </c>
      <c r="J28" s="21"/>
      <c r="K28" s="21">
        <v>1100</v>
      </c>
      <c r="L28" s="24">
        <f t="shared" si="12"/>
        <v>2260.7361963190183</v>
      </c>
      <c r="M28" s="88" t="s">
        <v>145</v>
      </c>
      <c r="N28" t="str">
        <f t="shared" si="3"/>
        <v>08</v>
      </c>
      <c r="O28" t="str">
        <f t="shared" si="4"/>
        <v>21</v>
      </c>
      <c r="P28" t="str">
        <f t="shared" si="5"/>
        <v>15:49</v>
      </c>
      <c r="Q28" s="107">
        <f t="shared" si="6"/>
        <v>43333.65902777778</v>
      </c>
    </row>
    <row r="29" spans="1:17">
      <c r="A29" s="1">
        <v>27</v>
      </c>
      <c r="B29" s="1" t="s">
        <v>36</v>
      </c>
      <c r="C29" s="85" t="s">
        <v>143</v>
      </c>
      <c r="D29" s="69">
        <v>313</v>
      </c>
      <c r="E29" s="69">
        <v>316</v>
      </c>
      <c r="F29" s="21">
        <v>996</v>
      </c>
      <c r="G29" s="22">
        <f t="shared" si="11"/>
        <v>2260.7361963190183</v>
      </c>
      <c r="H29" s="23">
        <f t="shared" si="10"/>
        <v>1036.0328396015414</v>
      </c>
      <c r="I29" s="21">
        <v>326</v>
      </c>
      <c r="J29" s="21"/>
      <c r="K29" s="21">
        <v>1100</v>
      </c>
      <c r="L29" s="24">
        <f t="shared" si="12"/>
        <v>2260.7361963190183</v>
      </c>
      <c r="M29" s="88" t="s">
        <v>145</v>
      </c>
      <c r="N29" t="str">
        <f t="shared" si="3"/>
        <v>08</v>
      </c>
      <c r="O29" t="str">
        <f t="shared" si="4"/>
        <v>21</v>
      </c>
      <c r="P29" t="str">
        <f t="shared" si="5"/>
        <v>15:49</v>
      </c>
      <c r="Q29" s="107">
        <f t="shared" si="6"/>
        <v>43333.65902777778</v>
      </c>
    </row>
    <row r="30" spans="1:17">
      <c r="A30" s="1">
        <v>28</v>
      </c>
      <c r="B30" s="1" t="s">
        <v>37</v>
      </c>
      <c r="C30" s="85" t="s">
        <v>143</v>
      </c>
      <c r="D30" s="69">
        <v>313</v>
      </c>
      <c r="E30" s="69">
        <v>316</v>
      </c>
      <c r="F30" s="21">
        <v>996</v>
      </c>
      <c r="G30" s="22">
        <f t="shared" si="11"/>
        <v>2260.7361963190183</v>
      </c>
      <c r="H30" s="23">
        <f t="shared" si="10"/>
        <v>1036.0328396015414</v>
      </c>
      <c r="I30" s="21">
        <v>326</v>
      </c>
      <c r="J30" s="21"/>
      <c r="K30" s="21">
        <v>1100</v>
      </c>
      <c r="L30" s="24">
        <f t="shared" si="12"/>
        <v>2260.7361963190183</v>
      </c>
      <c r="M30" s="88" t="s">
        <v>145</v>
      </c>
      <c r="N30" t="str">
        <f t="shared" si="3"/>
        <v>08</v>
      </c>
      <c r="O30" t="str">
        <f t="shared" si="4"/>
        <v>21</v>
      </c>
      <c r="P30" t="str">
        <f t="shared" si="5"/>
        <v>15:49</v>
      </c>
      <c r="Q30" s="107">
        <f t="shared" si="6"/>
        <v>43333.65902777778</v>
      </c>
    </row>
    <row r="31" spans="1:17">
      <c r="A31" s="1">
        <v>29</v>
      </c>
      <c r="B31" s="1" t="s">
        <v>38</v>
      </c>
      <c r="C31" s="85" t="s">
        <v>143</v>
      </c>
      <c r="D31" s="69">
        <v>313</v>
      </c>
      <c r="E31" s="69">
        <v>315</v>
      </c>
      <c r="F31" s="21">
        <v>996</v>
      </c>
      <c r="G31" s="22">
        <f t="shared" si="11"/>
        <v>2260.7361963190183</v>
      </c>
      <c r="H31" s="23">
        <f t="shared" si="10"/>
        <v>1036.0328396015414</v>
      </c>
      <c r="I31" s="21">
        <v>326</v>
      </c>
      <c r="J31" s="21"/>
      <c r="K31" s="21">
        <v>1100</v>
      </c>
      <c r="L31" s="24">
        <f t="shared" si="12"/>
        <v>2260.7361963190183</v>
      </c>
      <c r="M31" s="88" t="s">
        <v>145</v>
      </c>
      <c r="N31" t="str">
        <f t="shared" si="3"/>
        <v>08</v>
      </c>
      <c r="O31" t="str">
        <f t="shared" si="4"/>
        <v>21</v>
      </c>
      <c r="P31" t="str">
        <f t="shared" si="5"/>
        <v>15:49</v>
      </c>
      <c r="Q31" s="107">
        <f t="shared" si="6"/>
        <v>43333.65902777778</v>
      </c>
    </row>
    <row r="32" spans="1:17">
      <c r="A32" s="1">
        <v>30</v>
      </c>
      <c r="B32" s="1" t="s">
        <v>39</v>
      </c>
      <c r="C32" s="85" t="s">
        <v>143</v>
      </c>
      <c r="D32" s="69">
        <v>313</v>
      </c>
      <c r="E32" s="69">
        <v>315</v>
      </c>
      <c r="F32" s="21">
        <v>996</v>
      </c>
      <c r="G32" s="22">
        <f t="shared" si="11"/>
        <v>2260.7361963190183</v>
      </c>
      <c r="H32" s="23">
        <f t="shared" si="10"/>
        <v>1036.0328396015414</v>
      </c>
      <c r="I32" s="21">
        <v>326</v>
      </c>
      <c r="J32" s="21"/>
      <c r="K32" s="21">
        <v>1100</v>
      </c>
      <c r="L32" s="24">
        <f t="shared" si="12"/>
        <v>2260.7361963190183</v>
      </c>
      <c r="M32" s="88" t="s">
        <v>146</v>
      </c>
      <c r="N32" t="str">
        <f t="shared" si="3"/>
        <v>08</v>
      </c>
      <c r="O32" t="str">
        <f t="shared" si="4"/>
        <v>21</v>
      </c>
      <c r="P32" t="str">
        <f t="shared" si="5"/>
        <v>15:55</v>
      </c>
      <c r="Q32" s="107">
        <f t="shared" si="6"/>
        <v>43333.663194444445</v>
      </c>
    </row>
    <row r="33" spans="1:17">
      <c r="A33" s="1">
        <v>31</v>
      </c>
      <c r="B33" s="1" t="s">
        <v>40</v>
      </c>
      <c r="C33" s="85" t="s">
        <v>143</v>
      </c>
      <c r="D33" s="69">
        <v>308</v>
      </c>
      <c r="E33" s="69">
        <v>311</v>
      </c>
      <c r="F33" s="21">
        <v>996</v>
      </c>
      <c r="G33" s="22">
        <f t="shared" si="11"/>
        <v>2260.7361963190183</v>
      </c>
      <c r="H33" s="23">
        <f t="shared" si="10"/>
        <v>1012.0737623056069</v>
      </c>
      <c r="I33" s="21">
        <v>326</v>
      </c>
      <c r="J33" s="21"/>
      <c r="K33" s="21">
        <v>1100</v>
      </c>
      <c r="L33" s="24">
        <f t="shared" si="12"/>
        <v>2260.7361963190183</v>
      </c>
      <c r="M33" s="88" t="s">
        <v>146</v>
      </c>
      <c r="N33" t="str">
        <f t="shared" si="3"/>
        <v>08</v>
      </c>
      <c r="O33" t="str">
        <f t="shared" si="4"/>
        <v>21</v>
      </c>
      <c r="P33" t="str">
        <f t="shared" si="5"/>
        <v>15:55</v>
      </c>
      <c r="Q33" s="107">
        <f t="shared" si="6"/>
        <v>43333.663194444445</v>
      </c>
    </row>
    <row r="34" spans="1:17">
      <c r="A34" s="1">
        <v>32</v>
      </c>
      <c r="B34" s="1" t="s">
        <v>41</v>
      </c>
      <c r="C34" s="85" t="s">
        <v>143</v>
      </c>
      <c r="D34" s="69">
        <v>311</v>
      </c>
      <c r="E34" s="69">
        <v>313</v>
      </c>
      <c r="F34" s="21">
        <v>996</v>
      </c>
      <c r="G34" s="22">
        <f t="shared" si="11"/>
        <v>2260.7361963190183</v>
      </c>
      <c r="H34" s="23">
        <f t="shared" si="10"/>
        <v>1026.4072365769557</v>
      </c>
      <c r="I34" s="21">
        <v>326</v>
      </c>
      <c r="J34" s="21"/>
      <c r="K34" s="21">
        <v>1100</v>
      </c>
      <c r="L34" s="24">
        <f t="shared" si="12"/>
        <v>2260.7361963190183</v>
      </c>
      <c r="M34" s="88" t="s">
        <v>146</v>
      </c>
      <c r="N34" t="str">
        <f t="shared" si="3"/>
        <v>08</v>
      </c>
      <c r="O34" t="str">
        <f t="shared" si="4"/>
        <v>21</v>
      </c>
      <c r="P34" t="str">
        <f t="shared" si="5"/>
        <v>15:55</v>
      </c>
      <c r="Q34" s="107">
        <f t="shared" si="6"/>
        <v>43333.663194444445</v>
      </c>
    </row>
    <row r="35" spans="1:17">
      <c r="A35" s="1">
        <v>33</v>
      </c>
      <c r="B35" s="1" t="s">
        <v>42</v>
      </c>
      <c r="C35" s="85" t="s">
        <v>143</v>
      </c>
      <c r="D35" s="69">
        <v>310</v>
      </c>
      <c r="E35" s="69">
        <v>313</v>
      </c>
      <c r="F35" s="21">
        <v>996</v>
      </c>
      <c r="G35" s="22">
        <f t="shared" si="11"/>
        <v>2260.7361963190183</v>
      </c>
      <c r="H35" s="23">
        <f t="shared" si="10"/>
        <v>1021.6154823015972</v>
      </c>
      <c r="I35" s="21">
        <v>326</v>
      </c>
      <c r="J35" s="21"/>
      <c r="K35" s="21">
        <v>1100</v>
      </c>
      <c r="L35" s="24">
        <f t="shared" si="12"/>
        <v>2260.7361963190183</v>
      </c>
      <c r="M35" s="88" t="s">
        <v>146</v>
      </c>
      <c r="N35" t="str">
        <f t="shared" si="3"/>
        <v>08</v>
      </c>
      <c r="O35" t="str">
        <f t="shared" si="4"/>
        <v>21</v>
      </c>
      <c r="P35" t="str">
        <f t="shared" si="5"/>
        <v>15:55</v>
      </c>
      <c r="Q35" s="107">
        <f t="shared" si="6"/>
        <v>43333.663194444445</v>
      </c>
    </row>
    <row r="36" spans="1:17">
      <c r="A36" s="1">
        <v>34</v>
      </c>
      <c r="B36" s="1" t="s">
        <v>43</v>
      </c>
      <c r="C36" s="85" t="s">
        <v>143</v>
      </c>
      <c r="D36" s="69">
        <v>309</v>
      </c>
      <c r="E36" s="69">
        <v>311</v>
      </c>
      <c r="F36" s="21">
        <v>996</v>
      </c>
      <c r="G36" s="22">
        <f t="shared" si="11"/>
        <v>2260.7361963190183</v>
      </c>
      <c r="H36" s="23">
        <f t="shared" si="10"/>
        <v>1016.8376778203445</v>
      </c>
      <c r="I36" s="21">
        <v>326</v>
      </c>
      <c r="J36" s="21"/>
      <c r="K36" s="21">
        <v>1100</v>
      </c>
      <c r="L36" s="24">
        <f t="shared" si="12"/>
        <v>2260.7361963190183</v>
      </c>
      <c r="M36" s="88" t="s">
        <v>146</v>
      </c>
      <c r="N36" t="str">
        <f t="shared" si="3"/>
        <v>08</v>
      </c>
      <c r="O36" t="str">
        <f t="shared" si="4"/>
        <v>21</v>
      </c>
      <c r="P36" t="str">
        <f t="shared" si="5"/>
        <v>15:55</v>
      </c>
      <c r="Q36" s="107">
        <f t="shared" si="6"/>
        <v>43333.663194444445</v>
      </c>
    </row>
    <row r="37" spans="1:17">
      <c r="A37" s="1">
        <v>35</v>
      </c>
      <c r="B37" s="1" t="s">
        <v>44</v>
      </c>
      <c r="C37" s="85" t="s">
        <v>143</v>
      </c>
      <c r="D37" s="69">
        <v>305</v>
      </c>
      <c r="E37" s="69">
        <v>308</v>
      </c>
      <c r="F37" s="21">
        <v>996</v>
      </c>
      <c r="G37" s="22">
        <f t="shared" si="11"/>
        <v>2260.7361963190183</v>
      </c>
      <c r="H37" s="23">
        <f t="shared" si="10"/>
        <v>997.86474656628161</v>
      </c>
      <c r="I37" s="21">
        <v>326</v>
      </c>
      <c r="J37" s="21"/>
      <c r="K37" s="21">
        <v>1100</v>
      </c>
      <c r="L37" s="24">
        <f t="shared" si="12"/>
        <v>2260.7361963190183</v>
      </c>
      <c r="M37" s="88" t="s">
        <v>146</v>
      </c>
      <c r="N37" t="str">
        <f t="shared" si="3"/>
        <v>08</v>
      </c>
      <c r="O37" t="str">
        <f t="shared" si="4"/>
        <v>21</v>
      </c>
      <c r="P37" t="str">
        <f t="shared" si="5"/>
        <v>15:55</v>
      </c>
      <c r="Q37" s="107">
        <f t="shared" si="6"/>
        <v>43333.663194444445</v>
      </c>
    </row>
    <row r="38" spans="1:17">
      <c r="A38" s="1">
        <v>36</v>
      </c>
      <c r="B38" s="1" t="s">
        <v>45</v>
      </c>
      <c r="C38" s="85" t="s">
        <v>143</v>
      </c>
      <c r="D38" s="69">
        <v>311</v>
      </c>
      <c r="E38" s="69">
        <v>313</v>
      </c>
      <c r="F38" s="21">
        <v>996</v>
      </c>
      <c r="G38" s="22">
        <f t="shared" si="11"/>
        <v>2260.7361963190183</v>
      </c>
      <c r="H38" s="23">
        <f t="shared" si="10"/>
        <v>1026.4072365769557</v>
      </c>
      <c r="I38" s="21">
        <v>326</v>
      </c>
      <c r="J38" s="21"/>
      <c r="K38" s="21">
        <v>1100</v>
      </c>
      <c r="L38" s="24">
        <f t="shared" si="12"/>
        <v>2260.7361963190183</v>
      </c>
      <c r="M38" s="88" t="s">
        <v>147</v>
      </c>
      <c r="N38" t="str">
        <f t="shared" si="3"/>
        <v>08</v>
      </c>
      <c r="O38" t="str">
        <f t="shared" si="4"/>
        <v>21</v>
      </c>
      <c r="P38" t="str">
        <f t="shared" si="5"/>
        <v>16:01</v>
      </c>
      <c r="Q38" s="107">
        <f t="shared" si="6"/>
        <v>43333.667361111111</v>
      </c>
    </row>
    <row r="39" spans="1:17">
      <c r="A39" s="1">
        <v>37</v>
      </c>
      <c r="B39" s="1" t="s">
        <v>46</v>
      </c>
      <c r="C39" s="85" t="s">
        <v>143</v>
      </c>
      <c r="D39" s="69">
        <v>310</v>
      </c>
      <c r="E39" s="69">
        <v>313</v>
      </c>
      <c r="F39" s="21">
        <v>996</v>
      </c>
      <c r="G39" s="22">
        <f t="shared" si="11"/>
        <v>2260.7361963190183</v>
      </c>
      <c r="H39" s="23">
        <f t="shared" si="10"/>
        <v>1021.6154823015972</v>
      </c>
      <c r="I39" s="21">
        <v>326</v>
      </c>
      <c r="J39" s="21"/>
      <c r="K39" s="21">
        <v>1100</v>
      </c>
      <c r="L39" s="24">
        <f t="shared" si="12"/>
        <v>2260.7361963190183</v>
      </c>
      <c r="M39" s="88" t="s">
        <v>147</v>
      </c>
      <c r="N39" t="str">
        <f t="shared" si="3"/>
        <v>08</v>
      </c>
      <c r="O39" t="str">
        <f t="shared" si="4"/>
        <v>21</v>
      </c>
      <c r="P39" t="str">
        <f t="shared" si="5"/>
        <v>16:01</v>
      </c>
      <c r="Q39" s="107">
        <f t="shared" si="6"/>
        <v>43333.667361111111</v>
      </c>
    </row>
    <row r="40" spans="1:17">
      <c r="A40" s="1">
        <v>38</v>
      </c>
      <c r="B40" s="1" t="s">
        <v>47</v>
      </c>
      <c r="C40" s="85" t="s">
        <v>143</v>
      </c>
      <c r="D40" s="69">
        <v>306</v>
      </c>
      <c r="E40" s="69">
        <v>308</v>
      </c>
      <c r="F40" s="21">
        <v>996</v>
      </c>
      <c r="G40" s="22">
        <f t="shared" si="11"/>
        <v>2260.7361963190183</v>
      </c>
      <c r="H40" s="23">
        <f t="shared" si="10"/>
        <v>1002.5873566284342</v>
      </c>
      <c r="I40" s="21">
        <v>326</v>
      </c>
      <c r="J40" s="21"/>
      <c r="K40" s="21">
        <v>1100</v>
      </c>
      <c r="L40" s="24">
        <f t="shared" si="12"/>
        <v>2260.7361963190183</v>
      </c>
      <c r="M40" s="88" t="s">
        <v>147</v>
      </c>
      <c r="N40" t="str">
        <f t="shared" si="3"/>
        <v>08</v>
      </c>
      <c r="O40" t="str">
        <f t="shared" si="4"/>
        <v>21</v>
      </c>
      <c r="P40" t="str">
        <f t="shared" si="5"/>
        <v>16:01</v>
      </c>
      <c r="Q40" s="107">
        <f t="shared" si="6"/>
        <v>43333.667361111111</v>
      </c>
    </row>
    <row r="41" spans="1:17">
      <c r="A41" s="1">
        <v>39</v>
      </c>
      <c r="B41" s="1" t="s">
        <v>48</v>
      </c>
      <c r="C41" s="85" t="s">
        <v>143</v>
      </c>
      <c r="D41" s="69">
        <v>304</v>
      </c>
      <c r="E41" s="69">
        <v>307</v>
      </c>
      <c r="F41" s="21">
        <v>996</v>
      </c>
      <c r="G41" s="22">
        <f t="shared" si="11"/>
        <v>2260.7361963190183</v>
      </c>
      <c r="H41" s="23">
        <f t="shared" si="10"/>
        <v>993.15578566615829</v>
      </c>
      <c r="I41" s="21">
        <v>326</v>
      </c>
      <c r="J41" s="21"/>
      <c r="K41" s="21">
        <v>1100</v>
      </c>
      <c r="L41" s="24">
        <f t="shared" si="12"/>
        <v>2260.7361963190183</v>
      </c>
      <c r="M41" s="88" t="s">
        <v>147</v>
      </c>
      <c r="N41" t="str">
        <f t="shared" si="3"/>
        <v>08</v>
      </c>
      <c r="O41" t="str">
        <f t="shared" si="4"/>
        <v>21</v>
      </c>
      <c r="P41" t="str">
        <f t="shared" si="5"/>
        <v>16:01</v>
      </c>
      <c r="Q41" s="107">
        <f t="shared" si="6"/>
        <v>43333.667361111111</v>
      </c>
    </row>
    <row r="42" spans="1:17" ht="15" thickBot="1">
      <c r="A42" s="20">
        <v>40</v>
      </c>
      <c r="B42" s="20" t="s">
        <v>49</v>
      </c>
      <c r="C42" s="86" t="s">
        <v>143</v>
      </c>
      <c r="D42" s="20">
        <v>311</v>
      </c>
      <c r="E42" s="20">
        <v>314</v>
      </c>
      <c r="F42" s="64">
        <v>996</v>
      </c>
      <c r="G42" s="65">
        <f t="shared" si="11"/>
        <v>2260.7361963190183</v>
      </c>
      <c r="H42" s="66">
        <f t="shared" si="10"/>
        <v>1026.4072365769557</v>
      </c>
      <c r="I42" s="64">
        <v>326</v>
      </c>
      <c r="J42" s="64"/>
      <c r="K42" s="64">
        <v>1100</v>
      </c>
      <c r="L42" s="67">
        <f t="shared" si="12"/>
        <v>2260.7361963190183</v>
      </c>
      <c r="M42" s="88" t="s">
        <v>147</v>
      </c>
      <c r="N42" t="str">
        <f t="shared" si="3"/>
        <v>08</v>
      </c>
      <c r="O42" t="str">
        <f t="shared" si="4"/>
        <v>21</v>
      </c>
      <c r="P42" t="str">
        <f t="shared" si="5"/>
        <v>16:01</v>
      </c>
      <c r="Q42" s="107">
        <f t="shared" si="6"/>
        <v>43333.667361111111</v>
      </c>
    </row>
    <row r="43" spans="1:17">
      <c r="A43" s="1">
        <v>41</v>
      </c>
      <c r="B43" s="1" t="s">
        <v>50</v>
      </c>
      <c r="F43" s="21">
        <v>990</v>
      </c>
      <c r="G43" s="22" t="e">
        <f t="shared" si="11"/>
        <v>#DIV/0!</v>
      </c>
      <c r="H43" s="23" t="e">
        <f t="shared" si="10"/>
        <v>#DIV/0!</v>
      </c>
      <c r="I43" s="21"/>
      <c r="J43" s="21"/>
      <c r="K43" s="21">
        <v>1100</v>
      </c>
      <c r="L43" s="24" t="e">
        <f t="shared" si="12"/>
        <v>#DIV/0!</v>
      </c>
    </row>
    <row r="44" spans="1:17">
      <c r="A44" s="1">
        <v>42</v>
      </c>
      <c r="B44" s="1" t="s">
        <v>51</v>
      </c>
      <c r="F44" s="21">
        <v>990</v>
      </c>
      <c r="G44" s="22" t="e">
        <f t="shared" si="11"/>
        <v>#DIV/0!</v>
      </c>
      <c r="H44" s="23" t="e">
        <f t="shared" si="10"/>
        <v>#DIV/0!</v>
      </c>
      <c r="I44" s="21"/>
      <c r="J44" s="21"/>
      <c r="K44" s="21">
        <v>1100</v>
      </c>
      <c r="L44" s="24" t="e">
        <f t="shared" si="12"/>
        <v>#DIV/0!</v>
      </c>
    </row>
    <row r="45" spans="1:17">
      <c r="A45" s="1">
        <v>43</v>
      </c>
      <c r="B45" s="1" t="s">
        <v>52</v>
      </c>
      <c r="F45" s="21">
        <v>990</v>
      </c>
      <c r="G45" s="22" t="e">
        <f t="shared" si="11"/>
        <v>#DIV/0!</v>
      </c>
      <c r="H45" s="23" t="e">
        <f t="shared" si="10"/>
        <v>#DIV/0!</v>
      </c>
      <c r="I45" s="21"/>
      <c r="J45" s="21"/>
      <c r="K45" s="21">
        <v>1100</v>
      </c>
      <c r="L45" s="24" t="e">
        <f t="shared" si="12"/>
        <v>#DIV/0!</v>
      </c>
    </row>
    <row r="46" spans="1:17">
      <c r="A46" s="1">
        <v>44</v>
      </c>
      <c r="B46" s="1" t="s">
        <v>53</v>
      </c>
      <c r="F46" s="21">
        <v>990</v>
      </c>
      <c r="G46" s="22" t="e">
        <f t="shared" si="11"/>
        <v>#DIV/0!</v>
      </c>
      <c r="H46" s="23" t="e">
        <f t="shared" si="10"/>
        <v>#DIV/0!</v>
      </c>
      <c r="I46" s="21"/>
      <c r="J46" s="21"/>
      <c r="K46" s="21">
        <v>1100</v>
      </c>
      <c r="L46" s="24" t="e">
        <f t="shared" si="12"/>
        <v>#DIV/0!</v>
      </c>
    </row>
    <row r="47" spans="1:17">
      <c r="A47" s="1">
        <v>45</v>
      </c>
      <c r="B47" s="1" t="s">
        <v>54</v>
      </c>
      <c r="F47" s="21">
        <v>990</v>
      </c>
      <c r="G47" s="22" t="e">
        <f t="shared" si="11"/>
        <v>#DIV/0!</v>
      </c>
      <c r="H47" s="23" t="e">
        <f t="shared" si="10"/>
        <v>#DIV/0!</v>
      </c>
      <c r="I47" s="21"/>
      <c r="J47" s="21"/>
      <c r="K47" s="21">
        <v>1100</v>
      </c>
      <c r="L47" s="24" t="e">
        <f t="shared" si="12"/>
        <v>#DIV/0!</v>
      </c>
    </row>
    <row r="48" spans="1:17">
      <c r="A48" s="1">
        <v>46</v>
      </c>
      <c r="B48" s="1" t="s">
        <v>55</v>
      </c>
      <c r="F48" s="21">
        <v>990</v>
      </c>
      <c r="G48" s="22" t="e">
        <f t="shared" si="11"/>
        <v>#DIV/0!</v>
      </c>
      <c r="H48" s="23" t="e">
        <f t="shared" si="10"/>
        <v>#DIV/0!</v>
      </c>
      <c r="I48" s="21"/>
      <c r="J48" s="21"/>
      <c r="K48" s="21">
        <v>1100</v>
      </c>
      <c r="L48" s="24" t="e">
        <f t="shared" si="12"/>
        <v>#DIV/0!</v>
      </c>
    </row>
    <row r="49" spans="1:12">
      <c r="A49" s="1">
        <v>47</v>
      </c>
      <c r="B49" s="1" t="s">
        <v>56</v>
      </c>
      <c r="F49" s="21">
        <v>990</v>
      </c>
      <c r="G49" s="22" t="e">
        <f t="shared" si="11"/>
        <v>#DIV/0!</v>
      </c>
      <c r="H49" s="23" t="e">
        <f t="shared" si="10"/>
        <v>#DIV/0!</v>
      </c>
      <c r="I49" s="21"/>
      <c r="J49" s="21"/>
      <c r="K49" s="21">
        <v>1100</v>
      </c>
      <c r="L49" s="24" t="e">
        <f t="shared" si="12"/>
        <v>#DIV/0!</v>
      </c>
    </row>
    <row r="50" spans="1:12">
      <c r="A50" s="1">
        <v>48</v>
      </c>
      <c r="B50" s="1" t="s">
        <v>57</v>
      </c>
      <c r="F50" s="21">
        <v>990</v>
      </c>
      <c r="G50" s="22" t="e">
        <f t="shared" si="11"/>
        <v>#DIV/0!</v>
      </c>
      <c r="H50" s="23" t="e">
        <f t="shared" si="10"/>
        <v>#DIV/0!</v>
      </c>
      <c r="I50" s="21"/>
      <c r="J50" s="21"/>
      <c r="K50" s="21">
        <v>1100</v>
      </c>
      <c r="L50" s="24" t="e">
        <f t="shared" si="12"/>
        <v>#DIV/0!</v>
      </c>
    </row>
    <row r="51" spans="1:12">
      <c r="A51" s="1">
        <v>49</v>
      </c>
      <c r="B51" s="1" t="s">
        <v>58</v>
      </c>
      <c r="F51" s="21">
        <v>990</v>
      </c>
      <c r="G51" s="22" t="e">
        <f t="shared" si="11"/>
        <v>#DIV/0!</v>
      </c>
      <c r="H51" s="23" t="e">
        <f t="shared" si="10"/>
        <v>#DIV/0!</v>
      </c>
      <c r="I51" s="21"/>
      <c r="J51" s="21"/>
      <c r="K51" s="21">
        <v>1100</v>
      </c>
      <c r="L51" s="24" t="e">
        <f t="shared" si="12"/>
        <v>#DIV/0!</v>
      </c>
    </row>
    <row r="52" spans="1:12">
      <c r="A52" s="1">
        <v>50</v>
      </c>
      <c r="B52" s="1" t="s">
        <v>59</v>
      </c>
      <c r="F52" s="21">
        <v>990</v>
      </c>
      <c r="G52" s="22" t="e">
        <f t="shared" si="11"/>
        <v>#DIV/0!</v>
      </c>
      <c r="H52" s="23" t="e">
        <f t="shared" si="10"/>
        <v>#DIV/0!</v>
      </c>
      <c r="I52" s="21"/>
      <c r="J52" s="21"/>
      <c r="K52" s="21">
        <v>1100</v>
      </c>
      <c r="L52" s="24" t="e">
        <f t="shared" si="12"/>
        <v>#DIV/0!</v>
      </c>
    </row>
    <row r="53" spans="1:12">
      <c r="A53" s="1">
        <v>51</v>
      </c>
      <c r="B53" s="1" t="s">
        <v>60</v>
      </c>
      <c r="F53" s="21">
        <v>990</v>
      </c>
      <c r="G53" s="22" t="e">
        <f t="shared" si="11"/>
        <v>#DIV/0!</v>
      </c>
      <c r="H53" s="23" t="e">
        <f t="shared" si="10"/>
        <v>#DIV/0!</v>
      </c>
      <c r="I53" s="21"/>
      <c r="J53" s="21"/>
      <c r="K53" s="21">
        <v>1100</v>
      </c>
      <c r="L53" s="24" t="e">
        <f t="shared" si="12"/>
        <v>#DIV/0!</v>
      </c>
    </row>
    <row r="54" spans="1:12">
      <c r="A54" s="1">
        <v>52</v>
      </c>
      <c r="B54" s="1" t="s">
        <v>61</v>
      </c>
      <c r="F54" s="21">
        <v>990</v>
      </c>
      <c r="G54" s="22" t="e">
        <f t="shared" si="11"/>
        <v>#DIV/0!</v>
      </c>
      <c r="H54" s="23" t="e">
        <f t="shared" si="10"/>
        <v>#DIV/0!</v>
      </c>
      <c r="I54" s="21"/>
      <c r="J54" s="21"/>
      <c r="K54" s="21">
        <v>1100</v>
      </c>
      <c r="L54" s="24" t="e">
        <f t="shared" si="12"/>
        <v>#DIV/0!</v>
      </c>
    </row>
    <row r="55" spans="1:12">
      <c r="A55" s="1">
        <v>53</v>
      </c>
      <c r="B55" s="1" t="s">
        <v>62</v>
      </c>
      <c r="F55" s="21">
        <v>990</v>
      </c>
      <c r="G55" s="22" t="e">
        <f t="shared" si="11"/>
        <v>#DIV/0!</v>
      </c>
      <c r="H55" s="23" t="e">
        <f t="shared" si="10"/>
        <v>#DIV/0!</v>
      </c>
      <c r="I55" s="21"/>
      <c r="J55" s="21"/>
      <c r="K55" s="21">
        <v>1100</v>
      </c>
      <c r="L55" s="24" t="e">
        <f t="shared" si="12"/>
        <v>#DIV/0!</v>
      </c>
    </row>
    <row r="56" spans="1:12">
      <c r="A56" s="1">
        <v>54</v>
      </c>
      <c r="B56" s="1" t="s">
        <v>63</v>
      </c>
      <c r="F56" s="21">
        <v>990</v>
      </c>
      <c r="G56" s="22" t="e">
        <f t="shared" si="11"/>
        <v>#DIV/0!</v>
      </c>
      <c r="H56" s="23" t="e">
        <f t="shared" si="10"/>
        <v>#DIV/0!</v>
      </c>
      <c r="I56" s="21"/>
      <c r="J56" s="21"/>
      <c r="K56" s="21">
        <v>1100</v>
      </c>
      <c r="L56" s="24" t="e">
        <f t="shared" si="12"/>
        <v>#DIV/0!</v>
      </c>
    </row>
    <row r="57" spans="1:12">
      <c r="A57" s="1">
        <v>55</v>
      </c>
      <c r="B57" s="1" t="s">
        <v>64</v>
      </c>
      <c r="F57" s="21">
        <v>990</v>
      </c>
      <c r="G57" s="22" t="e">
        <f t="shared" si="11"/>
        <v>#DIV/0!</v>
      </c>
      <c r="H57" s="23" t="e">
        <f t="shared" si="10"/>
        <v>#DIV/0!</v>
      </c>
      <c r="I57" s="21"/>
      <c r="J57" s="21"/>
      <c r="K57" s="21">
        <v>1100</v>
      </c>
      <c r="L57" s="24" t="e">
        <f t="shared" si="12"/>
        <v>#DIV/0!</v>
      </c>
    </row>
    <row r="58" spans="1:12">
      <c r="A58" s="1">
        <v>56</v>
      </c>
      <c r="B58" s="1" t="s">
        <v>65</v>
      </c>
      <c r="F58" s="21">
        <v>990</v>
      </c>
      <c r="G58" s="22" t="e">
        <f t="shared" si="11"/>
        <v>#DIV/0!</v>
      </c>
      <c r="H58" s="23" t="e">
        <f t="shared" si="10"/>
        <v>#DIV/0!</v>
      </c>
      <c r="I58" s="21"/>
      <c r="J58" s="21"/>
      <c r="K58" s="21">
        <v>1100</v>
      </c>
      <c r="L58" s="24" t="e">
        <f t="shared" si="12"/>
        <v>#DIV/0!</v>
      </c>
    </row>
    <row r="59" spans="1:12">
      <c r="A59" s="1">
        <v>57</v>
      </c>
      <c r="B59" s="1" t="s">
        <v>66</v>
      </c>
      <c r="F59" s="21">
        <v>990</v>
      </c>
      <c r="G59" s="22" t="e">
        <f t="shared" si="11"/>
        <v>#DIV/0!</v>
      </c>
      <c r="H59" s="23" t="e">
        <f t="shared" si="10"/>
        <v>#DIV/0!</v>
      </c>
      <c r="I59" s="21"/>
      <c r="J59" s="21"/>
      <c r="K59" s="21">
        <v>1100</v>
      </c>
      <c r="L59" s="24" t="e">
        <f t="shared" si="12"/>
        <v>#DIV/0!</v>
      </c>
    </row>
    <row r="60" spans="1:12">
      <c r="A60" s="1">
        <v>58</v>
      </c>
      <c r="B60" s="1" t="s">
        <v>67</v>
      </c>
      <c r="F60" s="21">
        <v>990</v>
      </c>
      <c r="G60" s="22" t="e">
        <f t="shared" si="11"/>
        <v>#DIV/0!</v>
      </c>
      <c r="H60" s="23" t="e">
        <f t="shared" si="10"/>
        <v>#DIV/0!</v>
      </c>
      <c r="I60" s="21"/>
      <c r="J60" s="21"/>
      <c r="K60" s="21">
        <v>1100</v>
      </c>
      <c r="L60" s="24" t="e">
        <f t="shared" si="12"/>
        <v>#DIV/0!</v>
      </c>
    </row>
    <row r="61" spans="1:12">
      <c r="A61" s="1">
        <v>59</v>
      </c>
      <c r="B61" s="1" t="s">
        <v>68</v>
      </c>
      <c r="F61" s="21">
        <v>990</v>
      </c>
      <c r="G61" s="22" t="e">
        <f t="shared" si="11"/>
        <v>#DIV/0!</v>
      </c>
      <c r="H61" s="23" t="e">
        <f t="shared" si="10"/>
        <v>#DIV/0!</v>
      </c>
      <c r="I61" s="21"/>
      <c r="J61" s="21"/>
      <c r="K61" s="21">
        <v>1100</v>
      </c>
      <c r="L61" s="24" t="e">
        <f t="shared" si="12"/>
        <v>#DIV/0!</v>
      </c>
    </row>
    <row r="62" spans="1:12" ht="15" thickBot="1">
      <c r="A62" s="20">
        <v>60</v>
      </c>
      <c r="B62" s="20" t="s">
        <v>69</v>
      </c>
      <c r="C62" s="86"/>
      <c r="D62" s="63"/>
      <c r="E62" s="63"/>
      <c r="F62" s="64">
        <v>990</v>
      </c>
      <c r="G62" s="65" t="e">
        <f t="shared" si="11"/>
        <v>#DIV/0!</v>
      </c>
      <c r="H62" s="66" t="e">
        <f t="shared" si="10"/>
        <v>#DIV/0!</v>
      </c>
      <c r="I62" s="64"/>
      <c r="J62" s="64"/>
      <c r="K62" s="64">
        <v>1100</v>
      </c>
      <c r="L62" s="67" t="e">
        <f t="shared" si="12"/>
        <v>#DIV/0!</v>
      </c>
    </row>
    <row r="63" spans="1:12" ht="15" thickBot="1">
      <c r="B63" s="69" t="s">
        <v>135</v>
      </c>
      <c r="D63">
        <v>7</v>
      </c>
      <c r="F63" s="64">
        <v>987</v>
      </c>
      <c r="G63" s="65">
        <f t="shared" ref="G63" si="13">L63</f>
        <v>2261.3003095975232</v>
      </c>
      <c r="H63" s="66">
        <f t="shared" ref="H63" si="14">(((D63+J63)*G63)/(F63-(D63+J63)))</f>
        <v>16.152145068553736</v>
      </c>
      <c r="I63" s="64">
        <v>323</v>
      </c>
      <c r="J63" s="64"/>
      <c r="K63" s="64">
        <v>1100</v>
      </c>
      <c r="L63" s="67">
        <f t="shared" ref="L63" si="15">((K63*F63)/(I63+J63))-K63</f>
        <v>2261.3003095975232</v>
      </c>
    </row>
  </sheetData>
  <mergeCells count="1">
    <mergeCell ref="M1:M2"/>
  </mergeCells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4" workbookViewId="0">
      <selection activeCell="I17" sqref="I17:I36"/>
    </sheetView>
  </sheetViews>
  <sheetFormatPr baseColWidth="10" defaultRowHeight="14" x14ac:dyDescent="0"/>
  <cols>
    <col min="2" max="2" width="20.33203125" customWidth="1"/>
    <col min="9" max="9" width="18" customWidth="1"/>
    <col min="16" max="16" width="21.332031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43311</v>
      </c>
      <c r="C3" s="32">
        <v>3015</v>
      </c>
      <c r="D3" s="22">
        <v>1617.5</v>
      </c>
      <c r="E3" s="33">
        <v>351.74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43311</v>
      </c>
      <c r="C4" s="32">
        <v>3015</v>
      </c>
      <c r="D4" s="33">
        <v>1445.3</v>
      </c>
      <c r="E4" s="33">
        <v>339.64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43311</v>
      </c>
      <c r="C5" s="32">
        <v>3015</v>
      </c>
      <c r="D5" s="22">
        <v>1346.5</v>
      </c>
      <c r="E5" s="33">
        <v>304.23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43311</v>
      </c>
      <c r="C6" s="32">
        <v>3015</v>
      </c>
      <c r="D6" s="33">
        <v>1150.9000000000001</v>
      </c>
      <c r="E6" s="33">
        <v>260.99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43311</v>
      </c>
      <c r="C7" s="32">
        <v>3015</v>
      </c>
      <c r="D7" s="22">
        <v>1046.5</v>
      </c>
      <c r="E7" s="33">
        <v>233.14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43311</v>
      </c>
      <c r="C8" s="32">
        <v>3015</v>
      </c>
      <c r="D8" s="33">
        <v>847.57</v>
      </c>
      <c r="E8" s="33">
        <v>189.03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43311</v>
      </c>
      <c r="C9" s="32">
        <v>3015</v>
      </c>
      <c r="D9" s="22">
        <v>696.96</v>
      </c>
      <c r="E9" s="33">
        <v>169.18</v>
      </c>
      <c r="F9" s="34">
        <f t="shared" si="0"/>
        <v>6.03</v>
      </c>
      <c r="G9" s="37" t="s">
        <v>112</v>
      </c>
      <c r="H9" s="37"/>
      <c r="I9" s="38">
        <f>SLOPE(F3:F13,D3:D13)</f>
        <v>9.2177616525551051E-3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43311</v>
      </c>
      <c r="C10" s="32">
        <v>3015</v>
      </c>
      <c r="D10" s="22">
        <v>472.62</v>
      </c>
      <c r="E10" s="33">
        <v>115.08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-0.25524243877316977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43311</v>
      </c>
      <c r="C11" s="32">
        <v>3015</v>
      </c>
      <c r="D11" s="22">
        <v>381.54</v>
      </c>
      <c r="E11" s="33">
        <v>92.905000000000001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43311</v>
      </c>
      <c r="C12" s="32">
        <v>3015</v>
      </c>
      <c r="D12" s="39">
        <v>131.87</v>
      </c>
      <c r="E12" s="39">
        <v>35.518999999999998</v>
      </c>
      <c r="F12" s="34">
        <f t="shared" si="0"/>
        <v>1.206</v>
      </c>
      <c r="G12" s="40" t="s">
        <v>114</v>
      </c>
      <c r="H12" s="40"/>
      <c r="I12" s="41">
        <f>SLOPE(F3:F13,E3:E13)</f>
        <v>4.1926454898528392E-2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43311</v>
      </c>
      <c r="C13" s="32">
        <v>3015</v>
      </c>
      <c r="D13" s="39">
        <v>64.069999999999993</v>
      </c>
      <c r="E13" s="39">
        <v>20.356999999999999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-0.59388624051964634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43311.69027777778</v>
      </c>
      <c r="C17" s="21">
        <v>1</v>
      </c>
      <c r="D17" s="51">
        <v>872.44</v>
      </c>
      <c r="E17" s="52">
        <v>191.13</v>
      </c>
      <c r="F17" s="53">
        <f>((I$9*D17)+I$10)/C17/1000</f>
        <v>7.7867015373820061E-3</v>
      </c>
      <c r="G17" s="53">
        <f>((I$12*E17)+I$13)/C17/1000</f>
        <v>7.4195170842360856E-3</v>
      </c>
      <c r="H17" s="53"/>
      <c r="I17" s="54">
        <f>Jar_Information!Q3</f>
        <v>43308.701388888891</v>
      </c>
      <c r="J17" s="55">
        <f t="shared" ref="J17" si="1">B17-I17</f>
        <v>2.9888888888890506</v>
      </c>
      <c r="K17" s="55">
        <f>J17*24</f>
        <v>71.733333333337214</v>
      </c>
      <c r="L17" s="56">
        <f>Jar_Information!H3</f>
        <v>1035.7522123893805</v>
      </c>
      <c r="M17" s="55">
        <f>F17*L17</f>
        <v>8.0650933445592035</v>
      </c>
      <c r="N17" s="55">
        <f>M17*1.83</f>
        <v>14.759120820543343</v>
      </c>
      <c r="O17" s="57">
        <f>N17*(12/(12+(16*2)))</f>
        <v>4.0252147692390929</v>
      </c>
      <c r="P17" s="55">
        <v>27.373506019753322</v>
      </c>
      <c r="Q17" s="58"/>
      <c r="R17" s="58"/>
      <c r="S17" s="71">
        <f>F17*1000000</f>
        <v>7786.7015373820059</v>
      </c>
      <c r="T17" s="72">
        <f>M17/L17*100</f>
        <v>0.77867015373820059</v>
      </c>
    </row>
    <row r="18" spans="1:20">
      <c r="A18" s="1" t="s">
        <v>11</v>
      </c>
      <c r="B18" s="50">
        <v>43311.692361111112</v>
      </c>
      <c r="C18" s="21">
        <v>1</v>
      </c>
      <c r="D18" s="59">
        <v>884.87</v>
      </c>
      <c r="E18" s="60">
        <v>192.89</v>
      </c>
      <c r="F18" s="53">
        <f t="shared" ref="F18:F36" si="2">((I$9*D18)+I$10)/C18/1000</f>
        <v>7.901278314723266E-3</v>
      </c>
      <c r="G18" s="53">
        <f t="shared" ref="G18:G36" si="3">((I$12*E18)+I$13)/C18/1000</f>
        <v>7.4933076448574949E-3</v>
      </c>
      <c r="H18" s="53"/>
      <c r="I18" s="54">
        <f>Jar_Information!Q4</f>
        <v>43308.701388888891</v>
      </c>
      <c r="J18" s="55">
        <f t="shared" ref="J18:J36" si="4">B18-I18</f>
        <v>2.9909722222218988</v>
      </c>
      <c r="K18" s="55">
        <f t="shared" ref="K18:K36" si="5">J18*24</f>
        <v>71.783333333325572</v>
      </c>
      <c r="L18" s="56">
        <f>Jar_Information!H4</f>
        <v>1006.9230769230769</v>
      </c>
      <c r="M18" s="55">
        <f t="shared" ref="M18:M36" si="6">F18*L18</f>
        <v>7.9559794722867343</v>
      </c>
      <c r="N18" s="55">
        <f t="shared" ref="N18:N36" si="7">M18*1.83</f>
        <v>14.559442434284724</v>
      </c>
      <c r="O18" s="57">
        <f t="shared" ref="O18:O36" si="8">N18*(12/(12+(16*2)))</f>
        <v>3.9707570275321973</v>
      </c>
      <c r="P18" s="55">
        <v>26.611591631551708</v>
      </c>
      <c r="Q18" s="58"/>
      <c r="R18" s="58"/>
      <c r="S18" s="71">
        <f t="shared" ref="S18:S36" si="9">F18*1000000</f>
        <v>7901.2783147232658</v>
      </c>
      <c r="T18" s="72">
        <f t="shared" ref="T18:T36" si="10">M18/L18*100</f>
        <v>0.79012783147232657</v>
      </c>
    </row>
    <row r="19" spans="1:20">
      <c r="A19" s="1" t="s">
        <v>12</v>
      </c>
      <c r="B19" s="50">
        <v>43311.693055555559</v>
      </c>
      <c r="C19" s="21">
        <v>1</v>
      </c>
      <c r="D19" s="59">
        <v>903.54</v>
      </c>
      <c r="E19" s="60">
        <v>206.13</v>
      </c>
      <c r="F19" s="53">
        <f t="shared" si="2"/>
        <v>8.073373924776469E-3</v>
      </c>
      <c r="G19" s="53">
        <f t="shared" si="3"/>
        <v>8.0484139077140106E-3</v>
      </c>
      <c r="H19" s="53"/>
      <c r="I19" s="54">
        <f>Jar_Information!Q5</f>
        <v>43308.701388888891</v>
      </c>
      <c r="J19" s="55">
        <f t="shared" si="4"/>
        <v>2.9916666666686069</v>
      </c>
      <c r="K19" s="55">
        <f t="shared" si="5"/>
        <v>71.800000000046566</v>
      </c>
      <c r="L19" s="56">
        <f>Jar_Information!H5</f>
        <v>1035.7522123893805</v>
      </c>
      <c r="M19" s="55">
        <f t="shared" si="6"/>
        <v>8.3620149040339626</v>
      </c>
      <c r="N19" s="55">
        <f t="shared" si="7"/>
        <v>15.302487274382152</v>
      </c>
      <c r="O19" s="57">
        <f t="shared" si="8"/>
        <v>4.173405620286041</v>
      </c>
      <c r="P19" s="55">
        <v>27.373506019753343</v>
      </c>
      <c r="Q19" s="58"/>
      <c r="R19" s="58"/>
      <c r="S19" s="71">
        <f t="shared" si="9"/>
        <v>8073.3739247764688</v>
      </c>
      <c r="T19" s="72">
        <f t="shared" si="10"/>
        <v>0.80733739247764691</v>
      </c>
    </row>
    <row r="20" spans="1:20">
      <c r="A20" s="1" t="s">
        <v>13</v>
      </c>
      <c r="B20" s="50">
        <v>43311.694444444445</v>
      </c>
      <c r="C20" s="21">
        <v>5</v>
      </c>
      <c r="D20" s="59">
        <v>466.79</v>
      </c>
      <c r="E20" s="60">
        <v>106.96</v>
      </c>
      <c r="F20" s="53">
        <f t="shared" si="2"/>
        <v>8.0950330460460558E-4</v>
      </c>
      <c r="G20" s="53">
        <f t="shared" si="3"/>
        <v>7.7811347508538996E-4</v>
      </c>
      <c r="H20" s="53"/>
      <c r="I20" s="54">
        <f>Jar_Information!Q6</f>
        <v>43308.701388888891</v>
      </c>
      <c r="J20" s="55">
        <f t="shared" si="4"/>
        <v>2.9930555555547471</v>
      </c>
      <c r="K20" s="55">
        <f t="shared" si="5"/>
        <v>71.833333333313931</v>
      </c>
      <c r="L20" s="56">
        <f>Jar_Information!H6</f>
        <v>1006.9230769230769</v>
      </c>
      <c r="M20" s="55">
        <f t="shared" si="6"/>
        <v>0.8151075582518682</v>
      </c>
      <c r="N20" s="55">
        <f t="shared" si="7"/>
        <v>1.4916468316009188</v>
      </c>
      <c r="O20" s="57">
        <f t="shared" si="8"/>
        <v>0.40681277225479601</v>
      </c>
      <c r="P20" s="55">
        <v>26.611591631551708</v>
      </c>
      <c r="Q20" s="58"/>
      <c r="R20" s="58"/>
      <c r="S20" s="71">
        <f t="shared" si="9"/>
        <v>809.50330460460555</v>
      </c>
      <c r="T20" s="72">
        <f t="shared" si="10"/>
        <v>8.0950330460460559E-2</v>
      </c>
    </row>
    <row r="21" spans="1:20">
      <c r="A21" s="1" t="s">
        <v>14</v>
      </c>
      <c r="B21" s="50">
        <v>43311.695833333331</v>
      </c>
      <c r="C21" s="21">
        <v>5</v>
      </c>
      <c r="D21" s="59">
        <v>447.24</v>
      </c>
      <c r="E21" s="60">
        <v>103.75</v>
      </c>
      <c r="F21" s="53">
        <f t="shared" si="2"/>
        <v>7.7346185654311522E-4</v>
      </c>
      <c r="G21" s="53">
        <f t="shared" si="3"/>
        <v>7.5119669104053489E-4</v>
      </c>
      <c r="H21" s="53"/>
      <c r="I21" s="54">
        <f>Jar_Information!Q7</f>
        <v>43308.701388888891</v>
      </c>
      <c r="J21" s="55">
        <f t="shared" si="4"/>
        <v>2.9944444444408873</v>
      </c>
      <c r="K21" s="55">
        <f t="shared" si="5"/>
        <v>71.866666666581295</v>
      </c>
      <c r="L21" s="56">
        <f>Jar_Information!H7</f>
        <v>1026.0859728506789</v>
      </c>
      <c r="M21" s="55">
        <f t="shared" si="6"/>
        <v>0.79363836153393463</v>
      </c>
      <c r="N21" s="55">
        <f t="shared" si="7"/>
        <v>1.4523582016071004</v>
      </c>
      <c r="O21" s="57">
        <f t="shared" si="8"/>
        <v>0.39609769134739098</v>
      </c>
      <c r="P21" s="55">
        <v>27.118040607238672</v>
      </c>
      <c r="Q21" s="58"/>
      <c r="R21" s="58"/>
      <c r="S21" s="71">
        <f t="shared" si="9"/>
        <v>773.46185654311523</v>
      </c>
      <c r="T21" s="72">
        <f t="shared" si="10"/>
        <v>7.7346185654311519E-2</v>
      </c>
    </row>
    <row r="22" spans="1:20">
      <c r="A22" s="1" t="s">
        <v>15</v>
      </c>
      <c r="B22" s="50">
        <v>43311.695833333331</v>
      </c>
      <c r="C22" s="21">
        <v>5</v>
      </c>
      <c r="D22" s="59">
        <v>441.19</v>
      </c>
      <c r="E22" s="60">
        <v>109.52</v>
      </c>
      <c r="F22" s="53">
        <f t="shared" si="2"/>
        <v>7.6230836494352338E-4</v>
      </c>
      <c r="G22" s="53">
        <f t="shared" si="3"/>
        <v>7.9957981999343667E-4</v>
      </c>
      <c r="H22" s="53"/>
      <c r="I22" s="54">
        <f>Jar_Information!Q8</f>
        <v>43308.701388888891</v>
      </c>
      <c r="J22" s="55">
        <f t="shared" si="4"/>
        <v>2.9944444444408873</v>
      </c>
      <c r="K22" s="55">
        <f t="shared" si="5"/>
        <v>71.866666666581295</v>
      </c>
      <c r="L22" s="56">
        <f>Jar_Information!H8</f>
        <v>1002.1673217293657</v>
      </c>
      <c r="M22" s="55">
        <f t="shared" si="6"/>
        <v>0.76396053242734263</v>
      </c>
      <c r="N22" s="55">
        <f t="shared" si="7"/>
        <v>1.398047774342037</v>
      </c>
      <c r="O22" s="57">
        <f t="shared" si="8"/>
        <v>0.38128575663873732</v>
      </c>
      <c r="P22" s="55">
        <v>26.485903564592896</v>
      </c>
      <c r="Q22" s="58"/>
      <c r="R22" s="58"/>
      <c r="S22" s="71">
        <f t="shared" si="9"/>
        <v>762.30836494352343</v>
      </c>
      <c r="T22" s="72">
        <f t="shared" si="10"/>
        <v>7.6230836494352333E-2</v>
      </c>
    </row>
    <row r="23" spans="1:20">
      <c r="A23" s="1" t="s">
        <v>16</v>
      </c>
      <c r="B23" s="50">
        <v>43311.697916666664</v>
      </c>
      <c r="C23" s="21">
        <v>1</v>
      </c>
      <c r="D23" s="59">
        <v>1543.6</v>
      </c>
      <c r="E23" s="60">
        <v>355</v>
      </c>
      <c r="F23" s="53">
        <f t="shared" si="2"/>
        <v>1.3973294448110889E-2</v>
      </c>
      <c r="G23" s="53">
        <f t="shared" si="3"/>
        <v>1.4290005248457933E-2</v>
      </c>
      <c r="H23" s="53"/>
      <c r="I23" s="54">
        <f>Jar_Information!Q9</f>
        <v>43308.723611111112</v>
      </c>
      <c r="J23" s="55">
        <f t="shared" si="4"/>
        <v>2.9743055555518367</v>
      </c>
      <c r="K23" s="55">
        <f t="shared" si="5"/>
        <v>71.383333333244082</v>
      </c>
      <c r="L23" s="56">
        <f>Jar_Information!H9</f>
        <v>1040.6067492330417</v>
      </c>
      <c r="M23" s="55">
        <f t="shared" si="6"/>
        <v>14.540704511724782</v>
      </c>
      <c r="N23" s="55">
        <f t="shared" si="7"/>
        <v>26.609489256456349</v>
      </c>
      <c r="O23" s="57">
        <f t="shared" si="8"/>
        <v>7.2571334335790034</v>
      </c>
      <c r="P23" s="55">
        <v>27.501804749819797</v>
      </c>
      <c r="Q23" s="58"/>
      <c r="R23" s="58"/>
      <c r="S23" s="71">
        <f t="shared" si="9"/>
        <v>13973.29444811089</v>
      </c>
      <c r="T23" s="72">
        <f t="shared" si="10"/>
        <v>1.3973294448110889</v>
      </c>
    </row>
    <row r="24" spans="1:20">
      <c r="A24" s="1" t="s">
        <v>17</v>
      </c>
      <c r="B24" s="50">
        <v>43311.699305555558</v>
      </c>
      <c r="C24" s="21">
        <v>1</v>
      </c>
      <c r="D24" s="59">
        <v>1496.9</v>
      </c>
      <c r="E24" s="60">
        <v>323.3</v>
      </c>
      <c r="F24" s="53">
        <f t="shared" si="2"/>
        <v>1.3542824978936569E-2</v>
      </c>
      <c r="G24" s="53">
        <f t="shared" si="3"/>
        <v>1.2960936628174583E-2</v>
      </c>
      <c r="H24" s="53"/>
      <c r="I24" s="54">
        <f>Jar_Information!Q10</f>
        <v>43308.723611111112</v>
      </c>
      <c r="J24" s="55">
        <f t="shared" si="4"/>
        <v>2.9756944444452529</v>
      </c>
      <c r="K24" s="55">
        <f t="shared" si="5"/>
        <v>71.416666666686069</v>
      </c>
      <c r="L24" s="56">
        <f>Jar_Information!H10</f>
        <v>1026.0859728506789</v>
      </c>
      <c r="M24" s="55">
        <f t="shared" si="6"/>
        <v>13.896102743658604</v>
      </c>
      <c r="N24" s="55">
        <f t="shared" si="7"/>
        <v>25.429868020895245</v>
      </c>
      <c r="O24" s="57">
        <f t="shared" si="8"/>
        <v>6.9354185511532487</v>
      </c>
      <c r="P24" s="55">
        <v>27.118040607238672</v>
      </c>
      <c r="Q24" s="58"/>
      <c r="R24" s="58"/>
      <c r="S24" s="71">
        <f t="shared" si="9"/>
        <v>13542.824978936569</v>
      </c>
      <c r="T24" s="72">
        <f t="shared" si="10"/>
        <v>1.354282497893657</v>
      </c>
    </row>
    <row r="25" spans="1:20">
      <c r="A25" s="1" t="s">
        <v>18</v>
      </c>
      <c r="B25" s="50">
        <v>43311.7</v>
      </c>
      <c r="C25" s="21">
        <v>1</v>
      </c>
      <c r="D25" s="59">
        <v>1555.5</v>
      </c>
      <c r="E25" s="60">
        <v>341.35</v>
      </c>
      <c r="F25" s="53">
        <f t="shared" si="2"/>
        <v>1.4082985811776296E-2</v>
      </c>
      <c r="G25" s="53">
        <f t="shared" si="3"/>
        <v>1.3717709139093022E-2</v>
      </c>
      <c r="H25" s="53"/>
      <c r="I25" s="54">
        <f>Jar_Information!Q11</f>
        <v>43308.723611111112</v>
      </c>
      <c r="J25" s="55">
        <f t="shared" si="4"/>
        <v>2.976388888884685</v>
      </c>
      <c r="K25" s="55">
        <f t="shared" si="5"/>
        <v>71.43333333323244</v>
      </c>
      <c r="L25" s="56">
        <f>Jar_Information!H11</f>
        <v>1030.911974623315</v>
      </c>
      <c r="M25" s="55">
        <f t="shared" si="6"/>
        <v>14.51831871181043</v>
      </c>
      <c r="N25" s="55">
        <f t="shared" si="7"/>
        <v>26.56852324261309</v>
      </c>
      <c r="O25" s="57">
        <f t="shared" si="8"/>
        <v>7.2459608843490235</v>
      </c>
      <c r="P25" s="73">
        <v>27.245585194635542</v>
      </c>
      <c r="Q25" s="61"/>
      <c r="R25" s="61"/>
      <c r="S25" s="71">
        <f t="shared" si="9"/>
        <v>14082.985811776296</v>
      </c>
      <c r="T25" s="72">
        <f t="shared" si="10"/>
        <v>1.4082985811776296</v>
      </c>
    </row>
    <row r="26" spans="1:20">
      <c r="A26" s="1" t="s">
        <v>19</v>
      </c>
      <c r="B26" s="50">
        <v>43311.701388888891</v>
      </c>
      <c r="C26" s="21">
        <v>5</v>
      </c>
      <c r="D26" s="59">
        <v>1018.6</v>
      </c>
      <c r="E26" s="60">
        <v>243.5</v>
      </c>
      <c r="F26" s="53">
        <f t="shared" si="2"/>
        <v>1.8267939161038921E-3</v>
      </c>
      <c r="G26" s="53">
        <f t="shared" si="3"/>
        <v>1.9230411054544034E-3</v>
      </c>
      <c r="H26" s="53"/>
      <c r="I26" s="54">
        <f>Jar_Information!Q12</f>
        <v>43308.723611111112</v>
      </c>
      <c r="J26" s="55">
        <f t="shared" si="4"/>
        <v>2.9777777777781012</v>
      </c>
      <c r="K26" s="55">
        <f t="shared" si="5"/>
        <v>71.466666666674428</v>
      </c>
      <c r="L26" s="56">
        <f>Jar_Information!H12</f>
        <v>1002.1673217293657</v>
      </c>
      <c r="M26" s="55">
        <f t="shared" si="6"/>
        <v>1.8307531662533372</v>
      </c>
      <c r="N26" s="55">
        <f t="shared" si="7"/>
        <v>3.3502782942436071</v>
      </c>
      <c r="O26" s="57">
        <f t="shared" si="8"/>
        <v>0.91371226206643819</v>
      </c>
      <c r="P26" s="73">
        <v>26.485903564592896</v>
      </c>
      <c r="Q26" s="61"/>
      <c r="R26" s="61"/>
      <c r="S26" s="71">
        <f t="shared" si="9"/>
        <v>1826.7939161038921</v>
      </c>
      <c r="T26" s="72">
        <f t="shared" si="10"/>
        <v>0.18267939161038921</v>
      </c>
    </row>
    <row r="27" spans="1:20">
      <c r="A27" s="1" t="s">
        <v>20</v>
      </c>
      <c r="B27" s="50">
        <v>43311.70208333333</v>
      </c>
      <c r="C27" s="21">
        <v>5</v>
      </c>
      <c r="D27" s="59">
        <v>930.01</v>
      </c>
      <c r="E27" s="60">
        <v>218.6</v>
      </c>
      <c r="F27" s="53">
        <f t="shared" si="2"/>
        <v>1.6634736151439208E-3</v>
      </c>
      <c r="G27" s="53">
        <f t="shared" si="3"/>
        <v>1.7142473600597322E-3</v>
      </c>
      <c r="H27" s="53"/>
      <c r="I27" s="54">
        <f>Jar_Information!Q13</f>
        <v>43308.723611111112</v>
      </c>
      <c r="J27" s="55">
        <f t="shared" si="4"/>
        <v>2.9784722222175333</v>
      </c>
      <c r="K27" s="55">
        <f t="shared" si="5"/>
        <v>71.483333333220799</v>
      </c>
      <c r="L27" s="56">
        <f>Jar_Information!H13</f>
        <v>1002.1673217293657</v>
      </c>
      <c r="M27" s="55">
        <f t="shared" si="6"/>
        <v>1.6670788976562487</v>
      </c>
      <c r="N27" s="55">
        <f t="shared" si="7"/>
        <v>3.0507543827109354</v>
      </c>
      <c r="O27" s="57">
        <f t="shared" si="8"/>
        <v>0.83202392255752777</v>
      </c>
      <c r="P27" s="73">
        <v>26.485903564592896</v>
      </c>
      <c r="Q27" s="61"/>
      <c r="R27" s="61"/>
      <c r="S27" s="71">
        <f t="shared" si="9"/>
        <v>1663.4736151439208</v>
      </c>
      <c r="T27" s="72">
        <f t="shared" si="10"/>
        <v>0.16634736151439208</v>
      </c>
    </row>
    <row r="28" spans="1:20">
      <c r="A28" s="1" t="s">
        <v>21</v>
      </c>
      <c r="B28" s="50">
        <v>43311.702777777777</v>
      </c>
      <c r="C28" s="21">
        <v>5</v>
      </c>
      <c r="D28" s="59">
        <v>929.6</v>
      </c>
      <c r="E28" s="60">
        <v>206.11</v>
      </c>
      <c r="F28" s="53">
        <f t="shared" si="2"/>
        <v>1.6627177586884111E-3</v>
      </c>
      <c r="G28" s="53">
        <f t="shared" si="3"/>
        <v>1.6095150757232085E-3</v>
      </c>
      <c r="H28" s="53"/>
      <c r="I28" s="54">
        <f>Jar_Information!Q14</f>
        <v>43308.729166666664</v>
      </c>
      <c r="J28" s="55">
        <f t="shared" si="4"/>
        <v>2.9736111111124046</v>
      </c>
      <c r="K28" s="55">
        <f t="shared" si="5"/>
        <v>71.366666666697711</v>
      </c>
      <c r="L28" s="56">
        <f>Jar_Information!H14</f>
        <v>1006.9230769230769</v>
      </c>
      <c r="M28" s="55">
        <f t="shared" si="6"/>
        <v>1.674228881633177</v>
      </c>
      <c r="N28" s="55">
        <f t="shared" si="7"/>
        <v>3.063838853388714</v>
      </c>
      <c r="O28" s="57">
        <f t="shared" si="8"/>
        <v>0.83559241456055833</v>
      </c>
      <c r="P28" s="73">
        <v>26.611591631551708</v>
      </c>
      <c r="Q28" s="61"/>
      <c r="R28" s="61"/>
      <c r="S28" s="71">
        <f t="shared" si="9"/>
        <v>1662.7177586884111</v>
      </c>
      <c r="T28" s="72">
        <f t="shared" si="10"/>
        <v>0.16627177586884112</v>
      </c>
    </row>
    <row r="29" spans="1:20">
      <c r="A29" s="1" t="s">
        <v>22</v>
      </c>
      <c r="B29" s="50">
        <v>43311.70416666667</v>
      </c>
      <c r="C29" s="21">
        <v>1</v>
      </c>
      <c r="D29" s="59">
        <v>1572.1</v>
      </c>
      <c r="E29" s="60">
        <v>340.64</v>
      </c>
      <c r="F29" s="53">
        <f t="shared" si="2"/>
        <v>1.4236000655208709E-2</v>
      </c>
      <c r="G29" s="53">
        <f t="shared" si="3"/>
        <v>1.3687941356115065E-2</v>
      </c>
      <c r="H29" s="53"/>
      <c r="I29" s="54">
        <f>Jar_Information!Q15</f>
        <v>43308.729166666664</v>
      </c>
      <c r="J29" s="55">
        <f t="shared" si="4"/>
        <v>2.9750000000058208</v>
      </c>
      <c r="K29" s="55">
        <f t="shared" si="5"/>
        <v>71.400000000139698</v>
      </c>
      <c r="L29" s="56">
        <f>Jar_Information!H15</f>
        <v>1030.911974623315</v>
      </c>
      <c r="M29" s="55">
        <f t="shared" si="6"/>
        <v>14.676063546200016</v>
      </c>
      <c r="N29" s="55">
        <f t="shared" si="7"/>
        <v>26.857196289546032</v>
      </c>
      <c r="O29" s="57">
        <f t="shared" si="8"/>
        <v>7.3246898971489172</v>
      </c>
      <c r="P29" s="73">
        <v>27.366497554966767</v>
      </c>
      <c r="Q29" s="61"/>
      <c r="R29" s="61"/>
      <c r="S29" s="71">
        <f t="shared" si="9"/>
        <v>14236.000655208709</v>
      </c>
      <c r="T29" s="72">
        <f t="shared" si="10"/>
        <v>1.4236000655208709</v>
      </c>
    </row>
    <row r="30" spans="1:20">
      <c r="A30" s="1" t="s">
        <v>23</v>
      </c>
      <c r="B30" s="50">
        <v>43311.705555555556</v>
      </c>
      <c r="C30" s="21">
        <v>5</v>
      </c>
      <c r="D30" s="59">
        <v>539.91</v>
      </c>
      <c r="E30" s="60">
        <v>125.05</v>
      </c>
      <c r="F30" s="53">
        <f t="shared" si="2"/>
        <v>9.4430385101157129E-4</v>
      </c>
      <c r="G30" s="53">
        <f t="shared" si="3"/>
        <v>9.2980338890826582E-4</v>
      </c>
      <c r="H30" s="53"/>
      <c r="I30" s="54">
        <f>Jar_Information!Q16</f>
        <v>43308.729166666664</v>
      </c>
      <c r="J30" s="55">
        <f t="shared" si="4"/>
        <v>2.976388888891961</v>
      </c>
      <c r="K30" s="55">
        <f t="shared" si="5"/>
        <v>71.433333333407063</v>
      </c>
      <c r="L30" s="56">
        <f>Jar_Information!H16</f>
        <v>1020.9105809506466</v>
      </c>
      <c r="M30" s="55">
        <f t="shared" si="6"/>
        <v>0.96404979313015604</v>
      </c>
      <c r="N30" s="55">
        <f t="shared" si="7"/>
        <v>1.7642111214281857</v>
      </c>
      <c r="O30" s="57">
        <f t="shared" si="8"/>
        <v>0.48114848766223245</v>
      </c>
      <c r="P30" s="73">
        <v>26.855607956200881</v>
      </c>
      <c r="Q30" s="61"/>
      <c r="R30" s="61"/>
      <c r="S30" s="71">
        <f t="shared" si="9"/>
        <v>944.30385101157128</v>
      </c>
      <c r="T30" s="72">
        <f t="shared" si="10"/>
        <v>9.443038510115713E-2</v>
      </c>
    </row>
    <row r="31" spans="1:20">
      <c r="A31" s="1" t="s">
        <v>24</v>
      </c>
      <c r="B31" s="50">
        <v>43311.709027777775</v>
      </c>
      <c r="C31" s="21">
        <v>5</v>
      </c>
      <c r="D31" s="59">
        <v>1171.9000000000001</v>
      </c>
      <c r="E31" s="60">
        <v>266.20999999999998</v>
      </c>
      <c r="F31" s="53">
        <f t="shared" si="2"/>
        <v>2.1094104883712318E-3</v>
      </c>
      <c r="G31" s="53">
        <f t="shared" si="3"/>
        <v>2.1134710636035192E-3</v>
      </c>
      <c r="H31" s="53"/>
      <c r="I31" s="54">
        <f>Jar_Information!Q17</f>
        <v>43308.729166666664</v>
      </c>
      <c r="J31" s="55">
        <f t="shared" si="4"/>
        <v>2.9798611111109494</v>
      </c>
      <c r="K31" s="55">
        <f t="shared" si="5"/>
        <v>71.516666666662786</v>
      </c>
      <c r="L31" s="56">
        <f>Jar_Information!H17</f>
        <v>1030.5926189758623</v>
      </c>
      <c r="M31" s="55">
        <f t="shared" si="6"/>
        <v>2.1739428797056606</v>
      </c>
      <c r="N31" s="55">
        <f t="shared" si="7"/>
        <v>3.978315469861359</v>
      </c>
      <c r="O31" s="57">
        <f t="shared" si="8"/>
        <v>1.0849951281440069</v>
      </c>
      <c r="P31" s="73">
        <v>27.110299231101873</v>
      </c>
      <c r="Q31" s="61"/>
      <c r="R31" s="61"/>
      <c r="S31" s="71">
        <f t="shared" si="9"/>
        <v>2109.4104883712316</v>
      </c>
      <c r="T31" s="72">
        <f t="shared" si="10"/>
        <v>0.2109410488371232</v>
      </c>
    </row>
    <row r="32" spans="1:20">
      <c r="A32" s="1" t="s">
        <v>25</v>
      </c>
      <c r="B32" s="50">
        <v>43311.711805555555</v>
      </c>
      <c r="C32" s="21">
        <v>2</v>
      </c>
      <c r="D32" s="59">
        <v>1245.5999999999999</v>
      </c>
      <c r="E32" s="60">
        <v>275.75</v>
      </c>
      <c r="F32" s="53">
        <f t="shared" si="2"/>
        <v>5.6132007378247341E-3</v>
      </c>
      <c r="G32" s="53">
        <f t="shared" si="3"/>
        <v>5.4836668488747785E-3</v>
      </c>
      <c r="H32" s="53"/>
      <c r="I32" s="54">
        <f>Jar_Information!Q18</f>
        <v>43308.73541666667</v>
      </c>
      <c r="J32" s="55">
        <f t="shared" si="4"/>
        <v>2.976388888884685</v>
      </c>
      <c r="K32" s="55">
        <f t="shared" si="5"/>
        <v>71.43333333323244</v>
      </c>
      <c r="L32" s="56">
        <f>Jar_Information!H18</f>
        <v>1025.7444703328972</v>
      </c>
      <c r="M32" s="55">
        <f t="shared" si="6"/>
        <v>5.7577096176922593</v>
      </c>
      <c r="N32" s="55">
        <f t="shared" si="7"/>
        <v>10.536608600376836</v>
      </c>
      <c r="O32" s="57">
        <f t="shared" si="8"/>
        <v>2.8736205273755004</v>
      </c>
      <c r="P32" s="73">
        <v>26.982766044848059</v>
      </c>
      <c r="Q32" s="61"/>
      <c r="R32" s="61"/>
      <c r="S32" s="71">
        <f t="shared" si="9"/>
        <v>5613.2007378247345</v>
      </c>
      <c r="T32" s="72">
        <f t="shared" si="10"/>
        <v>0.56132007378247339</v>
      </c>
    </row>
    <row r="33" spans="1:20">
      <c r="A33" s="1" t="s">
        <v>26</v>
      </c>
      <c r="B33" s="50">
        <v>43311.714583333334</v>
      </c>
      <c r="C33" s="21">
        <v>5</v>
      </c>
      <c r="D33" s="59">
        <v>804.16</v>
      </c>
      <c r="E33" s="60">
        <v>185.5</v>
      </c>
      <c r="F33" s="53">
        <f t="shared" si="2"/>
        <v>1.4314625543491086E-3</v>
      </c>
      <c r="G33" s="53">
        <f t="shared" si="3"/>
        <v>1.4366942286314741E-3</v>
      </c>
      <c r="H33" s="61"/>
      <c r="I33" s="54">
        <f>Jar_Information!Q19</f>
        <v>43308.73541666667</v>
      </c>
      <c r="J33" s="55">
        <f t="shared" si="4"/>
        <v>2.9791666666642413</v>
      </c>
      <c r="K33" s="55">
        <f t="shared" si="5"/>
        <v>71.499999999941792</v>
      </c>
      <c r="L33" s="56">
        <f>Jar_Information!H19</f>
        <v>1030.5926189758623</v>
      </c>
      <c r="M33" s="55">
        <f t="shared" si="6"/>
        <v>1.4752547428525253</v>
      </c>
      <c r="N33" s="55">
        <f t="shared" si="7"/>
        <v>2.6997161794201214</v>
      </c>
      <c r="O33" s="57">
        <f t="shared" si="8"/>
        <v>0.73628623075094213</v>
      </c>
      <c r="P33" s="73">
        <v>27.110299231101873</v>
      </c>
      <c r="Q33" s="61"/>
      <c r="R33" s="61"/>
      <c r="S33" s="71">
        <f t="shared" si="9"/>
        <v>1431.4625543491086</v>
      </c>
      <c r="T33" s="72">
        <f t="shared" si="10"/>
        <v>0.14314625543491086</v>
      </c>
    </row>
    <row r="34" spans="1:20">
      <c r="A34" s="1" t="s">
        <v>27</v>
      </c>
      <c r="B34" s="50">
        <v>43311.715277777781</v>
      </c>
      <c r="C34" s="21">
        <v>5</v>
      </c>
      <c r="D34" s="59">
        <v>950.84</v>
      </c>
      <c r="E34" s="60">
        <v>223.98</v>
      </c>
      <c r="F34" s="53">
        <f t="shared" si="2"/>
        <v>1.7018748101884653E-3</v>
      </c>
      <c r="G34" s="53">
        <f t="shared" si="3"/>
        <v>1.7593602255305484E-3</v>
      </c>
      <c r="H34" s="61"/>
      <c r="I34" s="54">
        <f>Jar_Information!Q20</f>
        <v>43308.73541666667</v>
      </c>
      <c r="J34" s="55">
        <f t="shared" si="4"/>
        <v>2.9798611111109494</v>
      </c>
      <c r="K34" s="55">
        <f t="shared" si="5"/>
        <v>71.516666666662786</v>
      </c>
      <c r="L34" s="56">
        <f>Jar_Information!H20</f>
        <v>1040.3319471669079</v>
      </c>
      <c r="M34" s="55">
        <f t="shared" si="6"/>
        <v>1.7705147351176778</v>
      </c>
      <c r="N34" s="55">
        <f t="shared" si="7"/>
        <v>3.2400419652653505</v>
      </c>
      <c r="O34" s="57">
        <f t="shared" si="8"/>
        <v>0.88364780870873194</v>
      </c>
      <c r="P34" s="73">
        <v>27.366497554966767</v>
      </c>
      <c r="Q34" s="61"/>
      <c r="R34" s="61"/>
      <c r="S34" s="71">
        <f t="shared" si="9"/>
        <v>1701.8748101884653</v>
      </c>
      <c r="T34" s="72">
        <f t="shared" si="10"/>
        <v>0.17018748101884654</v>
      </c>
    </row>
    <row r="35" spans="1:20">
      <c r="A35" s="1" t="s">
        <v>28</v>
      </c>
      <c r="B35" s="50">
        <v>43311.716666666667</v>
      </c>
      <c r="C35" s="21">
        <v>5</v>
      </c>
      <c r="D35" s="59">
        <v>756.41</v>
      </c>
      <c r="E35" s="60">
        <v>175.87</v>
      </c>
      <c r="F35" s="53">
        <f t="shared" si="2"/>
        <v>1.3434329305672074E-3</v>
      </c>
      <c r="G35" s="53">
        <f t="shared" si="3"/>
        <v>1.3559438764969083E-3</v>
      </c>
      <c r="H35" s="61"/>
      <c r="I35" s="54">
        <f>Jar_Information!Q21</f>
        <v>43308.73541666667</v>
      </c>
      <c r="J35" s="55">
        <f t="shared" si="4"/>
        <v>2.9812499999970896</v>
      </c>
      <c r="K35" s="55">
        <f t="shared" si="5"/>
        <v>71.549999999930151</v>
      </c>
      <c r="L35" s="56">
        <f>Jar_Information!H21</f>
        <v>1055.0494758003301</v>
      </c>
      <c r="M35" s="55">
        <f t="shared" si="6"/>
        <v>1.4173882091678334</v>
      </c>
      <c r="N35" s="55">
        <f t="shared" si="7"/>
        <v>2.5938204227771351</v>
      </c>
      <c r="O35" s="57">
        <f t="shared" si="8"/>
        <v>0.70740556984830949</v>
      </c>
      <c r="P35" s="74">
        <v>27.753650148385191</v>
      </c>
      <c r="S35" s="71">
        <f t="shared" si="9"/>
        <v>1343.4329305672074</v>
      </c>
      <c r="T35" s="72">
        <f t="shared" si="10"/>
        <v>0.13434329305672074</v>
      </c>
    </row>
    <row r="36" spans="1:20">
      <c r="A36" s="1" t="s">
        <v>29</v>
      </c>
      <c r="B36" s="50">
        <v>43311.718055555553</v>
      </c>
      <c r="C36" s="21">
        <v>1</v>
      </c>
      <c r="D36" s="59">
        <v>483.19</v>
      </c>
      <c r="E36" s="60">
        <v>115.1</v>
      </c>
      <c r="F36" s="53">
        <f t="shared" si="2"/>
        <v>4.198687814124932E-3</v>
      </c>
      <c r="G36" s="53">
        <f t="shared" si="3"/>
        <v>4.2318487183009706E-3</v>
      </c>
      <c r="H36" s="61"/>
      <c r="I36" s="54">
        <f>Jar_Information!Q22</f>
        <v>43308.73541666667</v>
      </c>
      <c r="J36" s="55">
        <f t="shared" si="4"/>
        <v>2.9826388888832298</v>
      </c>
      <c r="K36" s="55">
        <f t="shared" si="5"/>
        <v>71.583333333197515</v>
      </c>
      <c r="L36" s="56">
        <f>Jar_Information!H22</f>
        <v>1030.5926189758623</v>
      </c>
      <c r="M36" s="55">
        <f t="shared" si="6"/>
        <v>4.3271366706210523</v>
      </c>
      <c r="N36" s="55">
        <f t="shared" si="7"/>
        <v>7.9186601072365264</v>
      </c>
      <c r="O36" s="57">
        <f t="shared" si="8"/>
        <v>2.1596345747008705</v>
      </c>
      <c r="P36" s="74">
        <v>27.110299231101873</v>
      </c>
      <c r="S36" s="71">
        <f t="shared" si="9"/>
        <v>4198.6878141249317</v>
      </c>
      <c r="T36" s="72">
        <f t="shared" si="10"/>
        <v>0.41986878141249317</v>
      </c>
    </row>
    <row r="37" spans="1:20">
      <c r="A37" s="62"/>
      <c r="B37" s="50"/>
    </row>
    <row r="38" spans="1:20">
      <c r="A38" s="62"/>
      <c r="B38" s="50"/>
    </row>
    <row r="39" spans="1:20">
      <c r="A39" s="62"/>
      <c r="B39" s="50"/>
    </row>
    <row r="40" spans="1:20">
      <c r="A40" s="62"/>
      <c r="B40" s="50"/>
    </row>
  </sheetData>
  <conditionalFormatting sqref="N17:N36">
    <cfRule type="cellIs" dxfId="19" priority="1" operator="greaterThan">
      <formula>25.1</formula>
    </cfRule>
    <cfRule type="cellIs" dxfId="18" priority="2" operator="lessThan">
      <formula>25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4" workbookViewId="0">
      <selection activeCell="I17" sqref="I17:I36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43314</v>
      </c>
      <c r="C3" s="32">
        <v>3015</v>
      </c>
      <c r="D3" s="22">
        <v>1672.3</v>
      </c>
      <c r="E3" s="33">
        <v>413.59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43314</v>
      </c>
      <c r="C4" s="32">
        <v>3015</v>
      </c>
      <c r="D4" s="33">
        <v>1481.7</v>
      </c>
      <c r="E4" s="33">
        <v>344.46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43314</v>
      </c>
      <c r="C5" s="32">
        <v>3015</v>
      </c>
      <c r="D5" s="22">
        <v>1344.4</v>
      </c>
      <c r="E5" s="33">
        <v>321.94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43314</v>
      </c>
      <c r="C6" s="32">
        <v>3015</v>
      </c>
      <c r="D6" s="33">
        <v>1165.4000000000001</v>
      </c>
      <c r="E6" s="33">
        <v>279.77999999999997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43314</v>
      </c>
      <c r="C7" s="32">
        <v>3015</v>
      </c>
      <c r="D7" s="22">
        <v>1041.8</v>
      </c>
      <c r="E7" s="33">
        <v>245.98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43314</v>
      </c>
      <c r="C8" s="32">
        <v>3015</v>
      </c>
      <c r="D8" s="33">
        <v>851.8</v>
      </c>
      <c r="E8" s="33">
        <v>220.69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43314</v>
      </c>
      <c r="C9" s="32">
        <v>3015</v>
      </c>
      <c r="D9" s="22">
        <v>684.38</v>
      </c>
      <c r="E9" s="33">
        <v>177.23</v>
      </c>
      <c r="F9" s="34">
        <f t="shared" si="0"/>
        <v>6.03</v>
      </c>
      <c r="G9" s="37" t="s">
        <v>112</v>
      </c>
      <c r="H9" s="37"/>
      <c r="I9" s="38">
        <f>SLOPE(F3:F13,D3:D13)</f>
        <v>9.0479247733228317E-3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43314</v>
      </c>
      <c r="C10" s="32">
        <v>3015</v>
      </c>
      <c r="D10" s="22">
        <v>508.03</v>
      </c>
      <c r="E10" s="33">
        <v>126.78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-0.21646022041185287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43314</v>
      </c>
      <c r="C11" s="32">
        <v>3015</v>
      </c>
      <c r="D11" s="22">
        <v>372.35</v>
      </c>
      <c r="E11" s="33">
        <v>98.191000000000003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43314</v>
      </c>
      <c r="C12" s="32">
        <v>3015</v>
      </c>
      <c r="D12" s="39">
        <v>134.65</v>
      </c>
      <c r="E12" s="39">
        <v>38.578000000000003</v>
      </c>
      <c r="F12" s="34">
        <f t="shared" si="0"/>
        <v>1.206</v>
      </c>
      <c r="G12" s="40" t="s">
        <v>114</v>
      </c>
      <c r="H12" s="40"/>
      <c r="I12" s="41">
        <f>SLOPE(F3:F13,E3:E13)</f>
        <v>3.8343635160375547E-2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43314</v>
      </c>
      <c r="C13" s="32">
        <v>3015</v>
      </c>
      <c r="D13" s="39">
        <v>70.087000000000003</v>
      </c>
      <c r="E13" s="39">
        <v>22.059000000000001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-0.52465821933401902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43314.427083333336</v>
      </c>
      <c r="C17" s="21">
        <v>1</v>
      </c>
      <c r="D17" s="51">
        <v>1467</v>
      </c>
      <c r="E17" s="52"/>
      <c r="F17" s="53">
        <f>((I$9*D17)+I$10)/C17/1000</f>
        <v>1.3056845422052743E-2</v>
      </c>
      <c r="G17" s="53">
        <f>((I$12*E17)+I$13)/C17/1000</f>
        <v>-5.2465821933401905E-4</v>
      </c>
      <c r="H17" s="53"/>
      <c r="I17" s="54">
        <f>Jar_Information!Q3</f>
        <v>43308.701388888891</v>
      </c>
      <c r="J17" s="55">
        <f t="shared" ref="J17:J36" si="1">B17-I17</f>
        <v>5.7256944444452529</v>
      </c>
      <c r="K17" s="55">
        <f>J17*24</f>
        <v>137.41666666668607</v>
      </c>
      <c r="L17" s="56">
        <f>Jar_Information!H3</f>
        <v>1035.7522123893805</v>
      </c>
      <c r="M17" s="55">
        <f>F17*L17</f>
        <v>13.523656532717283</v>
      </c>
      <c r="N17" s="55">
        <f>M17*1.83</f>
        <v>24.748291454872628</v>
      </c>
      <c r="O17" s="57">
        <f>N17*(12/(12+(16*2)))</f>
        <v>6.7495340331470803</v>
      </c>
      <c r="P17" s="55">
        <v>27.373506019753322</v>
      </c>
      <c r="Q17" s="79"/>
      <c r="R17" s="58"/>
      <c r="S17" s="71">
        <f>F17*1000000</f>
        <v>13056.845422052742</v>
      </c>
      <c r="T17" s="72">
        <f>M17/L17*100</f>
        <v>1.3056845422052743</v>
      </c>
    </row>
    <row r="18" spans="1:20">
      <c r="A18" s="1" t="s">
        <v>11</v>
      </c>
      <c r="B18" s="50">
        <v>43311.692361111112</v>
      </c>
      <c r="C18" s="21">
        <v>1</v>
      </c>
      <c r="D18" s="59">
        <v>1501.5</v>
      </c>
      <c r="E18" s="60"/>
      <c r="F18" s="53">
        <f t="shared" ref="F18:F36" si="2">((I$9*D18)+I$10)/C18/1000</f>
        <v>1.336899882673238E-2</v>
      </c>
      <c r="G18" s="53">
        <f t="shared" ref="G18:G36" si="3">((I$12*E18)+I$13)/C18/1000</f>
        <v>-5.2465821933401905E-4</v>
      </c>
      <c r="H18" s="53"/>
      <c r="I18" s="54">
        <f>Jar_Information!Q4</f>
        <v>43308.701388888891</v>
      </c>
      <c r="J18" s="55">
        <f t="shared" si="1"/>
        <v>2.9909722222218988</v>
      </c>
      <c r="K18" s="55">
        <f t="shared" ref="K18:K36" si="4">J18*24</f>
        <v>71.783333333325572</v>
      </c>
      <c r="L18" s="56">
        <f>Jar_Information!H4</f>
        <v>1006.9230769230769</v>
      </c>
      <c r="M18" s="55">
        <f t="shared" ref="M18:M36" si="5">F18*L18</f>
        <v>13.461553433994373</v>
      </c>
      <c r="N18" s="55">
        <f t="shared" ref="N18:N36" si="6">M18*1.83</f>
        <v>24.634642784209703</v>
      </c>
      <c r="O18" s="57">
        <f t="shared" ref="O18:O36" si="7">N18*(12/(12+(16*2)))</f>
        <v>6.7185389411481005</v>
      </c>
      <c r="P18" s="55">
        <v>26.611591631551708</v>
      </c>
      <c r="Q18" s="77"/>
      <c r="R18" s="58"/>
      <c r="S18" s="71">
        <f t="shared" ref="S18:S36" si="8">F18*1000000</f>
        <v>13368.998826732381</v>
      </c>
      <c r="T18" s="72">
        <f t="shared" ref="T18:T36" si="9">M18/L18*100</f>
        <v>1.3368998826732381</v>
      </c>
    </row>
    <row r="19" spans="1:20">
      <c r="A19" s="1" t="s">
        <v>12</v>
      </c>
      <c r="B19" s="50">
        <v>43311.693055555559</v>
      </c>
      <c r="C19" s="21">
        <v>1</v>
      </c>
      <c r="D19" s="59">
        <v>1567</v>
      </c>
      <c r="E19" s="60"/>
      <c r="F19" s="53">
        <f t="shared" si="2"/>
        <v>1.3961637899385025E-2</v>
      </c>
      <c r="G19" s="53">
        <f t="shared" si="3"/>
        <v>-5.2465821933401905E-4</v>
      </c>
      <c r="H19" s="53"/>
      <c r="I19" s="54">
        <f>Jar_Information!Q5</f>
        <v>43308.701388888891</v>
      </c>
      <c r="J19" s="55">
        <f t="shared" si="1"/>
        <v>2.9916666666686069</v>
      </c>
      <c r="K19" s="55">
        <f t="shared" si="4"/>
        <v>71.800000000046566</v>
      </c>
      <c r="L19" s="56">
        <f>Jar_Information!H5</f>
        <v>1035.7522123893805</v>
      </c>
      <c r="M19" s="55">
        <f t="shared" si="5"/>
        <v>14.460797342867464</v>
      </c>
      <c r="N19" s="55">
        <f t="shared" si="6"/>
        <v>26.463259137447459</v>
      </c>
      <c r="O19" s="57">
        <f t="shared" si="7"/>
        <v>7.2172524920311245</v>
      </c>
      <c r="P19" s="55">
        <v>27.373506019753343</v>
      </c>
      <c r="Q19" s="77"/>
      <c r="R19" s="58"/>
      <c r="S19" s="71">
        <f t="shared" si="8"/>
        <v>13961.637899385025</v>
      </c>
      <c r="T19" s="72">
        <f t="shared" si="9"/>
        <v>1.3961637899385027</v>
      </c>
    </row>
    <row r="20" spans="1:20">
      <c r="A20" s="1" t="s">
        <v>13</v>
      </c>
      <c r="B20" s="50">
        <v>43311.694444444445</v>
      </c>
      <c r="C20" s="21">
        <v>5</v>
      </c>
      <c r="D20" s="59">
        <v>1020.5</v>
      </c>
      <c r="E20" s="60"/>
      <c r="F20" s="53">
        <f t="shared" si="2"/>
        <v>1.8033894021528192E-3</v>
      </c>
      <c r="G20" s="53">
        <f t="shared" si="3"/>
        <v>-1.049316438668038E-4</v>
      </c>
      <c r="H20" s="53"/>
      <c r="I20" s="54">
        <f>Jar_Information!Q6</f>
        <v>43308.701388888891</v>
      </c>
      <c r="J20" s="55">
        <f t="shared" si="1"/>
        <v>2.9930555555547471</v>
      </c>
      <c r="K20" s="55">
        <f t="shared" si="4"/>
        <v>71.833333333313931</v>
      </c>
      <c r="L20" s="56">
        <f>Jar_Information!H6</f>
        <v>1006.9230769230769</v>
      </c>
      <c r="M20" s="55">
        <f t="shared" si="5"/>
        <v>1.8158744057061849</v>
      </c>
      <c r="N20" s="55">
        <f t="shared" si="6"/>
        <v>3.3230501624423185</v>
      </c>
      <c r="O20" s="57">
        <f t="shared" si="7"/>
        <v>0.9062864079388141</v>
      </c>
      <c r="P20" s="55">
        <v>26.611591631551708</v>
      </c>
      <c r="Q20" s="58"/>
      <c r="R20" s="58"/>
      <c r="S20" s="71">
        <f t="shared" si="8"/>
        <v>1803.3894021528192</v>
      </c>
      <c r="T20" s="72">
        <f t="shared" si="9"/>
        <v>0.18033894021528191</v>
      </c>
    </row>
    <row r="21" spans="1:20">
      <c r="A21" s="1" t="s">
        <v>14</v>
      </c>
      <c r="B21" s="50">
        <v>43311.695833333331</v>
      </c>
      <c r="C21" s="21">
        <v>5</v>
      </c>
      <c r="D21" s="59">
        <v>938.59</v>
      </c>
      <c r="E21" s="60"/>
      <c r="F21" s="53">
        <f t="shared" si="2"/>
        <v>1.6551662985162452E-3</v>
      </c>
      <c r="G21" s="53">
        <f t="shared" si="3"/>
        <v>-1.049316438668038E-4</v>
      </c>
      <c r="H21" s="53"/>
      <c r="I21" s="54">
        <f>Jar_Information!Q7</f>
        <v>43308.701388888891</v>
      </c>
      <c r="J21" s="55">
        <f t="shared" si="1"/>
        <v>2.9944444444408873</v>
      </c>
      <c r="K21" s="55">
        <f t="shared" si="4"/>
        <v>71.866666666581295</v>
      </c>
      <c r="L21" s="56">
        <f>Jar_Information!H7</f>
        <v>1026.0859728506789</v>
      </c>
      <c r="M21" s="55">
        <f t="shared" si="5"/>
        <v>1.6983429216426986</v>
      </c>
      <c r="N21" s="55">
        <f t="shared" si="6"/>
        <v>3.1079675466061385</v>
      </c>
      <c r="O21" s="57">
        <f t="shared" si="7"/>
        <v>0.84762751271076497</v>
      </c>
      <c r="P21" s="55">
        <v>27.118040607238672</v>
      </c>
      <c r="Q21" s="58"/>
      <c r="R21" s="58"/>
      <c r="S21" s="71">
        <f t="shared" si="8"/>
        <v>1655.1662985162452</v>
      </c>
      <c r="T21" s="72">
        <f t="shared" si="9"/>
        <v>0.16551662985162452</v>
      </c>
    </row>
    <row r="22" spans="1:20">
      <c r="A22" s="1" t="s">
        <v>15</v>
      </c>
      <c r="B22" s="50">
        <v>43311.695833333331</v>
      </c>
      <c r="C22" s="21">
        <v>5</v>
      </c>
      <c r="D22" s="59">
        <v>1009.1</v>
      </c>
      <c r="E22" s="60"/>
      <c r="F22" s="53">
        <f t="shared" si="2"/>
        <v>1.7827601336696433E-3</v>
      </c>
      <c r="G22" s="53">
        <f t="shared" si="3"/>
        <v>-1.049316438668038E-4</v>
      </c>
      <c r="H22" s="53"/>
      <c r="I22" s="54">
        <f>Jar_Information!Q8</f>
        <v>43308.701388888891</v>
      </c>
      <c r="J22" s="55">
        <f t="shared" si="1"/>
        <v>2.9944444444408873</v>
      </c>
      <c r="K22" s="55">
        <f t="shared" si="4"/>
        <v>71.866666666581295</v>
      </c>
      <c r="L22" s="56">
        <f>Jar_Information!H8</f>
        <v>1002.1673217293657</v>
      </c>
      <c r="M22" s="55">
        <f t="shared" si="5"/>
        <v>1.7866239484455924</v>
      </c>
      <c r="N22" s="55">
        <f t="shared" si="6"/>
        <v>3.2695218256554339</v>
      </c>
      <c r="O22" s="57">
        <f t="shared" si="7"/>
        <v>0.89168777063330007</v>
      </c>
      <c r="P22" s="55">
        <v>26.485903564592896</v>
      </c>
      <c r="Q22" s="58"/>
      <c r="R22" s="58"/>
      <c r="S22" s="71">
        <f t="shared" si="8"/>
        <v>1782.7601336696432</v>
      </c>
      <c r="T22" s="72">
        <f t="shared" si="9"/>
        <v>0.17827601336696433</v>
      </c>
    </row>
    <row r="23" spans="1:20">
      <c r="A23" s="1" t="s">
        <v>16</v>
      </c>
      <c r="B23" s="50">
        <v>43311.697916666664</v>
      </c>
      <c r="C23" s="21">
        <v>0.4</v>
      </c>
      <c r="D23" s="59">
        <v>948.99</v>
      </c>
      <c r="E23" s="60"/>
      <c r="F23" s="53">
        <f t="shared" si="2"/>
        <v>2.0924824775559455E-2</v>
      </c>
      <c r="G23" s="53">
        <f t="shared" si="3"/>
        <v>-1.3116455483350475E-3</v>
      </c>
      <c r="H23" s="53"/>
      <c r="I23" s="54">
        <f>Jar_Information!Q9</f>
        <v>43308.723611111112</v>
      </c>
      <c r="J23" s="55">
        <f t="shared" si="1"/>
        <v>2.9743055555518367</v>
      </c>
      <c r="K23" s="55">
        <f t="shared" si="4"/>
        <v>71.383333333244082</v>
      </c>
      <c r="L23" s="56">
        <f>Jar_Information!H9</f>
        <v>1040.6067492330417</v>
      </c>
      <c r="M23" s="55">
        <f t="shared" si="5"/>
        <v>21.774513887965934</v>
      </c>
      <c r="N23" s="55">
        <f t="shared" si="6"/>
        <v>39.847360414977665</v>
      </c>
      <c r="O23" s="57">
        <f t="shared" si="7"/>
        <v>10.867461931357544</v>
      </c>
      <c r="P23" s="55">
        <v>27.501804749819797</v>
      </c>
      <c r="Q23" s="77"/>
      <c r="R23" s="58"/>
      <c r="S23" s="71">
        <f t="shared" si="8"/>
        <v>20924.824775559457</v>
      </c>
      <c r="T23" s="72">
        <f t="shared" si="9"/>
        <v>2.0924824775559454</v>
      </c>
    </row>
    <row r="24" spans="1:20">
      <c r="A24" s="1" t="s">
        <v>17</v>
      </c>
      <c r="B24" s="50">
        <v>43311.699305555558</v>
      </c>
      <c r="C24" s="21">
        <v>0.4</v>
      </c>
      <c r="D24" s="59">
        <v>1027.4000000000001</v>
      </c>
      <c r="E24" s="60"/>
      <c r="F24" s="53">
        <f t="shared" si="2"/>
        <v>2.2698444229250062E-2</v>
      </c>
      <c r="G24" s="53">
        <f t="shared" si="3"/>
        <v>-1.3116455483350475E-3</v>
      </c>
      <c r="H24" s="53"/>
      <c r="I24" s="54">
        <f>Jar_Information!Q10</f>
        <v>43308.723611111112</v>
      </c>
      <c r="J24" s="55">
        <f t="shared" si="1"/>
        <v>2.9756944444452529</v>
      </c>
      <c r="K24" s="55">
        <f t="shared" si="4"/>
        <v>71.416666666686069</v>
      </c>
      <c r="L24" s="56">
        <f>Jar_Information!H10</f>
        <v>1026.0859728506789</v>
      </c>
      <c r="M24" s="55">
        <f t="shared" si="5"/>
        <v>23.290555229166927</v>
      </c>
      <c r="N24" s="55">
        <f t="shared" si="6"/>
        <v>42.621716069375481</v>
      </c>
      <c r="O24" s="57">
        <f t="shared" si="7"/>
        <v>11.624104382556949</v>
      </c>
      <c r="P24" s="55">
        <v>27.118040607238672</v>
      </c>
      <c r="Q24" s="77"/>
      <c r="R24" s="58"/>
      <c r="S24" s="71">
        <f t="shared" si="8"/>
        <v>22698.444229250061</v>
      </c>
      <c r="T24" s="72">
        <f t="shared" si="9"/>
        <v>2.2698444229250061</v>
      </c>
    </row>
    <row r="25" spans="1:20">
      <c r="A25" s="1" t="s">
        <v>18</v>
      </c>
      <c r="B25" s="50">
        <v>43311.7</v>
      </c>
      <c r="C25" s="21">
        <v>0.4</v>
      </c>
      <c r="D25" s="59">
        <v>1065.7</v>
      </c>
      <c r="E25" s="60"/>
      <c r="F25" s="53">
        <f t="shared" si="2"/>
        <v>2.3564783026295721E-2</v>
      </c>
      <c r="G25" s="53">
        <f t="shared" si="3"/>
        <v>-1.3116455483350475E-3</v>
      </c>
      <c r="H25" s="53"/>
      <c r="I25" s="54">
        <f>Jar_Information!Q11</f>
        <v>43308.723611111112</v>
      </c>
      <c r="J25" s="55">
        <f t="shared" si="1"/>
        <v>2.976388888884685</v>
      </c>
      <c r="K25" s="55">
        <f t="shared" si="4"/>
        <v>71.43333333323244</v>
      </c>
      <c r="L25" s="56">
        <f>Jar_Information!H11</f>
        <v>1030.911974623315</v>
      </c>
      <c r="M25" s="55">
        <f t="shared" si="5"/>
        <v>24.2932170012085</v>
      </c>
      <c r="N25" s="55">
        <f t="shared" si="6"/>
        <v>44.456587112211558</v>
      </c>
      <c r="O25" s="57">
        <f t="shared" si="7"/>
        <v>12.124523757875879</v>
      </c>
      <c r="P25" s="73">
        <v>27.245585194635542</v>
      </c>
      <c r="Q25" s="78"/>
      <c r="R25" s="61"/>
      <c r="S25" s="71">
        <f t="shared" si="8"/>
        <v>23564.783026295721</v>
      </c>
      <c r="T25" s="72">
        <f t="shared" si="9"/>
        <v>2.3564783026295721</v>
      </c>
    </row>
    <row r="26" spans="1:20">
      <c r="A26" s="1" t="s">
        <v>19</v>
      </c>
      <c r="B26" s="50">
        <v>43311.701388888891</v>
      </c>
      <c r="C26" s="21">
        <v>2</v>
      </c>
      <c r="D26" s="59">
        <v>982.09</v>
      </c>
      <c r="E26" s="60"/>
      <c r="F26" s="53">
        <f t="shared" si="2"/>
        <v>4.334708110110384E-3</v>
      </c>
      <c r="G26" s="53">
        <f t="shared" si="3"/>
        <v>-2.6232910966700952E-4</v>
      </c>
      <c r="H26" s="53"/>
      <c r="I26" s="54">
        <f>Jar_Information!Q12</f>
        <v>43308.723611111112</v>
      </c>
      <c r="J26" s="55">
        <f t="shared" si="1"/>
        <v>2.9777777777781012</v>
      </c>
      <c r="K26" s="55">
        <f t="shared" si="4"/>
        <v>71.466666666674428</v>
      </c>
      <c r="L26" s="56">
        <f>Jar_Information!H12</f>
        <v>1002.1673217293657</v>
      </c>
      <c r="M26" s="55">
        <f t="shared" si="5"/>
        <v>4.3441028171878839</v>
      </c>
      <c r="N26" s="55">
        <f t="shared" si="6"/>
        <v>7.9497081554538278</v>
      </c>
      <c r="O26" s="57">
        <f t="shared" si="7"/>
        <v>2.1681022242146804</v>
      </c>
      <c r="P26" s="73">
        <v>26.485903564592896</v>
      </c>
      <c r="Q26" s="61"/>
      <c r="R26" s="61"/>
      <c r="S26" s="71">
        <f t="shared" si="8"/>
        <v>4334.708110110384</v>
      </c>
      <c r="T26" s="72">
        <f t="shared" si="9"/>
        <v>0.4334708110110384</v>
      </c>
    </row>
    <row r="27" spans="1:20">
      <c r="A27" s="1" t="s">
        <v>20</v>
      </c>
      <c r="B27" s="50">
        <v>43311.70208333333</v>
      </c>
      <c r="C27" s="21">
        <v>2</v>
      </c>
      <c r="D27" s="59">
        <v>990.5</v>
      </c>
      <c r="E27" s="60"/>
      <c r="F27" s="53">
        <f t="shared" si="2"/>
        <v>4.3727546337822059E-3</v>
      </c>
      <c r="G27" s="53">
        <f t="shared" si="3"/>
        <v>-2.6232910966700952E-4</v>
      </c>
      <c r="H27" s="53"/>
      <c r="I27" s="54">
        <f>Jar_Information!Q13</f>
        <v>43308.723611111112</v>
      </c>
      <c r="J27" s="55">
        <f t="shared" si="1"/>
        <v>2.9784722222175333</v>
      </c>
      <c r="K27" s="55">
        <f t="shared" si="4"/>
        <v>71.483333333220799</v>
      </c>
      <c r="L27" s="56">
        <f>Jar_Information!H13</f>
        <v>1002.1673217293657</v>
      </c>
      <c r="M27" s="55">
        <f t="shared" si="5"/>
        <v>4.3822317999171867</v>
      </c>
      <c r="N27" s="55">
        <f t="shared" si="6"/>
        <v>8.0194841938484522</v>
      </c>
      <c r="O27" s="57">
        <f t="shared" si="7"/>
        <v>2.1871320528677596</v>
      </c>
      <c r="P27" s="73">
        <v>26.485903564592896</v>
      </c>
      <c r="Q27" s="61"/>
      <c r="R27" s="61"/>
      <c r="S27" s="71">
        <f t="shared" si="8"/>
        <v>4372.7546337822059</v>
      </c>
      <c r="T27" s="72">
        <f t="shared" si="9"/>
        <v>0.4372754633782206</v>
      </c>
    </row>
    <row r="28" spans="1:20">
      <c r="A28" s="1" t="s">
        <v>21</v>
      </c>
      <c r="B28" s="50">
        <v>43311.702777777777</v>
      </c>
      <c r="C28" s="21">
        <v>2</v>
      </c>
      <c r="D28" s="59">
        <v>1013.1</v>
      </c>
      <c r="E28" s="60"/>
      <c r="F28" s="53">
        <f t="shared" si="2"/>
        <v>4.4749961837207532E-3</v>
      </c>
      <c r="G28" s="53">
        <f t="shared" si="3"/>
        <v>-2.6232910966700952E-4</v>
      </c>
      <c r="H28" s="53"/>
      <c r="I28" s="54">
        <f>Jar_Information!Q14</f>
        <v>43308.729166666664</v>
      </c>
      <c r="J28" s="55">
        <f t="shared" si="1"/>
        <v>2.9736111111124046</v>
      </c>
      <c r="K28" s="55">
        <f t="shared" si="4"/>
        <v>71.366666666697711</v>
      </c>
      <c r="L28" s="56">
        <f>Jar_Information!H14</f>
        <v>1006.9230769230769</v>
      </c>
      <c r="M28" s="55">
        <f t="shared" si="5"/>
        <v>4.5059769265311278</v>
      </c>
      <c r="N28" s="55">
        <f t="shared" si="6"/>
        <v>8.2459377755519636</v>
      </c>
      <c r="O28" s="57">
        <f t="shared" si="7"/>
        <v>2.2488921206050807</v>
      </c>
      <c r="P28" s="73">
        <v>26.611591631551708</v>
      </c>
      <c r="Q28" s="61"/>
      <c r="R28" s="61"/>
      <c r="S28" s="71">
        <f t="shared" si="8"/>
        <v>4474.9961837207529</v>
      </c>
      <c r="T28" s="72">
        <f t="shared" si="9"/>
        <v>0.4474996183720753</v>
      </c>
    </row>
    <row r="29" spans="1:20">
      <c r="A29" s="1" t="s">
        <v>22</v>
      </c>
      <c r="B29" s="50">
        <v>43311.70416666667</v>
      </c>
      <c r="C29" s="21">
        <v>0.4</v>
      </c>
      <c r="D29" s="59">
        <v>1624</v>
      </c>
      <c r="E29" s="60"/>
      <c r="F29" s="53">
        <f t="shared" si="2"/>
        <v>3.6193424028661061E-2</v>
      </c>
      <c r="G29" s="53">
        <f t="shared" si="3"/>
        <v>-1.3116455483350475E-3</v>
      </c>
      <c r="H29" s="53"/>
      <c r="I29" s="54">
        <f>Jar_Information!Q15</f>
        <v>43308.729166666664</v>
      </c>
      <c r="J29" s="55">
        <f t="shared" si="1"/>
        <v>2.9750000000058208</v>
      </c>
      <c r="K29" s="55">
        <f t="shared" si="4"/>
        <v>71.400000000139698</v>
      </c>
      <c r="L29" s="56">
        <f>Jar_Information!H15</f>
        <v>1030.911974623315</v>
      </c>
      <c r="M29" s="55">
        <f t="shared" si="5"/>
        <v>37.312234233765913</v>
      </c>
      <c r="N29" s="55">
        <f t="shared" si="6"/>
        <v>68.28138864779163</v>
      </c>
      <c r="O29" s="57">
        <f t="shared" si="7"/>
        <v>18.62219690394317</v>
      </c>
      <c r="P29" s="73">
        <v>27.366497554966767</v>
      </c>
      <c r="Q29" s="78"/>
      <c r="R29" s="61"/>
      <c r="S29" s="71">
        <f t="shared" si="8"/>
        <v>36193.424028661058</v>
      </c>
      <c r="T29" s="72">
        <f t="shared" si="9"/>
        <v>3.6193424028661063</v>
      </c>
    </row>
    <row r="30" spans="1:20">
      <c r="A30" s="1" t="s">
        <v>23</v>
      </c>
      <c r="B30" s="50">
        <v>43311.705555555556</v>
      </c>
      <c r="C30" s="21">
        <v>2</v>
      </c>
      <c r="D30" s="59">
        <v>702.96</v>
      </c>
      <c r="E30" s="60"/>
      <c r="F30" s="53">
        <f t="shared" si="2"/>
        <v>3.0719344891215823E-3</v>
      </c>
      <c r="G30" s="53">
        <f t="shared" si="3"/>
        <v>-2.6232910966700952E-4</v>
      </c>
      <c r="H30" s="53"/>
      <c r="I30" s="54">
        <f>Jar_Information!Q16</f>
        <v>43308.729166666664</v>
      </c>
      <c r="J30" s="55">
        <f t="shared" si="1"/>
        <v>2.976388888891961</v>
      </c>
      <c r="K30" s="55">
        <f t="shared" si="4"/>
        <v>71.433333333407063</v>
      </c>
      <c r="L30" s="56">
        <f>Jar_Information!H16</f>
        <v>1020.9105809506466</v>
      </c>
      <c r="M30" s="55">
        <f t="shared" si="5"/>
        <v>3.1361704239314423</v>
      </c>
      <c r="N30" s="55">
        <f t="shared" si="6"/>
        <v>5.7391918757945399</v>
      </c>
      <c r="O30" s="57">
        <f t="shared" si="7"/>
        <v>1.5652341479439653</v>
      </c>
      <c r="P30" s="73">
        <v>26.855607956200881</v>
      </c>
      <c r="Q30" s="61"/>
      <c r="R30" s="61"/>
      <c r="S30" s="71">
        <f t="shared" si="8"/>
        <v>3071.9344891215824</v>
      </c>
      <c r="T30" s="72">
        <f t="shared" si="9"/>
        <v>0.30719344891215822</v>
      </c>
    </row>
    <row r="31" spans="1:20">
      <c r="A31" s="1" t="s">
        <v>24</v>
      </c>
      <c r="B31" s="50">
        <v>43311.709027777775</v>
      </c>
      <c r="C31" s="21">
        <v>0.4</v>
      </c>
      <c r="D31" s="59">
        <v>1047.5</v>
      </c>
      <c r="E31" s="60"/>
      <c r="F31" s="53">
        <f t="shared" si="2"/>
        <v>2.3153102449109529E-2</v>
      </c>
      <c r="G31" s="53">
        <f t="shared" si="3"/>
        <v>-1.3116455483350475E-3</v>
      </c>
      <c r="H31" s="53"/>
      <c r="I31" s="54">
        <f>Jar_Information!Q17</f>
        <v>43308.729166666664</v>
      </c>
      <c r="J31" s="55">
        <f t="shared" si="1"/>
        <v>2.9798611111109494</v>
      </c>
      <c r="K31" s="55">
        <f t="shared" si="4"/>
        <v>71.516666666662786</v>
      </c>
      <c r="L31" s="56">
        <f>Jar_Information!H17</f>
        <v>1030.5926189758623</v>
      </c>
      <c r="M31" s="55">
        <f t="shared" si="5"/>
        <v>23.861416490444242</v>
      </c>
      <c r="N31" s="55">
        <f t="shared" si="6"/>
        <v>43.666392177512961</v>
      </c>
      <c r="O31" s="57">
        <f t="shared" si="7"/>
        <v>11.909016048412624</v>
      </c>
      <c r="P31" s="73">
        <v>27.110299231101873</v>
      </c>
      <c r="Q31" s="78"/>
      <c r="R31" s="61"/>
      <c r="S31" s="71">
        <f t="shared" si="8"/>
        <v>23153.10244910953</v>
      </c>
      <c r="T31" s="72">
        <f t="shared" si="9"/>
        <v>2.3153102449109531</v>
      </c>
    </row>
    <row r="32" spans="1:20">
      <c r="A32" s="1" t="s">
        <v>25</v>
      </c>
      <c r="B32" s="50">
        <v>43311.711805555555</v>
      </c>
      <c r="C32" s="21">
        <v>0.4</v>
      </c>
      <c r="D32" s="59">
        <v>1476.2</v>
      </c>
      <c r="E32" s="60"/>
      <c r="F32" s="53">
        <f t="shared" si="2"/>
        <v>3.2850215824918275E-2</v>
      </c>
      <c r="G32" s="53">
        <f t="shared" si="3"/>
        <v>-1.3116455483350475E-3</v>
      </c>
      <c r="H32" s="53"/>
      <c r="I32" s="54">
        <f>Jar_Information!Q18</f>
        <v>43308.73541666667</v>
      </c>
      <c r="J32" s="55">
        <f t="shared" si="1"/>
        <v>2.976388888884685</v>
      </c>
      <c r="K32" s="55">
        <f t="shared" si="4"/>
        <v>71.43333333323244</v>
      </c>
      <c r="L32" s="56">
        <f>Jar_Information!H18</f>
        <v>1025.7444703328972</v>
      </c>
      <c r="M32" s="55">
        <f t="shared" si="5"/>
        <v>33.695927231652156</v>
      </c>
      <c r="N32" s="55">
        <f t="shared" si="6"/>
        <v>61.663546833923448</v>
      </c>
      <c r="O32" s="57">
        <f t="shared" si="7"/>
        <v>16.817330954706392</v>
      </c>
      <c r="P32" s="73">
        <v>26.982766044848059</v>
      </c>
      <c r="Q32" s="78"/>
      <c r="R32" s="61"/>
      <c r="S32" s="71">
        <f t="shared" si="8"/>
        <v>32850.215824918276</v>
      </c>
      <c r="T32" s="72">
        <f t="shared" si="9"/>
        <v>3.2850215824918276</v>
      </c>
    </row>
    <row r="33" spans="1:20">
      <c r="A33" s="1" t="s">
        <v>26</v>
      </c>
      <c r="B33" s="50">
        <v>43311.714583333334</v>
      </c>
      <c r="C33" s="21">
        <v>2</v>
      </c>
      <c r="D33" s="59">
        <v>1594.8</v>
      </c>
      <c r="E33" s="60"/>
      <c r="F33" s="53">
        <f t="shared" si="2"/>
        <v>7.1065851040416983E-3</v>
      </c>
      <c r="G33" s="53">
        <f t="shared" si="3"/>
        <v>-2.6232910966700952E-4</v>
      </c>
      <c r="H33" s="61"/>
      <c r="I33" s="54">
        <f>Jar_Information!Q19</f>
        <v>43308.73541666667</v>
      </c>
      <c r="J33" s="55">
        <f t="shared" si="1"/>
        <v>2.9791666666642413</v>
      </c>
      <c r="K33" s="55">
        <f t="shared" si="4"/>
        <v>71.499999999941792</v>
      </c>
      <c r="L33" s="56">
        <f>Jar_Information!H19</f>
        <v>1030.5926189758623</v>
      </c>
      <c r="M33" s="55">
        <f t="shared" si="5"/>
        <v>7.323994154349184</v>
      </c>
      <c r="N33" s="55">
        <f t="shared" si="6"/>
        <v>13.402909302459006</v>
      </c>
      <c r="O33" s="57">
        <f t="shared" si="7"/>
        <v>3.655338900670638</v>
      </c>
      <c r="P33" s="73">
        <v>27.110299231101873</v>
      </c>
      <c r="Q33" s="61"/>
      <c r="R33" s="61"/>
      <c r="S33" s="71">
        <f t="shared" si="8"/>
        <v>7106.5851040416983</v>
      </c>
      <c r="T33" s="72">
        <f t="shared" si="9"/>
        <v>0.71065851040416983</v>
      </c>
    </row>
    <row r="34" spans="1:20">
      <c r="A34" s="1" t="s">
        <v>27</v>
      </c>
      <c r="B34" s="50">
        <v>43311.715277777781</v>
      </c>
      <c r="C34" s="21">
        <v>0.2</v>
      </c>
      <c r="D34" s="59">
        <v>601.39</v>
      </c>
      <c r="E34" s="60"/>
      <c r="F34" s="53">
        <f t="shared" si="2"/>
        <v>2.612435629508382E-2</v>
      </c>
      <c r="G34" s="53">
        <f t="shared" si="3"/>
        <v>-2.6232910966700949E-3</v>
      </c>
      <c r="H34" s="61"/>
      <c r="I34" s="54">
        <f>Jar_Information!Q20</f>
        <v>43308.73541666667</v>
      </c>
      <c r="J34" s="55">
        <f t="shared" si="1"/>
        <v>2.9798611111109494</v>
      </c>
      <c r="K34" s="55">
        <f t="shared" si="4"/>
        <v>71.516666666662786</v>
      </c>
      <c r="L34" s="56">
        <f>Jar_Information!H20</f>
        <v>1040.3319471669079</v>
      </c>
      <c r="M34" s="55">
        <f t="shared" si="5"/>
        <v>27.178002452946618</v>
      </c>
      <c r="N34" s="55">
        <f t="shared" si="6"/>
        <v>49.735744488892315</v>
      </c>
      <c r="O34" s="57">
        <f t="shared" si="7"/>
        <v>13.564293951516085</v>
      </c>
      <c r="P34" s="73">
        <v>27.366497554966767</v>
      </c>
      <c r="Q34" s="78"/>
      <c r="R34" s="61"/>
      <c r="S34" s="71">
        <f t="shared" si="8"/>
        <v>26124.35629508382</v>
      </c>
      <c r="T34" s="72">
        <f t="shared" si="9"/>
        <v>2.6124356295083819</v>
      </c>
    </row>
    <row r="35" spans="1:20">
      <c r="A35" s="1" t="s">
        <v>28</v>
      </c>
      <c r="B35" s="50">
        <v>43311.716666666667</v>
      </c>
      <c r="C35" s="21">
        <v>1</v>
      </c>
      <c r="D35" s="59">
        <v>1248.5999999999999</v>
      </c>
      <c r="E35" s="60"/>
      <c r="F35" s="53">
        <f t="shared" si="2"/>
        <v>1.1080778651559034E-2</v>
      </c>
      <c r="G35" s="53">
        <f t="shared" si="3"/>
        <v>-5.2465821933401905E-4</v>
      </c>
      <c r="H35" s="61"/>
      <c r="I35" s="54">
        <f>Jar_Information!Q21</f>
        <v>43308.73541666667</v>
      </c>
      <c r="J35" s="55">
        <f t="shared" si="1"/>
        <v>2.9812499999970896</v>
      </c>
      <c r="K35" s="55">
        <f t="shared" si="4"/>
        <v>71.549999999930151</v>
      </c>
      <c r="L35" s="56">
        <f>Jar_Information!H21</f>
        <v>1055.0494758003301</v>
      </c>
      <c r="M35" s="55">
        <f t="shared" si="5"/>
        <v>11.690769707786847</v>
      </c>
      <c r="N35" s="55">
        <f t="shared" si="6"/>
        <v>21.39410856524993</v>
      </c>
      <c r="O35" s="57">
        <f t="shared" si="7"/>
        <v>5.8347568814317983</v>
      </c>
      <c r="P35" s="74">
        <v>27.753650148385191</v>
      </c>
      <c r="Q35" s="80"/>
      <c r="S35" s="71">
        <f t="shared" si="8"/>
        <v>11080.778651559034</v>
      </c>
      <c r="T35" s="72">
        <f t="shared" si="9"/>
        <v>1.1080778651559033</v>
      </c>
    </row>
    <row r="36" spans="1:20">
      <c r="A36" s="1" t="s">
        <v>29</v>
      </c>
      <c r="B36" s="50">
        <v>43314.46875</v>
      </c>
      <c r="C36" s="21">
        <v>0.4</v>
      </c>
      <c r="D36" s="59">
        <v>1473.3</v>
      </c>
      <c r="E36" s="60"/>
      <c r="F36" s="53">
        <f t="shared" si="2"/>
        <v>3.2784618370311686E-2</v>
      </c>
      <c r="G36" s="53">
        <f t="shared" si="3"/>
        <v>-1.3116455483350475E-3</v>
      </c>
      <c r="H36" s="61"/>
      <c r="I36" s="54">
        <f>Jar_Information!Q22</f>
        <v>43308.73541666667</v>
      </c>
      <c r="J36" s="55">
        <f t="shared" si="1"/>
        <v>5.7333333333299379</v>
      </c>
      <c r="K36" s="55">
        <f t="shared" si="4"/>
        <v>137.59999999991851</v>
      </c>
      <c r="L36" s="56">
        <f>Jar_Information!H22</f>
        <v>1030.5926189758623</v>
      </c>
      <c r="M36" s="55">
        <f t="shared" si="5"/>
        <v>33.787585708383688</v>
      </c>
      <c r="N36" s="55">
        <f t="shared" si="6"/>
        <v>61.831281846342151</v>
      </c>
      <c r="O36" s="57">
        <f t="shared" si="7"/>
        <v>16.863076867184223</v>
      </c>
      <c r="P36" s="74">
        <v>27.110299231101873</v>
      </c>
      <c r="Q36" s="78"/>
      <c r="S36" s="71">
        <f t="shared" si="8"/>
        <v>32784.618370311684</v>
      </c>
      <c r="T36" s="72">
        <f t="shared" si="9"/>
        <v>3.2784618370311684</v>
      </c>
    </row>
    <row r="37" spans="1:20">
      <c r="A37" s="62"/>
      <c r="B37" s="50"/>
    </row>
    <row r="38" spans="1:20">
      <c r="B38">
        <f>60/18</f>
        <v>3.3333333333333335</v>
      </c>
    </row>
  </sheetData>
  <conditionalFormatting sqref="N17:N36">
    <cfRule type="cellIs" dxfId="17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2" workbookViewId="0">
      <selection activeCell="B17" sqref="B17"/>
    </sheetView>
  </sheetViews>
  <sheetFormatPr baseColWidth="10" defaultRowHeight="14" x14ac:dyDescent="0"/>
  <cols>
    <col min="2" max="2" width="19.83203125" bestFit="1" customWidth="1"/>
    <col min="9" max="9" width="12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43318</v>
      </c>
      <c r="C3" s="32">
        <v>3015</v>
      </c>
      <c r="D3" s="22">
        <v>1675</v>
      </c>
      <c r="E3" s="33">
        <v>391.51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43318</v>
      </c>
      <c r="C4" s="32">
        <v>3015</v>
      </c>
      <c r="D4" s="33">
        <v>1490.1</v>
      </c>
      <c r="E4" s="33">
        <v>362.39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43318</v>
      </c>
      <c r="C5" s="32">
        <v>3015</v>
      </c>
      <c r="D5" s="22">
        <v>1368.8</v>
      </c>
      <c r="E5" s="33">
        <v>322.7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43318</v>
      </c>
      <c r="C6" s="32">
        <v>3015</v>
      </c>
      <c r="D6" s="33">
        <v>1184.8</v>
      </c>
      <c r="E6" s="33">
        <v>283.60000000000002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43318</v>
      </c>
      <c r="C7" s="32">
        <v>3015</v>
      </c>
      <c r="D7" s="22">
        <v>1053.4000000000001</v>
      </c>
      <c r="E7" s="33">
        <v>256.16000000000003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43318</v>
      </c>
      <c r="C8" s="32">
        <v>3015</v>
      </c>
      <c r="D8" s="33">
        <v>859.81</v>
      </c>
      <c r="E8" s="33">
        <v>205.34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43318</v>
      </c>
      <c r="C9" s="32">
        <v>3015</v>
      </c>
      <c r="D9" s="22">
        <v>714.4</v>
      </c>
      <c r="E9" s="33">
        <v>171.24</v>
      </c>
      <c r="F9" s="34">
        <f t="shared" si="0"/>
        <v>6.03</v>
      </c>
      <c r="G9" s="37" t="s">
        <v>112</v>
      </c>
      <c r="H9" s="37"/>
      <c r="I9" s="38">
        <f>SLOPE(F3:F13,D3:D13)</f>
        <v>8.9788830642479785E-3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43318</v>
      </c>
      <c r="C10" s="32">
        <v>3015</v>
      </c>
      <c r="D10" s="22">
        <v>516.16</v>
      </c>
      <c r="E10" s="33">
        <v>132.07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-0.24237433195706348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43318</v>
      </c>
      <c r="C11" s="32">
        <v>3015</v>
      </c>
      <c r="D11" s="22">
        <v>348.2</v>
      </c>
      <c r="E11" s="33">
        <v>94.94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43318</v>
      </c>
      <c r="C12" s="32">
        <v>3015</v>
      </c>
      <c r="D12" s="39">
        <v>150.68</v>
      </c>
      <c r="E12" s="39">
        <v>41.268000000000001</v>
      </c>
      <c r="F12" s="34">
        <f t="shared" si="0"/>
        <v>1.206</v>
      </c>
      <c r="G12" s="40" t="s">
        <v>114</v>
      </c>
      <c r="H12" s="40"/>
      <c r="I12" s="41">
        <f>SLOPE(F3:F13,E3:E13)</f>
        <v>3.8714508003966829E-2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43318</v>
      </c>
      <c r="C13" s="32">
        <v>3015</v>
      </c>
      <c r="D13" s="39">
        <v>69.012</v>
      </c>
      <c r="E13" s="39">
        <v>22.614000000000001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-0.58267565851959624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43318.431250000001</v>
      </c>
      <c r="C20" s="21">
        <v>3</v>
      </c>
      <c r="D20" s="59">
        <v>1338.9</v>
      </c>
      <c r="E20" s="60">
        <v>331.42</v>
      </c>
      <c r="F20" s="53">
        <f t="shared" si="2"/>
        <v>3.926484067588186E-3</v>
      </c>
      <c r="G20" s="53">
        <f t="shared" si="3"/>
        <v>4.0826955280516969E-3</v>
      </c>
      <c r="H20" s="53"/>
      <c r="I20" s="54">
        <f>Jar_Information!Q6</f>
        <v>43308.701388888891</v>
      </c>
      <c r="J20" s="55">
        <f t="shared" si="1"/>
        <v>9.7298611111109494</v>
      </c>
      <c r="K20" s="55">
        <f t="shared" si="4"/>
        <v>233.51666666666279</v>
      </c>
      <c r="L20" s="56">
        <f>Jar_Information!H6</f>
        <v>1006.9230769230769</v>
      </c>
      <c r="M20" s="55">
        <f t="shared" si="5"/>
        <v>3.9536674188253347</v>
      </c>
      <c r="N20" s="55">
        <f t="shared" si="6"/>
        <v>7.2352113764503629</v>
      </c>
      <c r="O20" s="57">
        <f t="shared" si="7"/>
        <v>1.9732394663046442</v>
      </c>
      <c r="P20" s="55">
        <v>26.611591631551708</v>
      </c>
      <c r="Q20" s="58"/>
      <c r="R20" s="58"/>
      <c r="S20" s="71">
        <f t="shared" si="8"/>
        <v>3926.484067588186</v>
      </c>
      <c r="T20" s="72">
        <f t="shared" si="9"/>
        <v>0.39264840675881862</v>
      </c>
    </row>
    <row r="21" spans="1:20">
      <c r="A21" s="1" t="s">
        <v>14</v>
      </c>
      <c r="B21" s="50">
        <v>43318.428472222222</v>
      </c>
      <c r="C21" s="21">
        <v>3</v>
      </c>
      <c r="D21" s="59">
        <v>1326.2</v>
      </c>
      <c r="E21" s="60">
        <v>307.67</v>
      </c>
      <c r="F21" s="53">
        <f t="shared" si="2"/>
        <v>3.8884734626162022E-3</v>
      </c>
      <c r="G21" s="53">
        <f t="shared" si="3"/>
        <v>3.7762056730202931E-3</v>
      </c>
      <c r="H21" s="53"/>
      <c r="I21" s="54">
        <f>Jar_Information!Q7</f>
        <v>43308.701388888891</v>
      </c>
      <c r="J21" s="55">
        <f t="shared" si="1"/>
        <v>9.7270833333313931</v>
      </c>
      <c r="K21" s="55">
        <f t="shared" si="4"/>
        <v>233.44999999995343</v>
      </c>
      <c r="L21" s="56">
        <f>Jar_Information!H7</f>
        <v>1026.0859728506789</v>
      </c>
      <c r="M21" s="55">
        <f t="shared" si="5"/>
        <v>3.9899080757925938</v>
      </c>
      <c r="N21" s="55">
        <f t="shared" si="6"/>
        <v>7.301531778700447</v>
      </c>
      <c r="O21" s="57">
        <f t="shared" si="7"/>
        <v>1.9913268487364855</v>
      </c>
      <c r="P21" s="55">
        <v>27.118040607238672</v>
      </c>
      <c r="Q21" s="58"/>
      <c r="R21" s="58"/>
      <c r="S21" s="71">
        <f t="shared" si="8"/>
        <v>3888.4734626162021</v>
      </c>
      <c r="T21" s="72">
        <f t="shared" si="9"/>
        <v>0.38884734626162021</v>
      </c>
    </row>
    <row r="22" spans="1:20">
      <c r="A22" s="1" t="s">
        <v>15</v>
      </c>
      <c r="B22" s="50">
        <v>43318.427083333336</v>
      </c>
      <c r="C22" s="21">
        <v>3</v>
      </c>
      <c r="D22" s="59">
        <v>1340.1</v>
      </c>
      <c r="E22" s="60">
        <v>320.35000000000002</v>
      </c>
      <c r="F22" s="53">
        <f t="shared" si="2"/>
        <v>3.9300756208138846E-3</v>
      </c>
      <c r="G22" s="53">
        <f t="shared" si="3"/>
        <v>3.9398389935170596E-3</v>
      </c>
      <c r="H22" s="53"/>
      <c r="I22" s="54">
        <f>Jar_Information!Q8</f>
        <v>43308.701388888891</v>
      </c>
      <c r="J22" s="55">
        <f t="shared" si="1"/>
        <v>9.7256944444452529</v>
      </c>
      <c r="K22" s="55">
        <f t="shared" si="4"/>
        <v>233.41666666668607</v>
      </c>
      <c r="L22" s="56">
        <f>Jar_Information!H8</f>
        <v>1002.1673217293657</v>
      </c>
      <c r="M22" s="55">
        <f t="shared" si="5"/>
        <v>3.9385933591049249</v>
      </c>
      <c r="N22" s="55">
        <f t="shared" si="6"/>
        <v>7.2076258471620127</v>
      </c>
      <c r="O22" s="57">
        <f t="shared" si="7"/>
        <v>1.9657161401350942</v>
      </c>
      <c r="P22" s="55">
        <v>26.485903564592896</v>
      </c>
      <c r="Q22" s="58"/>
      <c r="R22" s="58"/>
      <c r="S22" s="71">
        <f t="shared" si="8"/>
        <v>3930.0756208138846</v>
      </c>
      <c r="T22" s="72">
        <f t="shared" si="9"/>
        <v>0.39300756208138843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43318.423611111109</v>
      </c>
      <c r="C26" s="21">
        <v>1</v>
      </c>
      <c r="D26" s="59">
        <v>810.52</v>
      </c>
      <c r="E26" s="60">
        <v>192.14</v>
      </c>
      <c r="F26" s="53">
        <f t="shared" si="2"/>
        <v>7.0351899692772078E-3</v>
      </c>
      <c r="G26" s="53">
        <f t="shared" si="3"/>
        <v>6.8559299093625898E-3</v>
      </c>
      <c r="H26" s="53"/>
      <c r="I26" s="54">
        <f>Jar_Information!Q12</f>
        <v>43308.723611111112</v>
      </c>
      <c r="J26" s="55">
        <f t="shared" si="1"/>
        <v>9.6999999999970896</v>
      </c>
      <c r="K26" s="55">
        <f t="shared" si="4"/>
        <v>232.79999999993015</v>
      </c>
      <c r="L26" s="56">
        <f>Jar_Information!H12</f>
        <v>1002.1673217293657</v>
      </c>
      <c r="M26" s="55">
        <f t="shared" si="5"/>
        <v>7.0504374893678374</v>
      </c>
      <c r="N26" s="55">
        <f t="shared" si="6"/>
        <v>12.902300605543143</v>
      </c>
      <c r="O26" s="57">
        <f t="shared" si="7"/>
        <v>3.5188092560572204</v>
      </c>
      <c r="P26" s="73">
        <v>26.485903564592896</v>
      </c>
      <c r="Q26" s="61"/>
      <c r="R26" s="61"/>
      <c r="S26" s="71">
        <f t="shared" si="8"/>
        <v>7035.1899692772076</v>
      </c>
      <c r="T26" s="72">
        <f t="shared" si="9"/>
        <v>0.7035189969277208</v>
      </c>
    </row>
    <row r="27" spans="1:20">
      <c r="A27" s="1" t="s">
        <v>20</v>
      </c>
      <c r="B27" s="50">
        <v>43318.422222222223</v>
      </c>
      <c r="C27" s="21">
        <v>1</v>
      </c>
      <c r="D27" s="59">
        <v>842.92</v>
      </c>
      <c r="E27" s="60">
        <v>199.82</v>
      </c>
      <c r="F27" s="53">
        <f t="shared" si="2"/>
        <v>7.3261057805588427E-3</v>
      </c>
      <c r="G27" s="53">
        <f t="shared" si="3"/>
        <v>7.1532573308330551E-3</v>
      </c>
      <c r="H27" s="53"/>
      <c r="I27" s="54">
        <f>Jar_Information!Q13</f>
        <v>43308.723611111112</v>
      </c>
      <c r="J27" s="55">
        <f t="shared" si="1"/>
        <v>9.6986111111109494</v>
      </c>
      <c r="K27" s="55">
        <f t="shared" si="4"/>
        <v>232.76666666666279</v>
      </c>
      <c r="L27" s="56">
        <f>Jar_Information!H13</f>
        <v>1002.1673217293657</v>
      </c>
      <c r="M27" s="55">
        <f t="shared" si="5"/>
        <v>7.3419838088086795</v>
      </c>
      <c r="N27" s="55">
        <f t="shared" si="6"/>
        <v>13.435830370119884</v>
      </c>
      <c r="O27" s="57">
        <f t="shared" si="7"/>
        <v>3.6643173736690589</v>
      </c>
      <c r="P27" s="73">
        <v>26.485903564592896</v>
      </c>
      <c r="Q27" s="61"/>
      <c r="R27" s="61"/>
      <c r="S27" s="71">
        <f t="shared" si="8"/>
        <v>7326.1057805588425</v>
      </c>
      <c r="T27" s="72">
        <f t="shared" si="9"/>
        <v>0.73261057805588425</v>
      </c>
    </row>
    <row r="28" spans="1:20">
      <c r="A28" s="1" t="s">
        <v>21</v>
      </c>
      <c r="B28" s="50">
        <v>43318.42083333333</v>
      </c>
      <c r="C28" s="21">
        <v>1</v>
      </c>
      <c r="D28" s="59">
        <v>818.39</v>
      </c>
      <c r="E28" s="60">
        <v>194.47</v>
      </c>
      <c r="F28" s="53">
        <f t="shared" si="2"/>
        <v>7.1058537789928395E-3</v>
      </c>
      <c r="G28" s="53">
        <f t="shared" si="3"/>
        <v>6.9461347130118324E-3</v>
      </c>
      <c r="H28" s="53"/>
      <c r="I28" s="54">
        <f>Jar_Information!Q14</f>
        <v>43308.729166666664</v>
      </c>
      <c r="J28" s="55">
        <f t="shared" si="1"/>
        <v>9.6916666666656965</v>
      </c>
      <c r="K28" s="55">
        <f t="shared" si="4"/>
        <v>232.59999999997672</v>
      </c>
      <c r="L28" s="56">
        <f>Jar_Information!H14</f>
        <v>1006.9230769230769</v>
      </c>
      <c r="M28" s="55">
        <f t="shared" si="5"/>
        <v>7.1550481513089439</v>
      </c>
      <c r="N28" s="55">
        <f t="shared" si="6"/>
        <v>13.093738116895368</v>
      </c>
      <c r="O28" s="57">
        <f t="shared" si="7"/>
        <v>3.5710194864260094</v>
      </c>
      <c r="P28" s="73">
        <v>26.611591631551708</v>
      </c>
      <c r="Q28" s="61"/>
      <c r="R28" s="61"/>
      <c r="S28" s="71">
        <f t="shared" si="8"/>
        <v>7105.8537789928396</v>
      </c>
      <c r="T28" s="72">
        <f t="shared" si="9"/>
        <v>0.710585377899284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43318.425000000003</v>
      </c>
      <c r="C30" s="21">
        <v>1</v>
      </c>
      <c r="D30" s="59">
        <v>789.68</v>
      </c>
      <c r="E30" s="60">
        <v>189.36</v>
      </c>
      <c r="F30" s="53">
        <f t="shared" si="2"/>
        <v>6.8480700462182796E-3</v>
      </c>
      <c r="G30" s="53">
        <f t="shared" si="3"/>
        <v>6.7483035771115632E-3</v>
      </c>
      <c r="H30" s="53"/>
      <c r="I30" s="54">
        <f>Jar_Information!Q16</f>
        <v>43308.729166666664</v>
      </c>
      <c r="J30" s="55">
        <f t="shared" si="1"/>
        <v>9.695833333338669</v>
      </c>
      <c r="K30" s="55">
        <f t="shared" si="4"/>
        <v>232.70000000012806</v>
      </c>
      <c r="L30" s="56">
        <f>Jar_Information!H16</f>
        <v>1020.9105809506466</v>
      </c>
      <c r="M30" s="55">
        <f t="shared" si="5"/>
        <v>6.9912671692754254</v>
      </c>
      <c r="N30" s="55">
        <f t="shared" si="6"/>
        <v>12.794018919774029</v>
      </c>
      <c r="O30" s="57">
        <f t="shared" si="7"/>
        <v>3.4892778872110983</v>
      </c>
      <c r="P30" s="73">
        <v>26.855607956200881</v>
      </c>
      <c r="Q30" s="61"/>
      <c r="R30" s="61"/>
      <c r="S30" s="71">
        <f t="shared" si="8"/>
        <v>6848.0700462182795</v>
      </c>
      <c r="T30" s="72">
        <f t="shared" si="9"/>
        <v>0.68480700462182797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43318.419444444444</v>
      </c>
      <c r="C33" s="21">
        <v>0.2</v>
      </c>
      <c r="D33" s="59">
        <v>862.9</v>
      </c>
      <c r="E33" s="60">
        <v>206.75</v>
      </c>
      <c r="F33" s="53">
        <f t="shared" si="2"/>
        <v>3.7527519320912583E-2</v>
      </c>
      <c r="G33" s="53">
        <f t="shared" si="3"/>
        <v>3.7107744356502728E-2</v>
      </c>
      <c r="H33" s="61"/>
      <c r="I33" s="54">
        <f>Jar_Information!Q19</f>
        <v>43308.73541666667</v>
      </c>
      <c r="J33" s="55">
        <f t="shared" si="1"/>
        <v>9.6840277777737356</v>
      </c>
      <c r="K33" s="55">
        <f t="shared" si="4"/>
        <v>232.41666666656965</v>
      </c>
      <c r="L33" s="56">
        <f>Jar_Information!H19</f>
        <v>1030.5926189758623</v>
      </c>
      <c r="M33" s="55">
        <f t="shared" si="5"/>
        <v>38.675584420606569</v>
      </c>
      <c r="N33" s="55">
        <f t="shared" si="6"/>
        <v>70.776319489710019</v>
      </c>
      <c r="O33" s="57">
        <f t="shared" si="7"/>
        <v>19.302632588102732</v>
      </c>
      <c r="P33" s="73">
        <v>27.110299231101873</v>
      </c>
      <c r="Q33" s="61"/>
      <c r="R33" s="61"/>
      <c r="S33" s="71">
        <f t="shared" si="8"/>
        <v>37527.519320912586</v>
      </c>
      <c r="T33" s="72">
        <f t="shared" si="9"/>
        <v>3.7527519320912583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6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4" workbookViewId="0">
      <selection activeCell="A33" sqref="A33:XFD33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43321</v>
      </c>
      <c r="C3" s="32">
        <v>3015</v>
      </c>
      <c r="D3" s="22">
        <v>1569.2</v>
      </c>
      <c r="E3" s="33">
        <v>398.84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43321</v>
      </c>
      <c r="C4" s="32">
        <v>3015</v>
      </c>
      <c r="D4" s="33">
        <v>1333.4</v>
      </c>
      <c r="E4" s="33">
        <v>366.67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43321</v>
      </c>
      <c r="C5" s="32">
        <v>3015</v>
      </c>
      <c r="D5" s="22">
        <v>1271.8</v>
      </c>
      <c r="E5" s="33">
        <v>322.60000000000002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43321</v>
      </c>
      <c r="C6" s="32">
        <v>3015</v>
      </c>
      <c r="D6" s="33">
        <v>1014.8</v>
      </c>
      <c r="E6" s="33">
        <v>258.01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43321</v>
      </c>
      <c r="C7" s="32">
        <v>3015</v>
      </c>
      <c r="D7" s="22">
        <v>915.91</v>
      </c>
      <c r="E7" s="33">
        <v>237.86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43321</v>
      </c>
      <c r="C8" s="32">
        <v>3015</v>
      </c>
      <c r="D8" s="33">
        <v>772.39</v>
      </c>
      <c r="E8" s="33">
        <v>210.75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43321</v>
      </c>
      <c r="C9" s="32">
        <v>3015</v>
      </c>
      <c r="D9" s="22">
        <v>651.5</v>
      </c>
      <c r="E9" s="33">
        <v>174.86</v>
      </c>
      <c r="F9" s="34">
        <f t="shared" si="0"/>
        <v>6.03</v>
      </c>
      <c r="G9" s="37" t="s">
        <v>112</v>
      </c>
      <c r="H9" s="37"/>
      <c r="I9" s="38">
        <f>SLOPE(F3:F13,D3:D13)</f>
        <v>9.5505728306499414E-3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43321</v>
      </c>
      <c r="C10" s="32">
        <v>3015</v>
      </c>
      <c r="D10" s="22">
        <v>417.83</v>
      </c>
      <c r="E10" s="33">
        <v>111.19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0.19511045876421296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43321</v>
      </c>
      <c r="C11" s="32">
        <v>3015</v>
      </c>
      <c r="D11" s="22">
        <v>231.67</v>
      </c>
      <c r="E11" s="33">
        <v>64.686999999999998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43321</v>
      </c>
      <c r="C12" s="32">
        <v>3015</v>
      </c>
      <c r="D12" s="39">
        <v>121.09</v>
      </c>
      <c r="E12" s="39">
        <v>34.875</v>
      </c>
      <c r="F12" s="34">
        <f t="shared" si="0"/>
        <v>1.206</v>
      </c>
      <c r="G12" s="40" t="s">
        <v>114</v>
      </c>
      <c r="H12" s="40"/>
      <c r="I12" s="41">
        <f>SLOPE(F3:F13,E3:E13)</f>
        <v>3.7187506875516863E-2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43321</v>
      </c>
      <c r="C13" s="32">
        <v>3015</v>
      </c>
      <c r="D13" s="39">
        <v>62.399000000000001</v>
      </c>
      <c r="E13" s="39">
        <v>20.646999999999998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1.4427857233002328E-2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43321.493055555555</v>
      </c>
      <c r="C20" s="21">
        <v>2</v>
      </c>
      <c r="D20" s="59">
        <v>1027.7</v>
      </c>
      <c r="E20" s="60">
        <v>267.42</v>
      </c>
      <c r="F20" s="53">
        <f t="shared" si="2"/>
        <v>5.0051170784115801E-3</v>
      </c>
      <c r="G20" s="53">
        <f t="shared" si="3"/>
        <v>4.9795554729418611E-3</v>
      </c>
      <c r="H20" s="53"/>
      <c r="I20" s="54">
        <f>Jar_Information!Q6</f>
        <v>43308.701388888891</v>
      </c>
      <c r="J20" s="55">
        <f t="shared" si="1"/>
        <v>12.791666666664241</v>
      </c>
      <c r="K20" s="55">
        <f t="shared" si="4"/>
        <v>306.99999999994179</v>
      </c>
      <c r="L20" s="56">
        <f>Jar_Information!H6</f>
        <v>1006.9230769230769</v>
      </c>
      <c r="M20" s="55">
        <f t="shared" si="5"/>
        <v>5.0397678889544295</v>
      </c>
      <c r="N20" s="55">
        <f t="shared" si="6"/>
        <v>9.2227752367866067</v>
      </c>
      <c r="O20" s="57">
        <f t="shared" si="7"/>
        <v>2.515302337305438</v>
      </c>
      <c r="P20" s="55">
        <v>26.611591631551708</v>
      </c>
      <c r="Q20" s="58"/>
      <c r="R20" s="58"/>
      <c r="S20" s="71">
        <f t="shared" si="8"/>
        <v>5005.1170784115802</v>
      </c>
      <c r="T20" s="72">
        <f t="shared" si="9"/>
        <v>0.50051170784115806</v>
      </c>
    </row>
    <row r="21" spans="1:20">
      <c r="A21" s="1" t="s">
        <v>14</v>
      </c>
      <c r="B21" s="50">
        <v>43321.494444444441</v>
      </c>
      <c r="C21" s="21">
        <v>2</v>
      </c>
      <c r="D21" s="59">
        <v>1010.4</v>
      </c>
      <c r="E21" s="60">
        <v>278.51</v>
      </c>
      <c r="F21" s="53">
        <f t="shared" si="2"/>
        <v>4.9225046234264574E-3</v>
      </c>
      <c r="G21" s="53">
        <f t="shared" si="3"/>
        <v>5.1857601985666017E-3</v>
      </c>
      <c r="H21" s="53"/>
      <c r="I21" s="54">
        <f>Jar_Information!Q7</f>
        <v>43308.701388888891</v>
      </c>
      <c r="J21" s="55">
        <f t="shared" si="1"/>
        <v>12.793055555550382</v>
      </c>
      <c r="K21" s="55">
        <f t="shared" si="4"/>
        <v>307.03333333320916</v>
      </c>
      <c r="L21" s="56">
        <f>Jar_Information!H7</f>
        <v>1026.0859728506789</v>
      </c>
      <c r="M21" s="55">
        <f t="shared" si="5"/>
        <v>5.0509129453905013</v>
      </c>
      <c r="N21" s="55">
        <f t="shared" si="6"/>
        <v>9.243170690064618</v>
      </c>
      <c r="O21" s="57">
        <f t="shared" si="7"/>
        <v>2.5208647336539864</v>
      </c>
      <c r="P21" s="55">
        <v>27.118040607238672</v>
      </c>
      <c r="Q21" s="58"/>
      <c r="R21" s="58"/>
      <c r="S21" s="71">
        <f t="shared" si="8"/>
        <v>4922.5046234264573</v>
      </c>
      <c r="T21" s="72">
        <f t="shared" si="9"/>
        <v>0.49225046234264574</v>
      </c>
    </row>
    <row r="22" spans="1:20">
      <c r="A22" s="1" t="s">
        <v>15</v>
      </c>
      <c r="B22" s="50">
        <v>43321.495833333334</v>
      </c>
      <c r="C22" s="21">
        <v>2</v>
      </c>
      <c r="D22" s="59">
        <v>1030.3</v>
      </c>
      <c r="E22" s="60">
        <v>282.76</v>
      </c>
      <c r="F22" s="53">
        <f t="shared" si="2"/>
        <v>5.0175328230914239E-3</v>
      </c>
      <c r="G22" s="53">
        <f t="shared" si="3"/>
        <v>5.264783650677075E-3</v>
      </c>
      <c r="H22" s="53"/>
      <c r="I22" s="54">
        <f>Jar_Information!Q8</f>
        <v>43308.701388888891</v>
      </c>
      <c r="J22" s="55">
        <f t="shared" si="1"/>
        <v>12.794444444443798</v>
      </c>
      <c r="K22" s="55">
        <f t="shared" si="4"/>
        <v>307.06666666665114</v>
      </c>
      <c r="L22" s="56">
        <f>Jar_Information!H8</f>
        <v>1002.1673217293657</v>
      </c>
      <c r="M22" s="55">
        <f t="shared" si="5"/>
        <v>5.0284074310067153</v>
      </c>
      <c r="N22" s="55">
        <f t="shared" si="6"/>
        <v>9.2019855987422901</v>
      </c>
      <c r="O22" s="57">
        <f t="shared" si="7"/>
        <v>2.5096324360206244</v>
      </c>
      <c r="P22" s="55">
        <v>26.485903564592896</v>
      </c>
      <c r="Q22" s="58"/>
      <c r="R22" s="58"/>
      <c r="S22" s="71">
        <f t="shared" si="8"/>
        <v>5017.5328230914238</v>
      </c>
      <c r="T22" s="72">
        <f t="shared" si="9"/>
        <v>0.5017532823091424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43321.5</v>
      </c>
      <c r="C26" s="21">
        <v>1</v>
      </c>
      <c r="D26" s="59">
        <v>881.63</v>
      </c>
      <c r="E26" s="60">
        <v>226.51</v>
      </c>
      <c r="F26" s="53">
        <f t="shared" si="2"/>
        <v>8.6151819834501212E-3</v>
      </c>
      <c r="G26" s="53">
        <f t="shared" si="3"/>
        <v>8.4377700396063259E-3</v>
      </c>
      <c r="H26" s="53"/>
      <c r="I26" s="54">
        <f>Jar_Information!Q12</f>
        <v>43308.723611111112</v>
      </c>
      <c r="J26" s="55">
        <f t="shared" si="1"/>
        <v>12.776388888887595</v>
      </c>
      <c r="K26" s="55">
        <f t="shared" si="4"/>
        <v>306.63333333330229</v>
      </c>
      <c r="L26" s="56">
        <f>Jar_Information!H12</f>
        <v>1002.1673217293657</v>
      </c>
      <c r="M26" s="55">
        <f t="shared" si="5"/>
        <v>8.6338538545652916</v>
      </c>
      <c r="N26" s="55">
        <f t="shared" si="6"/>
        <v>15.799952553854485</v>
      </c>
      <c r="O26" s="57">
        <f t="shared" si="7"/>
        <v>4.3090779692330408</v>
      </c>
      <c r="P26" s="73">
        <v>26.485903564592896</v>
      </c>
      <c r="Q26" s="61"/>
      <c r="R26" s="61"/>
      <c r="S26" s="71">
        <f t="shared" si="8"/>
        <v>8615.1819834501221</v>
      </c>
      <c r="T26" s="72">
        <f t="shared" si="9"/>
        <v>0.86151819834501209</v>
      </c>
    </row>
    <row r="27" spans="1:20">
      <c r="A27" s="1" t="s">
        <v>20</v>
      </c>
      <c r="B27" s="50">
        <v>43321.500694444447</v>
      </c>
      <c r="C27" s="21">
        <v>1</v>
      </c>
      <c r="D27" s="59">
        <v>864.81</v>
      </c>
      <c r="E27" s="60">
        <v>229.04</v>
      </c>
      <c r="F27" s="53">
        <f t="shared" si="2"/>
        <v>8.4545413484385882E-3</v>
      </c>
      <c r="G27" s="53">
        <f t="shared" si="3"/>
        <v>8.5318544320013845E-3</v>
      </c>
      <c r="H27" s="53"/>
      <c r="I27" s="54">
        <f>Jar_Information!Q13</f>
        <v>43308.723611111112</v>
      </c>
      <c r="J27" s="55">
        <f t="shared" si="1"/>
        <v>12.777083333334303</v>
      </c>
      <c r="K27" s="55">
        <f t="shared" si="4"/>
        <v>306.65000000002328</v>
      </c>
      <c r="L27" s="56">
        <f>Jar_Information!H13</f>
        <v>1002.1673217293657</v>
      </c>
      <c r="M27" s="55">
        <f t="shared" si="5"/>
        <v>8.4728650596148789</v>
      </c>
      <c r="N27" s="55">
        <f t="shared" si="6"/>
        <v>15.505343059095228</v>
      </c>
      <c r="O27" s="57">
        <f t="shared" si="7"/>
        <v>4.228729925207789</v>
      </c>
      <c r="P27" s="73">
        <v>26.485903564592896</v>
      </c>
      <c r="Q27" s="61"/>
      <c r="R27" s="61"/>
      <c r="S27" s="71">
        <f t="shared" si="8"/>
        <v>8454.5413484385881</v>
      </c>
      <c r="T27" s="72">
        <f t="shared" si="9"/>
        <v>0.84545413484385878</v>
      </c>
    </row>
    <row r="28" spans="1:20">
      <c r="A28" s="1" t="s">
        <v>21</v>
      </c>
      <c r="B28" s="50">
        <v>43321.501388888886</v>
      </c>
      <c r="C28" s="21">
        <v>1</v>
      </c>
      <c r="D28" s="59">
        <v>869.77</v>
      </c>
      <c r="E28" s="60">
        <v>228.85</v>
      </c>
      <c r="F28" s="53">
        <f t="shared" si="2"/>
        <v>8.5019121896786135E-3</v>
      </c>
      <c r="G28" s="53">
        <f t="shared" si="3"/>
        <v>8.5247888056950369E-3</v>
      </c>
      <c r="H28" s="53"/>
      <c r="I28" s="54">
        <f>Jar_Information!Q14</f>
        <v>43308.729166666664</v>
      </c>
      <c r="J28" s="55">
        <f t="shared" si="1"/>
        <v>12.772222222221899</v>
      </c>
      <c r="K28" s="55">
        <f t="shared" si="4"/>
        <v>306.53333333332557</v>
      </c>
      <c r="L28" s="56">
        <f>Jar_Information!H14</f>
        <v>1006.9230769230769</v>
      </c>
      <c r="M28" s="55">
        <f t="shared" si="5"/>
        <v>8.5607715817610028</v>
      </c>
      <c r="N28" s="55">
        <f t="shared" si="6"/>
        <v>15.666211994622635</v>
      </c>
      <c r="O28" s="57">
        <f t="shared" si="7"/>
        <v>4.272603271260718</v>
      </c>
      <c r="P28" s="73">
        <v>26.611591631551708</v>
      </c>
      <c r="Q28" s="61"/>
      <c r="R28" s="61"/>
      <c r="S28" s="71">
        <f t="shared" si="8"/>
        <v>8501.9121896786128</v>
      </c>
      <c r="T28" s="72">
        <f t="shared" si="9"/>
        <v>0.85019121896786132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43321.497916666667</v>
      </c>
      <c r="C30" s="21">
        <v>1</v>
      </c>
      <c r="D30" s="59">
        <v>711.1</v>
      </c>
      <c r="E30" s="60">
        <v>186.39</v>
      </c>
      <c r="F30" s="53">
        <f t="shared" si="2"/>
        <v>6.9865227986393866E-3</v>
      </c>
      <c r="G30" s="53">
        <f t="shared" si="3"/>
        <v>6.9458072637605898E-3</v>
      </c>
      <c r="H30" s="53"/>
      <c r="I30" s="54">
        <f>Jar_Information!Q16</f>
        <v>43308.729166666664</v>
      </c>
      <c r="J30" s="55">
        <f t="shared" si="1"/>
        <v>12.76875000000291</v>
      </c>
      <c r="K30" s="55">
        <f t="shared" si="4"/>
        <v>306.45000000006985</v>
      </c>
      <c r="L30" s="56">
        <f>Jar_Information!H16</f>
        <v>1020.9105809506466</v>
      </c>
      <c r="M30" s="55">
        <f t="shared" si="5"/>
        <v>7.1326150491838733</v>
      </c>
      <c r="N30" s="55">
        <f t="shared" si="6"/>
        <v>13.05268554000649</v>
      </c>
      <c r="O30" s="57">
        <f t="shared" si="7"/>
        <v>3.5598233290926786</v>
      </c>
      <c r="P30" s="73">
        <v>26.855607956200881</v>
      </c>
      <c r="Q30" s="61"/>
      <c r="R30" s="61"/>
      <c r="S30" s="71">
        <f t="shared" si="8"/>
        <v>6986.5227986393866</v>
      </c>
      <c r="T30" s="72">
        <f t="shared" si="9"/>
        <v>0.69865227986393863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43321.50277777778</v>
      </c>
      <c r="C33" s="21">
        <v>0.2</v>
      </c>
      <c r="D33" s="59">
        <v>941.2</v>
      </c>
      <c r="E33" s="60">
        <v>260.77</v>
      </c>
      <c r="F33" s="53">
        <f t="shared" si="2"/>
        <v>4.5920548034859683E-2</v>
      </c>
      <c r="G33" s="53">
        <f t="shared" si="3"/>
        <v>4.8559070125807666E-2</v>
      </c>
      <c r="H33" s="61"/>
      <c r="I33" s="54">
        <f>Jar_Information!Q19</f>
        <v>43308.73541666667</v>
      </c>
      <c r="J33" s="55">
        <f t="shared" si="1"/>
        <v>12.767361111109494</v>
      </c>
      <c r="K33" s="55">
        <f t="shared" si="4"/>
        <v>306.41666666662786</v>
      </c>
      <c r="L33" s="56">
        <f>Jar_Information!H19</f>
        <v>1030.5926189758623</v>
      </c>
      <c r="M33" s="55">
        <f t="shared" si="5"/>
        <v>47.325377864052925</v>
      </c>
      <c r="N33" s="55">
        <f t="shared" si="6"/>
        <v>86.605441491216851</v>
      </c>
      <c r="O33" s="57">
        <f t="shared" si="7"/>
        <v>23.619665861240957</v>
      </c>
      <c r="P33" s="73">
        <v>27.110299231101873</v>
      </c>
      <c r="Q33" s="61"/>
      <c r="R33" s="61"/>
      <c r="S33" s="71">
        <f t="shared" si="8"/>
        <v>45920.548034859683</v>
      </c>
      <c r="T33" s="72">
        <f t="shared" si="9"/>
        <v>4.5920548034859685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5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8" workbookViewId="0">
      <selection activeCell="B17" sqref="B17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43325</v>
      </c>
      <c r="C3" s="32">
        <v>3015</v>
      </c>
      <c r="D3" s="22">
        <v>1622.1</v>
      </c>
      <c r="E3" s="33">
        <v>354.03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43325</v>
      </c>
      <c r="C4" s="32">
        <v>3015</v>
      </c>
      <c r="D4" s="33">
        <v>1448.6</v>
      </c>
      <c r="E4" s="33">
        <v>325.07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43325</v>
      </c>
      <c r="C5" s="32">
        <v>3015</v>
      </c>
      <c r="D5" s="22">
        <v>1335.6</v>
      </c>
      <c r="E5" s="33">
        <v>296.04000000000002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43325</v>
      </c>
      <c r="C6" s="32">
        <v>3015</v>
      </c>
      <c r="D6" s="33">
        <v>1134.4000000000001</v>
      </c>
      <c r="E6" s="33">
        <v>269.52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43325</v>
      </c>
      <c r="C7" s="32">
        <v>3015</v>
      </c>
      <c r="D7" s="22">
        <v>1009.3</v>
      </c>
      <c r="E7" s="33">
        <v>231.03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43325</v>
      </c>
      <c r="C8" s="32">
        <v>3015</v>
      </c>
      <c r="D8" s="33">
        <v>834.29</v>
      </c>
      <c r="E8" s="33">
        <v>193.45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43325</v>
      </c>
      <c r="C9" s="32">
        <v>3015</v>
      </c>
      <c r="D9" s="22">
        <v>706.75</v>
      </c>
      <c r="E9" s="33">
        <v>163.28</v>
      </c>
      <c r="F9" s="34">
        <f t="shared" si="0"/>
        <v>6.03</v>
      </c>
      <c r="G9" s="37" t="s">
        <v>112</v>
      </c>
      <c r="H9" s="37"/>
      <c r="I9" s="38">
        <f>SLOPE(F3:F13,D3:D13)</f>
        <v>9.2410202624130539E-3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43325</v>
      </c>
      <c r="C10" s="32">
        <v>3015</v>
      </c>
      <c r="D10" s="22">
        <v>507.72</v>
      </c>
      <c r="E10" s="33">
        <v>124.84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-0.22055644893612314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43325</v>
      </c>
      <c r="C11" s="32">
        <v>3015</v>
      </c>
      <c r="D11" s="22">
        <v>347.75</v>
      </c>
      <c r="E11" s="33">
        <v>88.421999999999997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43325</v>
      </c>
      <c r="C12" s="32">
        <v>3015</v>
      </c>
      <c r="D12" s="39">
        <v>129.61000000000001</v>
      </c>
      <c r="E12" s="39">
        <v>33.454999999999998</v>
      </c>
      <c r="F12" s="34">
        <f t="shared" si="0"/>
        <v>1.206</v>
      </c>
      <c r="G12" s="40" t="s">
        <v>114</v>
      </c>
      <c r="H12" s="40"/>
      <c r="I12" s="41">
        <f>SLOPE(F3:F13,E3:E13)</f>
        <v>4.2427618842352681E-2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43325</v>
      </c>
      <c r="C13" s="32">
        <v>3015</v>
      </c>
      <c r="D13" s="39">
        <v>60.762999999999998</v>
      </c>
      <c r="E13" s="39">
        <v>19.198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-0.63812341668800698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43325.48333333333</v>
      </c>
      <c r="C20" s="21">
        <v>2</v>
      </c>
      <c r="D20" s="59">
        <v>1226.8</v>
      </c>
      <c r="E20" s="60">
        <v>275.29000000000002</v>
      </c>
      <c r="F20" s="53">
        <f t="shared" si="2"/>
        <v>5.5581636044961047E-3</v>
      </c>
      <c r="G20" s="53">
        <f t="shared" si="3"/>
        <v>5.5208878872116318E-3</v>
      </c>
      <c r="H20" s="53"/>
      <c r="I20" s="54">
        <f>Jar_Information!Q6</f>
        <v>43308.701388888891</v>
      </c>
      <c r="J20" s="55">
        <f t="shared" si="1"/>
        <v>16.781944444439432</v>
      </c>
      <c r="K20" s="55">
        <f t="shared" si="4"/>
        <v>402.76666666654637</v>
      </c>
      <c r="L20" s="56">
        <f>Jar_Information!H6</f>
        <v>1006.9230769230769</v>
      </c>
      <c r="M20" s="55">
        <f t="shared" si="5"/>
        <v>5.5966431986810781</v>
      </c>
      <c r="N20" s="55">
        <f t="shared" si="6"/>
        <v>10.241857053586374</v>
      </c>
      <c r="O20" s="57">
        <f t="shared" si="7"/>
        <v>2.7932337418871929</v>
      </c>
      <c r="P20" s="55">
        <v>26.611591631551708</v>
      </c>
      <c r="Q20" s="58"/>
      <c r="R20" s="58"/>
      <c r="S20" s="71">
        <f t="shared" si="8"/>
        <v>5558.1636044961051</v>
      </c>
      <c r="T20" s="72">
        <f t="shared" si="9"/>
        <v>0.55581636044961047</v>
      </c>
    </row>
    <row r="21" spans="1:20">
      <c r="A21" s="1" t="s">
        <v>14</v>
      </c>
      <c r="B21" s="50">
        <v>43325.484722222223</v>
      </c>
      <c r="C21" s="21">
        <v>2</v>
      </c>
      <c r="D21" s="59">
        <v>1170.2</v>
      </c>
      <c r="E21" s="60">
        <v>276.62</v>
      </c>
      <c r="F21" s="53">
        <f t="shared" si="2"/>
        <v>5.2966427310698165E-3</v>
      </c>
      <c r="G21" s="53">
        <f t="shared" si="3"/>
        <v>5.549102253741796E-3</v>
      </c>
      <c r="H21" s="53"/>
      <c r="I21" s="54">
        <f>Jar_Information!Q7</f>
        <v>43308.701388888891</v>
      </c>
      <c r="J21" s="55">
        <f t="shared" si="1"/>
        <v>16.783333333332848</v>
      </c>
      <c r="K21" s="55">
        <f t="shared" si="4"/>
        <v>402.79999999998836</v>
      </c>
      <c r="L21" s="56">
        <f>Jar_Information!H7</f>
        <v>1026.0859728506789</v>
      </c>
      <c r="M21" s="55">
        <f t="shared" si="5"/>
        <v>5.4348108095522498</v>
      </c>
      <c r="N21" s="55">
        <f t="shared" si="6"/>
        <v>9.9457037814806171</v>
      </c>
      <c r="O21" s="57">
        <f t="shared" si="7"/>
        <v>2.7124646676765316</v>
      </c>
      <c r="P21" s="55">
        <v>27.118040607238672</v>
      </c>
      <c r="Q21" s="58"/>
      <c r="R21" s="58"/>
      <c r="S21" s="71">
        <f t="shared" si="8"/>
        <v>5296.6427310698164</v>
      </c>
      <c r="T21" s="72">
        <f t="shared" si="9"/>
        <v>0.52966427310698161</v>
      </c>
    </row>
    <row r="22" spans="1:20">
      <c r="A22" s="1" t="s">
        <v>15</v>
      </c>
      <c r="B22" s="50">
        <v>43325.486111111109</v>
      </c>
      <c r="C22" s="21">
        <v>2</v>
      </c>
      <c r="D22" s="59">
        <v>1222.0999999999999</v>
      </c>
      <c r="E22" s="60">
        <v>281.07</v>
      </c>
      <c r="F22" s="53">
        <f t="shared" si="2"/>
        <v>5.5364472068794354E-3</v>
      </c>
      <c r="G22" s="53">
        <f t="shared" si="3"/>
        <v>5.6435037056660302E-3</v>
      </c>
      <c r="H22" s="53"/>
      <c r="I22" s="54">
        <f>Jar_Information!Q8</f>
        <v>43308.701388888891</v>
      </c>
      <c r="J22" s="55">
        <f t="shared" si="1"/>
        <v>16.784722222218988</v>
      </c>
      <c r="K22" s="55">
        <f t="shared" si="4"/>
        <v>402.83333333325572</v>
      </c>
      <c r="L22" s="56">
        <f>Jar_Information!H8</f>
        <v>1002.1673217293657</v>
      </c>
      <c r="M22" s="55">
        <f t="shared" si="5"/>
        <v>5.5484464692143911</v>
      </c>
      <c r="N22" s="55">
        <f t="shared" si="6"/>
        <v>10.153657038662336</v>
      </c>
      <c r="O22" s="57">
        <f t="shared" si="7"/>
        <v>2.7691791923624551</v>
      </c>
      <c r="P22" s="55">
        <v>26.485903564592896</v>
      </c>
      <c r="Q22" s="58"/>
      <c r="R22" s="58"/>
      <c r="S22" s="71">
        <f t="shared" si="8"/>
        <v>5536.4472068794357</v>
      </c>
      <c r="T22" s="72">
        <f t="shared" si="9"/>
        <v>0.55364472068794357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43325.476388888892</v>
      </c>
      <c r="C26" s="21">
        <v>1</v>
      </c>
      <c r="D26" s="59">
        <v>1088.0999999999999</v>
      </c>
      <c r="E26" s="60">
        <v>255.31</v>
      </c>
      <c r="F26" s="53">
        <f t="shared" si="2"/>
        <v>9.8345976985955205E-3</v>
      </c>
      <c r="G26" s="53">
        <f t="shared" si="3"/>
        <v>1.0194071949953056E-2</v>
      </c>
      <c r="H26" s="53"/>
      <c r="I26" s="54">
        <f>Jar_Information!Q12</f>
        <v>43308.723611111112</v>
      </c>
      <c r="J26" s="55">
        <f t="shared" si="1"/>
        <v>16.752777777779556</v>
      </c>
      <c r="K26" s="55">
        <f t="shared" si="4"/>
        <v>402.06666666670935</v>
      </c>
      <c r="L26" s="56">
        <f>Jar_Information!H12</f>
        <v>1002.1673217293657</v>
      </c>
      <c r="M26" s="55">
        <f t="shared" si="5"/>
        <v>9.8559124358872552</v>
      </c>
      <c r="N26" s="55">
        <f t="shared" si="6"/>
        <v>18.036319757673677</v>
      </c>
      <c r="O26" s="57">
        <f t="shared" si="7"/>
        <v>4.9189962975473662</v>
      </c>
      <c r="P26" s="73">
        <v>26.485903564592896</v>
      </c>
      <c r="Q26" s="61"/>
      <c r="R26" s="61"/>
      <c r="S26" s="71">
        <f t="shared" si="8"/>
        <v>9834.5976985955203</v>
      </c>
      <c r="T26" s="72">
        <f t="shared" si="9"/>
        <v>0.98345976985955208</v>
      </c>
    </row>
    <row r="27" spans="1:20">
      <c r="A27" s="1" t="s">
        <v>20</v>
      </c>
      <c r="B27" s="50">
        <v>43325.479166666664</v>
      </c>
      <c r="C27" s="21">
        <v>1</v>
      </c>
      <c r="D27" s="59">
        <v>1073.3</v>
      </c>
      <c r="E27" s="60">
        <v>260.33</v>
      </c>
      <c r="F27" s="53">
        <f t="shared" si="2"/>
        <v>9.6978305987118069E-3</v>
      </c>
      <c r="G27" s="53">
        <f t="shared" si="3"/>
        <v>1.0407058596541665E-2</v>
      </c>
      <c r="H27" s="53"/>
      <c r="I27" s="54">
        <f>Jar_Information!Q13</f>
        <v>43308.723611111112</v>
      </c>
      <c r="J27" s="55">
        <f t="shared" si="1"/>
        <v>16.755555555551837</v>
      </c>
      <c r="K27" s="55">
        <f t="shared" si="4"/>
        <v>402.13333333324408</v>
      </c>
      <c r="L27" s="56">
        <f>Jar_Information!H13</f>
        <v>1002.1673217293657</v>
      </c>
      <c r="M27" s="55">
        <f t="shared" si="5"/>
        <v>9.7188489176961017</v>
      </c>
      <c r="N27" s="55">
        <f t="shared" si="6"/>
        <v>17.785493519383866</v>
      </c>
      <c r="O27" s="57">
        <f t="shared" si="7"/>
        <v>4.8505891416501452</v>
      </c>
      <c r="P27" s="73">
        <v>26.485903564592896</v>
      </c>
      <c r="Q27" s="61"/>
      <c r="R27" s="61"/>
      <c r="S27" s="71">
        <f t="shared" si="8"/>
        <v>9697.8305987118074</v>
      </c>
      <c r="T27" s="72">
        <f t="shared" si="9"/>
        <v>0.96978305987118074</v>
      </c>
    </row>
    <row r="28" spans="1:20">
      <c r="A28" s="1" t="s">
        <v>21</v>
      </c>
      <c r="B28" s="50">
        <v>43325.480555555558</v>
      </c>
      <c r="C28" s="21">
        <v>1</v>
      </c>
      <c r="D28" s="59">
        <v>1134.5999999999999</v>
      </c>
      <c r="E28" s="60">
        <v>258.60000000000002</v>
      </c>
      <c r="F28" s="53">
        <f t="shared" si="2"/>
        <v>1.0264305140797727E-2</v>
      </c>
      <c r="G28" s="53">
        <f t="shared" si="3"/>
        <v>1.0333658815944398E-2</v>
      </c>
      <c r="H28" s="53"/>
      <c r="I28" s="54">
        <f>Jar_Information!Q14</f>
        <v>43308.729166666664</v>
      </c>
      <c r="J28" s="55">
        <f t="shared" si="1"/>
        <v>16.751388888893416</v>
      </c>
      <c r="K28" s="55">
        <f t="shared" si="4"/>
        <v>402.03333333344199</v>
      </c>
      <c r="L28" s="56">
        <f>Jar_Information!H14</f>
        <v>1006.9230769230769</v>
      </c>
      <c r="M28" s="55">
        <f t="shared" si="5"/>
        <v>10.335365714849404</v>
      </c>
      <c r="N28" s="55">
        <f t="shared" si="6"/>
        <v>18.91371925817441</v>
      </c>
      <c r="O28" s="57">
        <f t="shared" si="7"/>
        <v>5.1582870704112027</v>
      </c>
      <c r="P28" s="73">
        <v>26.611591631551708</v>
      </c>
      <c r="Q28" s="61"/>
      <c r="R28" s="61"/>
      <c r="S28" s="71">
        <f t="shared" si="8"/>
        <v>10264.305140797727</v>
      </c>
      <c r="T28" s="72">
        <f t="shared" si="9"/>
        <v>1.0264305140797727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43325.481944444444</v>
      </c>
      <c r="C30" s="21">
        <v>1</v>
      </c>
      <c r="D30" s="59">
        <v>1282</v>
      </c>
      <c r="E30" s="60">
        <v>296.18</v>
      </c>
      <c r="F30" s="53">
        <f t="shared" si="2"/>
        <v>1.1626431527477412E-2</v>
      </c>
      <c r="G30" s="53">
        <f t="shared" si="3"/>
        <v>1.192808873204001E-2</v>
      </c>
      <c r="H30" s="53"/>
      <c r="I30" s="54">
        <f>Jar_Information!Q16</f>
        <v>43308.729166666664</v>
      </c>
      <c r="J30" s="55">
        <f t="shared" si="1"/>
        <v>16.752777777779556</v>
      </c>
      <c r="K30" s="55">
        <f t="shared" si="4"/>
        <v>402.06666666670935</v>
      </c>
      <c r="L30" s="56">
        <f>Jar_Information!H16</f>
        <v>1020.9105809506466</v>
      </c>
      <c r="M30" s="55">
        <f t="shared" si="5"/>
        <v>11.869546965099879</v>
      </c>
      <c r="N30" s="55">
        <f t="shared" si="6"/>
        <v>21.72127094613278</v>
      </c>
      <c r="O30" s="57">
        <f t="shared" si="7"/>
        <v>5.9239829853089399</v>
      </c>
      <c r="P30" s="73">
        <v>26.855607956200881</v>
      </c>
      <c r="Q30" s="61"/>
      <c r="R30" s="61"/>
      <c r="S30" s="71">
        <f t="shared" si="8"/>
        <v>11626.431527477413</v>
      </c>
      <c r="T30" s="72">
        <f t="shared" si="9"/>
        <v>1.1626431527477412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Jar_Information!Q19</f>
        <v>43308.73541666667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61"/>
      <c r="R33" s="61"/>
      <c r="S33" s="71" t="e">
        <f t="shared" si="8"/>
        <v>#DIV/0!</v>
      </c>
      <c r="T33" s="72" t="e">
        <f t="shared" si="9"/>
        <v>#DIV/0!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arc_inc_ids</vt:lpstr>
      <vt:lpstr>Leakage</vt:lpstr>
      <vt:lpstr>Template</vt:lpstr>
      <vt:lpstr>Jar_Information</vt:lpstr>
      <vt:lpstr>30.07.18</vt:lpstr>
      <vt:lpstr>02.08.18</vt:lpstr>
      <vt:lpstr>06.08.18</vt:lpstr>
      <vt:lpstr>09.08.18</vt:lpstr>
      <vt:lpstr>13.08.18</vt:lpstr>
      <vt:lpstr>20.08.18</vt:lpstr>
      <vt:lpstr>24.08.18</vt:lpstr>
      <vt:lpstr>27.08.18</vt:lpstr>
      <vt:lpstr>03.09.18</vt:lpstr>
      <vt:lpstr>CO2_Summary</vt:lpstr>
      <vt:lpstr>arc-tme-flux-t2-1</vt:lpstr>
      <vt:lpstr>arc-tme-flux-t2-2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2018-08-24T11:54:41Z</cp:lastPrinted>
  <dcterms:created xsi:type="dcterms:W3CDTF">2018-07-27T08:01:59Z</dcterms:created>
  <dcterms:modified xsi:type="dcterms:W3CDTF">2020-04-27T15:29:32Z</dcterms:modified>
</cp:coreProperties>
</file>