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60" yWindow="560" windowWidth="25040" windowHeight="15500"/>
  </bookViews>
  <sheets>
    <sheet name="jar_information" sheetId="4" r:id="rId1"/>
    <sheet name="C.calc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4" l="1"/>
  <c r="M23" i="4"/>
  <c r="H23" i="4"/>
  <c r="I23" i="4"/>
  <c r="M24" i="4"/>
  <c r="H24" i="4"/>
  <c r="I24" i="4"/>
  <c r="M25" i="4"/>
  <c r="H25" i="4"/>
  <c r="I25" i="4"/>
  <c r="M26" i="4"/>
  <c r="H26" i="4"/>
  <c r="I26" i="4"/>
  <c r="M27" i="4"/>
  <c r="H27" i="4"/>
  <c r="I27" i="4"/>
  <c r="M28" i="4"/>
  <c r="H28" i="4"/>
  <c r="I28" i="4"/>
  <c r="M29" i="4"/>
  <c r="H29" i="4"/>
  <c r="I29" i="4"/>
  <c r="M30" i="4"/>
  <c r="H30" i="4"/>
  <c r="I30" i="4"/>
  <c r="M31" i="4"/>
  <c r="H31" i="4"/>
  <c r="I31" i="4"/>
  <c r="M32" i="4"/>
  <c r="H32" i="4"/>
  <c r="I32" i="4"/>
  <c r="M33" i="4"/>
  <c r="H33" i="4"/>
  <c r="I33" i="4"/>
  <c r="M34" i="4"/>
  <c r="H34" i="4"/>
  <c r="I34" i="4"/>
  <c r="M35" i="4"/>
  <c r="H35" i="4"/>
  <c r="I35" i="4"/>
  <c r="M36" i="4"/>
  <c r="H36" i="4"/>
  <c r="I36" i="4"/>
  <c r="M37" i="4"/>
  <c r="H37" i="4"/>
  <c r="I37" i="4"/>
  <c r="M38" i="4"/>
  <c r="H38" i="4"/>
  <c r="I38" i="4"/>
  <c r="M39" i="4"/>
  <c r="H39" i="4"/>
  <c r="I39" i="4"/>
  <c r="M40" i="4"/>
  <c r="H40" i="4"/>
  <c r="I40" i="4"/>
  <c r="I3" i="4"/>
  <c r="Q3" i="4"/>
  <c r="T16" i="4"/>
  <c r="G5" i="5"/>
  <c r="G6" i="5"/>
  <c r="I4" i="4"/>
  <c r="Q4" i="4"/>
  <c r="R4" i="4"/>
  <c r="I5" i="4"/>
  <c r="Q5" i="4"/>
  <c r="R5" i="4"/>
  <c r="I6" i="4"/>
  <c r="Q6" i="4"/>
  <c r="R6" i="4"/>
  <c r="I7" i="4"/>
  <c r="Q7" i="4"/>
  <c r="R7" i="4"/>
  <c r="I8" i="4"/>
  <c r="Q8" i="4"/>
  <c r="R8" i="4"/>
  <c r="I9" i="4"/>
  <c r="Q9" i="4"/>
  <c r="R9" i="4"/>
  <c r="I10" i="4"/>
  <c r="Q10" i="4"/>
  <c r="R10" i="4"/>
  <c r="I11" i="4"/>
  <c r="Q11" i="4"/>
  <c r="R11" i="4"/>
  <c r="I12" i="4"/>
  <c r="Q12" i="4"/>
  <c r="R12" i="4"/>
  <c r="I13" i="4"/>
  <c r="Q13" i="4"/>
  <c r="R13" i="4"/>
  <c r="I14" i="4"/>
  <c r="Q14" i="4"/>
  <c r="R14" i="4"/>
  <c r="I15" i="4"/>
  <c r="Q15" i="4"/>
  <c r="R15" i="4"/>
  <c r="I16" i="4"/>
  <c r="Q16" i="4"/>
  <c r="R16" i="4"/>
  <c r="I17" i="4"/>
  <c r="Q17" i="4"/>
  <c r="R17" i="4"/>
  <c r="I18" i="4"/>
  <c r="Q18" i="4"/>
  <c r="R18" i="4"/>
  <c r="I19" i="4"/>
  <c r="Q19" i="4"/>
  <c r="R19" i="4"/>
  <c r="I20" i="4"/>
  <c r="Q20" i="4"/>
  <c r="R20" i="4"/>
  <c r="I21" i="4"/>
  <c r="Q21" i="4"/>
  <c r="R21" i="4"/>
  <c r="I22" i="4"/>
  <c r="Q22" i="4"/>
  <c r="R22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3" i="4"/>
  <c r="G8" i="5"/>
  <c r="G10" i="5"/>
  <c r="B3" i="5"/>
  <c r="A10" i="5"/>
  <c r="G9" i="5"/>
  <c r="T4" i="4"/>
  <c r="T5" i="4"/>
  <c r="T6" i="4"/>
  <c r="T7" i="4"/>
  <c r="T8" i="4"/>
  <c r="T9" i="4"/>
  <c r="T10" i="4"/>
  <c r="T11" i="4"/>
  <c r="T12" i="4"/>
  <c r="T13" i="4"/>
  <c r="T14" i="4"/>
  <c r="T15" i="4"/>
  <c r="T3" i="4"/>
  <c r="U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I46" i="4"/>
  <c r="I45" i="4"/>
  <c r="I44" i="4"/>
  <c r="M44" i="4"/>
  <c r="M45" i="4"/>
  <c r="M46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H41" i="4"/>
  <c r="I41" i="4"/>
</calcChain>
</file>

<file path=xl/sharedStrings.xml><?xml version="1.0" encoding="utf-8"?>
<sst xmlns="http://schemas.openxmlformats.org/spreadsheetml/2006/main" count="210" uniqueCount="113">
  <si>
    <t>Date</t>
  </si>
  <si>
    <t>jar</t>
  </si>
  <si>
    <t>P_sample</t>
  </si>
  <si>
    <t>P_leakage_S</t>
  </si>
  <si>
    <t>P_atm</t>
  </si>
  <si>
    <t>mean_V_pump</t>
  </si>
  <si>
    <t>V_sample</t>
  </si>
  <si>
    <t>P_std_jar</t>
  </si>
  <si>
    <t>P_leakage_STD</t>
  </si>
  <si>
    <t>V_std_jar</t>
  </si>
  <si>
    <t>V_pump</t>
  </si>
  <si>
    <t>Nr.</t>
  </si>
  <si>
    <t>Start_Date_Incubation</t>
  </si>
  <si>
    <t>[g]</t>
  </si>
  <si>
    <t>[hPa]</t>
  </si>
  <si>
    <t>[ml]</t>
  </si>
  <si>
    <t>Std1</t>
  </si>
  <si>
    <t>Std2</t>
  </si>
  <si>
    <t>Std3</t>
  </si>
  <si>
    <t>27/07/2018</t>
  </si>
  <si>
    <t>27/07/2018 16:50</t>
  </si>
  <si>
    <t>MA-1</t>
  </si>
  <si>
    <t>MA-2</t>
  </si>
  <si>
    <t>MA-3</t>
  </si>
  <si>
    <t>MB-1</t>
  </si>
  <si>
    <t>MB-2</t>
  </si>
  <si>
    <t>MB-3</t>
  </si>
  <si>
    <t>SA-1</t>
  </si>
  <si>
    <t>SA-2</t>
  </si>
  <si>
    <t>SA-3</t>
  </si>
  <si>
    <t>SB-1</t>
  </si>
  <si>
    <t>SB-2</t>
  </si>
  <si>
    <t>SB-3</t>
  </si>
  <si>
    <t>Du123-1</t>
  </si>
  <si>
    <t>Du120-1</t>
  </si>
  <si>
    <t>TVA 4E C-1</t>
  </si>
  <si>
    <t>TVA 6E C-1</t>
  </si>
  <si>
    <t>TVA 8E C-1</t>
  </si>
  <si>
    <t>TVA 2B C-1</t>
  </si>
  <si>
    <t>TVA 3B C-1</t>
  </si>
  <si>
    <t>TVA 5B C-1</t>
  </si>
  <si>
    <t>dry soil</t>
  </si>
  <si>
    <t>27/07/2018 17:22</t>
  </si>
  <si>
    <t>27/07/2018 17:30</t>
  </si>
  <si>
    <t>27/07/2018 17:39</t>
  </si>
  <si>
    <t>Target CO2</t>
  </si>
  <si>
    <t>[mg jar-1]</t>
  </si>
  <si>
    <t>[ml jar-1]</t>
  </si>
  <si>
    <t>R</t>
  </si>
  <si>
    <t>L bar K-1 mol-1</t>
  </si>
  <si>
    <t>T</t>
  </si>
  <si>
    <t>K</t>
  </si>
  <si>
    <t>24C</t>
  </si>
  <si>
    <t>P</t>
  </si>
  <si>
    <t>bar</t>
  </si>
  <si>
    <t>Lab Values</t>
  </si>
  <si>
    <t>Value</t>
  </si>
  <si>
    <t>Variable</t>
  </si>
  <si>
    <t>units</t>
  </si>
  <si>
    <t>Vol of 1 mol CO2 at lab T&amp;P</t>
  </si>
  <si>
    <t>ppm = µL L-1</t>
  </si>
  <si>
    <t>ml L-1 = ppm*1000</t>
  </si>
  <si>
    <t>ml</t>
  </si>
  <si>
    <t>AMS analysis</t>
  </si>
  <si>
    <t>C</t>
  </si>
  <si>
    <t>mg</t>
  </si>
  <si>
    <t>mg L-1</t>
  </si>
  <si>
    <t>injc vol</t>
  </si>
  <si>
    <t>value</t>
  </si>
  <si>
    <t>target C</t>
  </si>
  <si>
    <t>sample C</t>
  </si>
  <si>
    <t>sample CO2</t>
  </si>
  <si>
    <t>jar vol</t>
  </si>
  <si>
    <t>CO2</t>
  </si>
  <si>
    <t>g</t>
  </si>
  <si>
    <t>ml jar-1</t>
  </si>
  <si>
    <t>mg jar-1</t>
  </si>
  <si>
    <t>%</t>
  </si>
  <si>
    <t>[CO2]</t>
  </si>
  <si>
    <t xml:space="preserve">Total CO2 initial </t>
  </si>
  <si>
    <t>[mg CO2]</t>
  </si>
  <si>
    <t>Total CO2 initial eqv</t>
  </si>
  <si>
    <t>Threshold CO2 (1 mgC)</t>
  </si>
  <si>
    <t>NA</t>
  </si>
  <si>
    <t>[mg CO2 jar-1]</t>
  </si>
  <si>
    <t>Threshold CO2 (0.5 mgC)</t>
  </si>
  <si>
    <t>Units</t>
  </si>
  <si>
    <t>Equivalent</t>
  </si>
  <si>
    <t>990 mbar</t>
  </si>
  <si>
    <t>WB 4B C-1</t>
  </si>
  <si>
    <t>21/08/2018</t>
  </si>
  <si>
    <t>21/08/2018 14:29</t>
  </si>
  <si>
    <t>WB 5B C-1</t>
  </si>
  <si>
    <t>WB 8B C-1</t>
  </si>
  <si>
    <t>WB 3E C-1</t>
  </si>
  <si>
    <t>21/08/2018 15:49</t>
  </si>
  <si>
    <t>WB 7E C-1</t>
  </si>
  <si>
    <t>HEW26-1</t>
  </si>
  <si>
    <t>HEW26-2</t>
  </si>
  <si>
    <t>HEW47-1</t>
  </si>
  <si>
    <t>HEW47-2</t>
  </si>
  <si>
    <t>21/08/2018 15:55</t>
  </si>
  <si>
    <t>HEG20-1</t>
  </si>
  <si>
    <t>HEG20-2</t>
  </si>
  <si>
    <t>HEG20-3</t>
  </si>
  <si>
    <t>HEG33-1</t>
  </si>
  <si>
    <t>HEG33-2</t>
  </si>
  <si>
    <t>HEG33-3</t>
  </si>
  <si>
    <t>21/08/2018 16:01</t>
  </si>
  <si>
    <t>HEG6-1</t>
  </si>
  <si>
    <t>HEG6-2</t>
  </si>
  <si>
    <t>HEG6-3</t>
  </si>
  <si>
    <t>HEW49-1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</si>
</sst>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b/>
      <i/>
      <sz val="11"/>
      <color indexed="8"/>
      <name val="Calibri"/>
      <scheme val="minor"/>
    </font>
    <font>
      <i/>
      <sz val="11"/>
      <color indexed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7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Fill="1"/>
    <xf numFmtId="0" fontId="0" fillId="7" borderId="0" xfId="0" applyFill="1"/>
    <xf numFmtId="0" fontId="0" fillId="6" borderId="0" xfId="0" applyFill="1"/>
    <xf numFmtId="0" fontId="0" fillId="3" borderId="0" xfId="0" applyFill="1"/>
    <xf numFmtId="0" fontId="0" fillId="8" borderId="0" xfId="0" applyFill="1"/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22" fontId="3" fillId="0" borderId="0" xfId="1" applyNumberFormat="1" applyFont="1" applyFill="1" applyAlignment="1">
      <alignment horizontal="center"/>
    </xf>
    <xf numFmtId="0" fontId="5" fillId="0" borderId="0" xfId="0" applyFont="1"/>
    <xf numFmtId="0" fontId="4" fillId="5" borderId="0" xfId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0" applyFont="1" applyFill="1"/>
    <xf numFmtId="0" fontId="0" fillId="4" borderId="3" xfId="0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9" borderId="3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Border="1"/>
    <xf numFmtId="1" fontId="4" fillId="2" borderId="1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2" fontId="4" fillId="9" borderId="1" xfId="1" applyNumberFormat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5" fillId="10" borderId="0" xfId="0" applyFont="1" applyFill="1"/>
    <xf numFmtId="0" fontId="5" fillId="10" borderId="3" xfId="0" applyFont="1" applyFill="1" applyBorder="1"/>
    <xf numFmtId="0" fontId="5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4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0" fillId="5" borderId="3" xfId="0" applyFill="1" applyBorder="1"/>
    <xf numFmtId="2" fontId="0" fillId="0" borderId="0" xfId="0" applyNumberFormat="1"/>
    <xf numFmtId="2" fontId="0" fillId="0" borderId="0" xfId="0" applyNumberFormat="1" applyFill="1"/>
    <xf numFmtId="2" fontId="4" fillId="11" borderId="0" xfId="1" applyNumberFormat="1" applyFont="1" applyFill="1" applyBorder="1" applyAlignment="1">
      <alignment horizontal="center"/>
    </xf>
    <xf numFmtId="2" fontId="3" fillId="11" borderId="3" xfId="1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9" fillId="0" borderId="0" xfId="1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2" fontId="10" fillId="0" borderId="3" xfId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1" applyNumberFormat="1" applyFont="1" applyFill="1" applyAlignment="1">
      <alignment horizontal="center"/>
    </xf>
    <xf numFmtId="10" fontId="10" fillId="0" borderId="0" xfId="1" applyNumberFormat="1" applyFont="1" applyFill="1" applyAlignment="1">
      <alignment horizontal="center"/>
    </xf>
    <xf numFmtId="22" fontId="10" fillId="0" borderId="0" xfId="1" applyNumberFormat="1" applyFont="1" applyFill="1" applyAlignment="1">
      <alignment horizontal="center"/>
    </xf>
    <xf numFmtId="0" fontId="8" fillId="0" borderId="0" xfId="0" applyFont="1" applyFill="1"/>
    <xf numFmtId="2" fontId="8" fillId="0" borderId="0" xfId="0" applyNumberFormat="1" applyFont="1" applyFill="1"/>
    <xf numFmtId="2" fontId="0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3" fillId="0" borderId="3" xfId="1" applyFont="1" applyFill="1" applyBorder="1" applyAlignment="1">
      <alignment horizontal="center"/>
    </xf>
    <xf numFmtId="2" fontId="3" fillId="0" borderId="3" xfId="1" applyNumberFormat="1" applyFont="1" applyFill="1" applyBorder="1" applyAlignment="1">
      <alignment horizontal="center"/>
    </xf>
  </cellXfs>
  <cellStyles count="13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topLeftCell="A9" workbookViewId="0">
      <selection activeCell="B30" sqref="B30"/>
    </sheetView>
  </sheetViews>
  <sheetFormatPr baseColWidth="10" defaultRowHeight="14" x14ac:dyDescent="0"/>
  <cols>
    <col min="1" max="1" width="9.6640625" style="19" bestFit="1" customWidth="1"/>
    <col min="2" max="2" width="10.83203125" style="2"/>
    <col min="3" max="3" width="10.83203125" style="37"/>
    <col min="5" max="5" width="11.5" customWidth="1"/>
    <col min="6" max="6" width="13.1640625" customWidth="1"/>
    <col min="8" max="8" width="14.5" customWidth="1"/>
    <col min="9" max="9" width="12.6640625" style="27" customWidth="1"/>
    <col min="11" max="11" width="13.6640625" customWidth="1"/>
    <col min="13" max="13" width="10.83203125" style="27"/>
    <col min="14" max="14" width="22.5" customWidth="1"/>
    <col min="15" max="16" width="9.6640625" style="43" bestFit="1" customWidth="1"/>
    <col min="17" max="17" width="18.6640625" style="46" bestFit="1" customWidth="1"/>
    <col min="18" max="18" width="20.1640625" style="46" bestFit="1" customWidth="1"/>
    <col min="19" max="19" width="13.83203125" style="54" bestFit="1" customWidth="1"/>
    <col min="20" max="20" width="16.6640625" style="59" bestFit="1" customWidth="1"/>
    <col min="21" max="21" width="5.83203125" style="59" bestFit="1" customWidth="1"/>
    <col min="22" max="22" width="11" style="60" bestFit="1" customWidth="1"/>
    <col min="23" max="72" width="22.5" style="3" customWidth="1"/>
    <col min="73" max="93" width="10.83203125" style="3"/>
  </cols>
  <sheetData>
    <row r="1" spans="1:93" s="12" customFormat="1">
      <c r="A1" s="34" t="s">
        <v>11</v>
      </c>
      <c r="B1" s="14" t="s">
        <v>1</v>
      </c>
      <c r="C1" s="24" t="s">
        <v>41</v>
      </c>
      <c r="D1" s="15" t="s">
        <v>0</v>
      </c>
      <c r="E1" s="16" t="s">
        <v>2</v>
      </c>
      <c r="F1" s="16" t="s">
        <v>3</v>
      </c>
      <c r="G1" s="16" t="s">
        <v>4</v>
      </c>
      <c r="H1" s="16" t="s">
        <v>5</v>
      </c>
      <c r="I1" s="28" t="s">
        <v>6</v>
      </c>
      <c r="J1" s="17" t="s">
        <v>7</v>
      </c>
      <c r="K1" s="17" t="s">
        <v>8</v>
      </c>
      <c r="L1" s="17" t="s">
        <v>9</v>
      </c>
      <c r="M1" s="31" t="s">
        <v>10</v>
      </c>
      <c r="N1" s="13" t="s">
        <v>12</v>
      </c>
      <c r="O1" s="44" t="s">
        <v>45</v>
      </c>
      <c r="P1" s="44" t="s">
        <v>45</v>
      </c>
      <c r="Q1" s="48" t="s">
        <v>82</v>
      </c>
      <c r="R1" s="48" t="s">
        <v>85</v>
      </c>
      <c r="S1" s="51" t="s">
        <v>79</v>
      </c>
      <c r="T1" s="51" t="s">
        <v>81</v>
      </c>
      <c r="U1" s="51" t="s">
        <v>78</v>
      </c>
      <c r="V1" s="51" t="s">
        <v>64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 ht="15" thickBot="1">
      <c r="A2" s="35"/>
      <c r="B2" s="20" t="s">
        <v>13</v>
      </c>
      <c r="C2" s="25" t="s">
        <v>13</v>
      </c>
      <c r="D2" s="21"/>
      <c r="E2" s="21" t="s">
        <v>14</v>
      </c>
      <c r="F2" s="21" t="s">
        <v>14</v>
      </c>
      <c r="G2" s="21" t="s">
        <v>14</v>
      </c>
      <c r="H2" s="21" t="s">
        <v>15</v>
      </c>
      <c r="I2" s="29" t="s">
        <v>15</v>
      </c>
      <c r="J2" s="22" t="s">
        <v>14</v>
      </c>
      <c r="K2" s="22" t="s">
        <v>14</v>
      </c>
      <c r="L2" s="22" t="s">
        <v>15</v>
      </c>
      <c r="M2" s="32" t="s">
        <v>15</v>
      </c>
      <c r="N2" s="41"/>
      <c r="O2" s="45" t="s">
        <v>46</v>
      </c>
      <c r="P2" s="45" t="s">
        <v>47</v>
      </c>
      <c r="Q2" s="47" t="s">
        <v>84</v>
      </c>
      <c r="R2" s="47" t="s">
        <v>84</v>
      </c>
      <c r="S2" s="52" t="s">
        <v>80</v>
      </c>
      <c r="T2" s="53" t="s">
        <v>47</v>
      </c>
      <c r="U2" s="53" t="s">
        <v>77</v>
      </c>
      <c r="V2" s="52" t="s">
        <v>65</v>
      </c>
      <c r="BU2" s="1"/>
      <c r="BV2" s="1"/>
      <c r="BW2" s="1"/>
      <c r="BX2" s="1"/>
      <c r="BY2" s="1"/>
      <c r="CJ2"/>
      <c r="CK2"/>
      <c r="CL2"/>
      <c r="CM2"/>
      <c r="CN2"/>
      <c r="CO2"/>
    </row>
    <row r="3" spans="1:93" s="4" customFormat="1">
      <c r="A3" s="36" t="s">
        <v>21</v>
      </c>
      <c r="B3" s="8">
        <v>111.113</v>
      </c>
      <c r="C3" s="26">
        <v>49.957000000000001</v>
      </c>
      <c r="D3" s="10" t="s">
        <v>19</v>
      </c>
      <c r="E3" s="8">
        <v>312</v>
      </c>
      <c r="F3" s="8">
        <v>315</v>
      </c>
      <c r="G3" s="8">
        <v>990</v>
      </c>
      <c r="H3" s="9">
        <v>2190.11976047904</v>
      </c>
      <c r="I3" s="30">
        <f>((E3*H3)/(G3-E3))</f>
        <v>1007.8427216363724</v>
      </c>
      <c r="J3" s="8">
        <v>325</v>
      </c>
      <c r="K3" s="8"/>
      <c r="L3" s="8">
        <v>1100</v>
      </c>
      <c r="M3" s="33">
        <f t="shared" ref="M3:M41" si="0">((L3*G3)/J3)-L3</f>
        <v>2250.7692307692309</v>
      </c>
      <c r="N3" s="40" t="s">
        <v>20</v>
      </c>
      <c r="O3" s="9"/>
      <c r="P3" s="3"/>
      <c r="Q3" s="46">
        <f>C.calcs!$G$6*jar_information!I3/1000</f>
        <v>27.373506019753322</v>
      </c>
      <c r="R3" s="46">
        <f>Q3/2</f>
        <v>13.686753009876661</v>
      </c>
      <c r="S3" s="55">
        <v>18.779490421601</v>
      </c>
      <c r="T3" s="56">
        <f>S3*C.calcs!$A$10*(1/C.calcs!$B$6)</f>
        <v>10.650786699257674</v>
      </c>
      <c r="U3" s="57">
        <f t="shared" ref="U3:U16" si="1">T3/I3</f>
        <v>1.0567905557689244E-2</v>
      </c>
      <c r="V3" s="56">
        <f>S3*(C.calcs!$B$7/C.calcs!$B$6)*(C.calcs!$G$4/C.calcs!$G$7)</f>
        <v>0.62856972072300865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"/>
      <c r="BV3" s="1"/>
      <c r="BW3" s="1"/>
      <c r="BX3" s="1"/>
      <c r="BY3" s="1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93" s="4" customFormat="1">
      <c r="A4" s="36" t="s">
        <v>22</v>
      </c>
      <c r="B4" s="8">
        <v>110.414</v>
      </c>
      <c r="C4" s="26">
        <v>50.014000000000003</v>
      </c>
      <c r="D4" s="10" t="s">
        <v>19</v>
      </c>
      <c r="E4" s="8">
        <v>306</v>
      </c>
      <c r="F4" s="8">
        <v>308</v>
      </c>
      <c r="G4" s="8">
        <v>990</v>
      </c>
      <c r="H4" s="9">
        <v>2190.1197604790418</v>
      </c>
      <c r="I4" s="30">
        <f t="shared" ref="I4:I46" si="2">((E4*H4)/(G4-E4))</f>
        <v>979.7904191616766</v>
      </c>
      <c r="J4" s="8">
        <v>325</v>
      </c>
      <c r="K4" s="8"/>
      <c r="L4" s="8">
        <v>1100</v>
      </c>
      <c r="M4" s="33">
        <f t="shared" si="0"/>
        <v>2250.7692307692309</v>
      </c>
      <c r="N4" s="40" t="s">
        <v>20</v>
      </c>
      <c r="O4" s="9"/>
      <c r="P4" s="3"/>
      <c r="Q4" s="46">
        <f>C.calcs!$G$6*jar_information!I4/1000</f>
        <v>26.611591631551708</v>
      </c>
      <c r="R4" s="46">
        <f t="shared" ref="R4:R22" si="3">Q4/2</f>
        <v>13.305795815775854</v>
      </c>
      <c r="S4" s="55">
        <v>18.779490421601</v>
      </c>
      <c r="T4" s="56">
        <f>S4*C.calcs!$A$10*(1/C.calcs!$B$6)</f>
        <v>10.650786699257674</v>
      </c>
      <c r="U4" s="57">
        <f t="shared" si="1"/>
        <v>1.0870474431022348E-2</v>
      </c>
      <c r="V4" s="56">
        <f>S4*(C.calcs!$B$7/C.calcs!$B$6)*(C.calcs!$G$4/C.calcs!$G$7)</f>
        <v>0.62856972072300865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"/>
      <c r="BV4" s="1"/>
      <c r="BW4" s="1"/>
      <c r="BX4" s="1"/>
      <c r="BY4" s="1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93">
      <c r="A5" s="36" t="s">
        <v>23</v>
      </c>
      <c r="B5" s="8">
        <v>109.64400000000001</v>
      </c>
      <c r="C5" s="26">
        <v>50.002000000000002</v>
      </c>
      <c r="D5" s="10" t="s">
        <v>19</v>
      </c>
      <c r="E5" s="8">
        <v>312</v>
      </c>
      <c r="F5" s="8">
        <v>315</v>
      </c>
      <c r="G5" s="8">
        <v>990</v>
      </c>
      <c r="H5" s="9">
        <v>2190.1197604790418</v>
      </c>
      <c r="I5" s="30">
        <f t="shared" si="2"/>
        <v>1007.8427216363732</v>
      </c>
      <c r="J5" s="8">
        <v>325</v>
      </c>
      <c r="K5" s="8"/>
      <c r="L5" s="8">
        <v>1100</v>
      </c>
      <c r="M5" s="33">
        <f t="shared" si="0"/>
        <v>2250.7692307692309</v>
      </c>
      <c r="N5" s="40" t="s">
        <v>20</v>
      </c>
      <c r="O5" s="9"/>
      <c r="Q5" s="46">
        <f>C.calcs!$G$6*jar_information!I5/1000</f>
        <v>27.373506019753343</v>
      </c>
      <c r="R5" s="46">
        <f t="shared" si="3"/>
        <v>13.686753009876671</v>
      </c>
      <c r="S5" s="55">
        <v>18.779490421601</v>
      </c>
      <c r="T5" s="56">
        <f>S5*C.calcs!$A$10*(1/C.calcs!$B$6)</f>
        <v>10.650786699257674</v>
      </c>
      <c r="U5" s="57">
        <f t="shared" si="1"/>
        <v>1.0567905557689236E-2</v>
      </c>
      <c r="V5" s="56">
        <f>S5*(C.calcs!$B$7/C.calcs!$B$6)*(C.calcs!$G$4/C.calcs!$G$7)</f>
        <v>0.62856972072300865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"/>
      <c r="BV5" s="1"/>
      <c r="BW5" s="1"/>
      <c r="BX5" s="1"/>
      <c r="BY5" s="1"/>
      <c r="CJ5"/>
      <c r="CK5"/>
      <c r="CL5"/>
      <c r="CM5"/>
      <c r="CN5"/>
      <c r="CO5"/>
    </row>
    <row r="6" spans="1:93">
      <c r="A6" s="36" t="s">
        <v>24</v>
      </c>
      <c r="B6" s="8">
        <v>108.146</v>
      </c>
      <c r="C6" s="26">
        <v>59.994999999999997</v>
      </c>
      <c r="D6" s="10" t="s">
        <v>19</v>
      </c>
      <c r="E6" s="8">
        <v>306</v>
      </c>
      <c r="F6" s="8">
        <v>308</v>
      </c>
      <c r="G6" s="8">
        <v>990</v>
      </c>
      <c r="H6" s="9">
        <v>2190.1197604790418</v>
      </c>
      <c r="I6" s="30">
        <f t="shared" si="2"/>
        <v>979.7904191616766</v>
      </c>
      <c r="J6" s="8">
        <v>325</v>
      </c>
      <c r="K6" s="8"/>
      <c r="L6" s="8">
        <v>1100</v>
      </c>
      <c r="M6" s="33">
        <f t="shared" si="0"/>
        <v>2250.7692307692309</v>
      </c>
      <c r="N6" s="40" t="s">
        <v>20</v>
      </c>
      <c r="O6" s="9"/>
      <c r="Q6" s="46">
        <f>C.calcs!$G$6*jar_information!I6/1000</f>
        <v>26.611591631551708</v>
      </c>
      <c r="R6" s="46">
        <f t="shared" si="3"/>
        <v>13.305795815775854</v>
      </c>
      <c r="S6" s="55">
        <v>3.7031148090988477</v>
      </c>
      <c r="T6" s="56">
        <f>S6*C.calcs!$A$10*(1/C.calcs!$B$6)</f>
        <v>2.1002213089449566</v>
      </c>
      <c r="U6" s="57">
        <f t="shared" si="1"/>
        <v>2.1435413817803379E-3</v>
      </c>
      <c r="V6" s="56">
        <f>S6*(C.calcs!$B$7/C.calcs!$B$6)*(C.calcs!$G$4/C.calcs!$G$7)</f>
        <v>0.1239472312136391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"/>
      <c r="BV6" s="1"/>
      <c r="BW6" s="1"/>
      <c r="BX6" s="1"/>
      <c r="BY6" s="1"/>
      <c r="CJ6"/>
      <c r="CK6"/>
      <c r="CL6"/>
      <c r="CM6"/>
      <c r="CN6"/>
      <c r="CO6"/>
    </row>
    <row r="7" spans="1:93">
      <c r="A7" s="36" t="s">
        <v>25</v>
      </c>
      <c r="B7" s="8">
        <v>111.913</v>
      </c>
      <c r="C7" s="26">
        <v>60.003</v>
      </c>
      <c r="D7" s="10" t="s">
        <v>19</v>
      </c>
      <c r="E7" s="8">
        <v>310</v>
      </c>
      <c r="F7" s="8">
        <v>313</v>
      </c>
      <c r="G7" s="8">
        <v>990</v>
      </c>
      <c r="H7" s="9">
        <v>2190.1197604790418</v>
      </c>
      <c r="I7" s="30">
        <f t="shared" si="2"/>
        <v>998.43694963015128</v>
      </c>
      <c r="J7" s="8">
        <v>325</v>
      </c>
      <c r="K7" s="8"/>
      <c r="L7" s="8">
        <v>1100</v>
      </c>
      <c r="M7" s="33">
        <f t="shared" si="0"/>
        <v>2250.7692307692309</v>
      </c>
      <c r="N7" s="40" t="s">
        <v>20</v>
      </c>
      <c r="O7" s="9"/>
      <c r="Q7" s="46">
        <f>C.calcs!$G$6*jar_information!I7/1000</f>
        <v>27.118040607238672</v>
      </c>
      <c r="R7" s="46">
        <f t="shared" si="3"/>
        <v>13.559020303619336</v>
      </c>
      <c r="S7" s="55">
        <v>3.7031148090988477</v>
      </c>
      <c r="T7" s="56">
        <f>S7*C.calcs!$A$10*(1/C.calcs!$B$6)</f>
        <v>2.1002213089449566</v>
      </c>
      <c r="U7" s="57">
        <f t="shared" si="1"/>
        <v>2.1035091997776492E-3</v>
      </c>
      <c r="V7" s="56">
        <f>S7*(C.calcs!$B$7/C.calcs!$B$6)*(C.calcs!$G$4/C.calcs!$G$7)</f>
        <v>0.1239472312136391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"/>
      <c r="BV7" s="1"/>
      <c r="BW7" s="1"/>
      <c r="BX7" s="1"/>
      <c r="BY7" s="1"/>
      <c r="CJ7"/>
      <c r="CK7"/>
      <c r="CL7"/>
      <c r="CM7"/>
      <c r="CN7"/>
      <c r="CO7"/>
    </row>
    <row r="8" spans="1:93">
      <c r="A8" s="36" t="s">
        <v>26</v>
      </c>
      <c r="B8" s="8">
        <v>110.33</v>
      </c>
      <c r="C8" s="26">
        <v>60.009</v>
      </c>
      <c r="D8" s="10" t="s">
        <v>19</v>
      </c>
      <c r="E8" s="8">
        <v>305</v>
      </c>
      <c r="F8" s="8">
        <v>308</v>
      </c>
      <c r="G8" s="8">
        <v>990</v>
      </c>
      <c r="H8" s="9">
        <v>2190.1197604790418</v>
      </c>
      <c r="I8" s="30">
        <f t="shared" si="2"/>
        <v>975.16281306001133</v>
      </c>
      <c r="J8" s="8">
        <v>325</v>
      </c>
      <c r="K8" s="8"/>
      <c r="L8" s="8">
        <v>1100</v>
      </c>
      <c r="M8" s="33">
        <f t="shared" si="0"/>
        <v>2250.7692307692309</v>
      </c>
      <c r="N8" s="40" t="s">
        <v>20</v>
      </c>
      <c r="O8" s="9"/>
      <c r="Q8" s="46">
        <f>C.calcs!$G$6*jar_information!I8/1000</f>
        <v>26.485903564592896</v>
      </c>
      <c r="R8" s="46">
        <f t="shared" si="3"/>
        <v>13.242951782296448</v>
      </c>
      <c r="S8" s="55">
        <v>3.7031148090988477</v>
      </c>
      <c r="T8" s="56">
        <f>S8*C.calcs!$A$10*(1/C.calcs!$B$6)</f>
        <v>2.1002213089449566</v>
      </c>
      <c r="U8" s="57">
        <f t="shared" si="1"/>
        <v>2.1537134936006931E-3</v>
      </c>
      <c r="V8" s="56">
        <f>S8*(C.calcs!$B$7/C.calcs!$B$6)*(C.calcs!$G$4/C.calcs!$G$7)</f>
        <v>0.1239472312136391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"/>
      <c r="BV8" s="1"/>
      <c r="BW8" s="1"/>
      <c r="BX8" s="1"/>
      <c r="BY8" s="1"/>
      <c r="CJ8"/>
      <c r="CK8"/>
      <c r="CL8"/>
      <c r="CM8"/>
      <c r="CN8"/>
      <c r="CO8"/>
    </row>
    <row r="9" spans="1:93">
      <c r="A9" s="36" t="s">
        <v>27</v>
      </c>
      <c r="B9" s="8">
        <v>101.2</v>
      </c>
      <c r="C9" s="26">
        <v>50.063000000000002</v>
      </c>
      <c r="D9" s="10" t="s">
        <v>19</v>
      </c>
      <c r="E9" s="8">
        <v>313</v>
      </c>
      <c r="F9" s="8">
        <v>316</v>
      </c>
      <c r="G9" s="8">
        <v>990</v>
      </c>
      <c r="H9" s="9">
        <v>2190.1197604790418</v>
      </c>
      <c r="I9" s="30">
        <f t="shared" si="2"/>
        <v>1012.5664476070017</v>
      </c>
      <c r="J9" s="8">
        <v>325</v>
      </c>
      <c r="K9" s="8"/>
      <c r="L9" s="8">
        <v>1100</v>
      </c>
      <c r="M9" s="33">
        <f t="shared" si="0"/>
        <v>2250.7692307692309</v>
      </c>
      <c r="N9" s="40" t="s">
        <v>42</v>
      </c>
      <c r="O9" s="9"/>
      <c r="Q9" s="46">
        <f>C.calcs!$G$6*jar_information!I9/1000</f>
        <v>27.501804749819797</v>
      </c>
      <c r="R9" s="46">
        <f t="shared" si="3"/>
        <v>13.750902374909899</v>
      </c>
      <c r="S9" s="55">
        <v>33.171338922202338</v>
      </c>
      <c r="T9" s="56">
        <f>S9*C.calcs!$A$10*(1/C.calcs!$B$6)</f>
        <v>18.813122585199586</v>
      </c>
      <c r="U9" s="57">
        <f t="shared" si="1"/>
        <v>1.8579642481400246E-2</v>
      </c>
      <c r="V9" s="56">
        <f>S9*(C.calcs!$B$7/C.calcs!$B$6)*(C.calcs!$G$4/C.calcs!$G$7)</f>
        <v>1.1102803523547065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"/>
      <c r="BV9" s="1"/>
      <c r="BW9" s="1"/>
      <c r="BX9" s="1"/>
      <c r="BY9" s="1"/>
      <c r="CJ9"/>
      <c r="CK9"/>
      <c r="CL9"/>
      <c r="CM9"/>
      <c r="CN9"/>
      <c r="CO9"/>
    </row>
    <row r="10" spans="1:93" s="7" customFormat="1">
      <c r="A10" s="36" t="s">
        <v>28</v>
      </c>
      <c r="B10" s="23">
        <v>104.54600000000001</v>
      </c>
      <c r="C10" s="26">
        <v>50.018999999999998</v>
      </c>
      <c r="D10" s="10" t="s">
        <v>19</v>
      </c>
      <c r="E10" s="8">
        <v>310</v>
      </c>
      <c r="F10" s="8">
        <v>312</v>
      </c>
      <c r="G10" s="8">
        <v>990</v>
      </c>
      <c r="H10" s="9">
        <v>2190.1197604790418</v>
      </c>
      <c r="I10" s="30">
        <f t="shared" si="2"/>
        <v>998.43694963015128</v>
      </c>
      <c r="J10" s="8">
        <v>325</v>
      </c>
      <c r="K10" s="8"/>
      <c r="L10" s="8">
        <v>1100</v>
      </c>
      <c r="M10" s="33">
        <f t="shared" si="0"/>
        <v>2250.7692307692309</v>
      </c>
      <c r="N10" s="40" t="s">
        <v>42</v>
      </c>
      <c r="O10" s="9"/>
      <c r="P10" s="3"/>
      <c r="Q10" s="46">
        <f>C.calcs!$G$6*jar_information!I10/1000</f>
        <v>27.118040607238672</v>
      </c>
      <c r="R10" s="46">
        <f t="shared" si="3"/>
        <v>13.559020303619336</v>
      </c>
      <c r="S10" s="55">
        <v>33.171338922202338</v>
      </c>
      <c r="T10" s="56">
        <f>S10*C.calcs!$A$10*(1/C.calcs!$B$6)</f>
        <v>18.813122585199586</v>
      </c>
      <c r="U10" s="57">
        <f t="shared" si="1"/>
        <v>1.8842574478206649E-2</v>
      </c>
      <c r="V10" s="56">
        <f>S10*(C.calcs!$B$7/C.calcs!$B$6)*(C.calcs!$G$4/C.calcs!$G$7)</f>
        <v>1.1102803523547065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93" s="7" customFormat="1">
      <c r="A11" s="36" t="s">
        <v>29</v>
      </c>
      <c r="B11" s="2">
        <v>109.187</v>
      </c>
      <c r="C11" s="26">
        <v>50.058</v>
      </c>
      <c r="D11" s="10" t="s">
        <v>19</v>
      </c>
      <c r="E11" s="8">
        <v>311</v>
      </c>
      <c r="F11" s="8">
        <v>314</v>
      </c>
      <c r="G11" s="8">
        <v>990</v>
      </c>
      <c r="H11" s="9">
        <v>2190.1197604790418</v>
      </c>
      <c r="I11" s="30">
        <f t="shared" si="2"/>
        <v>1003.1329094388542</v>
      </c>
      <c r="J11" s="8">
        <v>325</v>
      </c>
      <c r="K11" s="8"/>
      <c r="L11" s="8">
        <v>1100</v>
      </c>
      <c r="M11" s="33">
        <f t="shared" si="0"/>
        <v>2250.7692307692309</v>
      </c>
      <c r="N11" s="40" t="s">
        <v>42</v>
      </c>
      <c r="O11" s="9"/>
      <c r="P11" s="3"/>
      <c r="Q11" s="46">
        <f>C.calcs!$G$6*jar_information!I11/1000</f>
        <v>27.245585194635542</v>
      </c>
      <c r="R11" s="46">
        <f t="shared" si="3"/>
        <v>13.622792597317771</v>
      </c>
      <c r="S11" s="55">
        <v>33.171338922202338</v>
      </c>
      <c r="T11" s="56">
        <f>S11*C.calcs!$A$10*(1/C.calcs!$B$6)</f>
        <v>18.813122585199586</v>
      </c>
      <c r="U11" s="57">
        <f t="shared" si="1"/>
        <v>1.8754366852268379E-2</v>
      </c>
      <c r="V11" s="56">
        <f>S11*(C.calcs!$B$7/C.calcs!$B$6)*(C.calcs!$G$4/C.calcs!$G$7)</f>
        <v>1.1102803523547065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93">
      <c r="A12" s="36" t="s">
        <v>30</v>
      </c>
      <c r="B12" s="23">
        <v>111.649</v>
      </c>
      <c r="C12" s="26">
        <v>60.011000000000003</v>
      </c>
      <c r="D12" s="10" t="s">
        <v>19</v>
      </c>
      <c r="E12" s="8">
        <v>305</v>
      </c>
      <c r="F12" s="8">
        <v>307</v>
      </c>
      <c r="G12" s="8">
        <v>990</v>
      </c>
      <c r="H12" s="9">
        <v>2190.1197604790418</v>
      </c>
      <c r="I12" s="30">
        <f t="shared" si="2"/>
        <v>975.16281306001133</v>
      </c>
      <c r="J12" s="8">
        <v>325</v>
      </c>
      <c r="K12" s="8"/>
      <c r="L12" s="8">
        <v>1100</v>
      </c>
      <c r="M12" s="33">
        <f t="shared" si="0"/>
        <v>2250.7692307692309</v>
      </c>
      <c r="N12" s="40" t="s">
        <v>42</v>
      </c>
      <c r="O12" s="9"/>
      <c r="Q12" s="46">
        <f>C.calcs!$G$6*jar_information!I12/1000</f>
        <v>26.485903564592896</v>
      </c>
      <c r="R12" s="46">
        <f t="shared" si="3"/>
        <v>13.242951782296448</v>
      </c>
      <c r="S12" s="55">
        <v>6.5811247332256935</v>
      </c>
      <c r="T12" s="56">
        <f>S12*C.calcs!$A$10*(1/C.calcs!$B$6)</f>
        <v>3.7324844392034473</v>
      </c>
      <c r="U12" s="57">
        <f t="shared" si="1"/>
        <v>3.8275500144341035E-3</v>
      </c>
      <c r="V12" s="56">
        <f>S12*(C.calcs!$B$7/C.calcs!$B$6)*(C.calcs!$G$4/C.calcs!$G$7)</f>
        <v>0.22027731545094262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CJ12"/>
      <c r="CK12"/>
      <c r="CL12"/>
      <c r="CM12"/>
      <c r="CN12"/>
      <c r="CO12"/>
    </row>
    <row r="13" spans="1:93" s="6" customFormat="1">
      <c r="A13" s="36" t="s">
        <v>31</v>
      </c>
      <c r="B13" s="23">
        <v>113.53</v>
      </c>
      <c r="C13" s="26">
        <v>60.006</v>
      </c>
      <c r="D13" s="10" t="s">
        <v>19</v>
      </c>
      <c r="E13" s="8">
        <v>305</v>
      </c>
      <c r="F13" s="8">
        <v>307</v>
      </c>
      <c r="G13" s="8">
        <v>990</v>
      </c>
      <c r="H13" s="9">
        <v>2190.1197604790418</v>
      </c>
      <c r="I13" s="30">
        <f t="shared" si="2"/>
        <v>975.16281306001133</v>
      </c>
      <c r="J13" s="8">
        <v>325</v>
      </c>
      <c r="K13" s="8"/>
      <c r="L13" s="8">
        <v>1100</v>
      </c>
      <c r="M13" s="33">
        <f t="shared" si="0"/>
        <v>2250.7692307692309</v>
      </c>
      <c r="N13" s="40" t="s">
        <v>42</v>
      </c>
      <c r="O13" s="9"/>
      <c r="P13" s="3"/>
      <c r="Q13" s="46">
        <f>C.calcs!$G$6*jar_information!I13/1000</f>
        <v>26.485903564592896</v>
      </c>
      <c r="R13" s="46">
        <f t="shared" si="3"/>
        <v>13.242951782296448</v>
      </c>
      <c r="S13" s="55">
        <v>6.5811247332256935</v>
      </c>
      <c r="T13" s="56">
        <f>S13*C.calcs!$A$10*(1/C.calcs!$B$6)</f>
        <v>3.7324844392034473</v>
      </c>
      <c r="U13" s="57">
        <f t="shared" si="1"/>
        <v>3.8275500144341035E-3</v>
      </c>
      <c r="V13" s="56">
        <f>S13*(C.calcs!$B$7/C.calcs!$B$6)*(C.calcs!$G$4/C.calcs!$G$7)</f>
        <v>0.22027731545094262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93" s="6" customFormat="1">
      <c r="A14" s="36" t="s">
        <v>32</v>
      </c>
      <c r="B14" s="23">
        <v>111.36799999999999</v>
      </c>
      <c r="C14" s="26">
        <v>60.006</v>
      </c>
      <c r="D14" s="10" t="s">
        <v>19</v>
      </c>
      <c r="E14" s="8">
        <v>306</v>
      </c>
      <c r="F14" s="8">
        <v>307</v>
      </c>
      <c r="G14" s="8">
        <v>990</v>
      </c>
      <c r="H14" s="9">
        <v>2190.1197604790418</v>
      </c>
      <c r="I14" s="30">
        <f t="shared" si="2"/>
        <v>979.7904191616766</v>
      </c>
      <c r="J14" s="8">
        <v>325</v>
      </c>
      <c r="K14" s="8"/>
      <c r="L14" s="8">
        <v>1100</v>
      </c>
      <c r="M14" s="33">
        <f t="shared" si="0"/>
        <v>2250.7692307692309</v>
      </c>
      <c r="N14" s="40" t="s">
        <v>43</v>
      </c>
      <c r="O14" s="9"/>
      <c r="P14" s="3"/>
      <c r="Q14" s="46">
        <f>C.calcs!$G$6*jar_information!I14/1000</f>
        <v>26.611591631551708</v>
      </c>
      <c r="R14" s="46">
        <f t="shared" si="3"/>
        <v>13.305795815775854</v>
      </c>
      <c r="S14" s="55">
        <v>6.5811247332256935</v>
      </c>
      <c r="T14" s="56">
        <f>S14*C.calcs!$A$10*(1/C.calcs!$B$6)</f>
        <v>3.7324844392034473</v>
      </c>
      <c r="U14" s="57">
        <f t="shared" si="1"/>
        <v>3.8094722771396532E-3</v>
      </c>
      <c r="V14" s="56">
        <f>S14*(C.calcs!$B$7/C.calcs!$B$6)*(C.calcs!$G$4/C.calcs!$G$7)</f>
        <v>0.22027731545094262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93">
      <c r="A15" s="36" t="s">
        <v>33</v>
      </c>
      <c r="B15" s="23">
        <v>105.123</v>
      </c>
      <c r="C15" s="26">
        <v>49.631</v>
      </c>
      <c r="D15" s="10" t="s">
        <v>19</v>
      </c>
      <c r="E15" s="8">
        <v>311</v>
      </c>
      <c r="F15" s="8">
        <v>312</v>
      </c>
      <c r="G15" s="8">
        <v>987</v>
      </c>
      <c r="H15" s="9">
        <v>2190.1197604790418</v>
      </c>
      <c r="I15" s="30">
        <f t="shared" si="2"/>
        <v>1007.5846827055947</v>
      </c>
      <c r="J15" s="8">
        <v>325</v>
      </c>
      <c r="K15" s="8"/>
      <c r="L15" s="8">
        <v>1100</v>
      </c>
      <c r="M15" s="33">
        <f t="shared" si="0"/>
        <v>2240.6153846153848</v>
      </c>
      <c r="N15" s="40" t="s">
        <v>43</v>
      </c>
      <c r="O15" s="9"/>
      <c r="Q15" s="46">
        <f>C.calcs!$G$6*jar_information!I15/1000</f>
        <v>27.366497554966767</v>
      </c>
      <c r="R15" s="46">
        <f t="shared" si="3"/>
        <v>13.683248777483383</v>
      </c>
      <c r="S15" s="55">
        <v>12.710838849517405</v>
      </c>
      <c r="T15" s="56">
        <f>S15*C.calcs!$A$10*(1/C.calcs!$B$6)</f>
        <v>7.2089513781016725</v>
      </c>
      <c r="U15" s="57">
        <f t="shared" si="1"/>
        <v>7.1546853597893069E-3</v>
      </c>
      <c r="V15" s="56">
        <f>S15*(C.calcs!$B$7/C.calcs!$B$6)*(C.calcs!$G$4/C.calcs!$G$7)</f>
        <v>0.42544543256649159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CJ15"/>
      <c r="CK15"/>
      <c r="CL15"/>
      <c r="CM15"/>
      <c r="CN15"/>
      <c r="CO15"/>
    </row>
    <row r="16" spans="1:93">
      <c r="A16" s="36" t="s">
        <v>34</v>
      </c>
      <c r="B16" s="23">
        <v>113.517</v>
      </c>
      <c r="C16" s="26">
        <v>50.057000000000002</v>
      </c>
      <c r="D16" s="10" t="s">
        <v>19</v>
      </c>
      <c r="E16" s="8">
        <v>307</v>
      </c>
      <c r="F16" s="8">
        <v>309</v>
      </c>
      <c r="G16" s="8">
        <v>987</v>
      </c>
      <c r="H16" s="9">
        <v>2190.1197604790418</v>
      </c>
      <c r="I16" s="30">
        <f t="shared" si="2"/>
        <v>988.77465656921436</v>
      </c>
      <c r="J16" s="8">
        <v>325</v>
      </c>
      <c r="K16" s="8"/>
      <c r="L16" s="8">
        <v>1100</v>
      </c>
      <c r="M16" s="33">
        <f t="shared" si="0"/>
        <v>2240.6153846153848</v>
      </c>
      <c r="N16" s="40" t="s">
        <v>43</v>
      </c>
      <c r="O16" s="9"/>
      <c r="Q16" s="46">
        <f>C.calcs!$G$6*jar_information!I16/1000</f>
        <v>26.855607956200881</v>
      </c>
      <c r="R16" s="46">
        <f t="shared" si="3"/>
        <v>13.427803978100441</v>
      </c>
      <c r="S16" s="55">
        <v>17.094120620789553</v>
      </c>
      <c r="T16" s="56">
        <f>S16*C.calcs!$A$10*(1/C.calcs!$B$6)</f>
        <v>9.694929332799763</v>
      </c>
      <c r="U16" s="57">
        <f t="shared" si="1"/>
        <v>9.8049937550367585E-3</v>
      </c>
      <c r="V16" s="56">
        <f>S16*(C.calcs!$B$7/C.calcs!$B$6)*(C.calcs!$G$4/C.calcs!$G$7)</f>
        <v>0.5721585827619643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CJ16"/>
      <c r="CK16"/>
      <c r="CL16"/>
      <c r="CM16"/>
      <c r="CN16"/>
      <c r="CO16"/>
    </row>
    <row r="17" spans="1:93">
      <c r="A17" s="36" t="s">
        <v>35</v>
      </c>
      <c r="B17" s="2">
        <v>109.98099999999999</v>
      </c>
      <c r="C17" s="26">
        <v>49.95</v>
      </c>
      <c r="D17" s="10" t="s">
        <v>19</v>
      </c>
      <c r="E17" s="8">
        <v>309</v>
      </c>
      <c r="F17" s="8">
        <v>311</v>
      </c>
      <c r="G17" s="8">
        <v>987</v>
      </c>
      <c r="H17" s="9">
        <v>2190.1197604790418</v>
      </c>
      <c r="I17" s="30">
        <f t="shared" si="2"/>
        <v>998.15192623602354</v>
      </c>
      <c r="J17" s="8">
        <v>325</v>
      </c>
      <c r="K17" s="8"/>
      <c r="L17" s="8">
        <v>1100</v>
      </c>
      <c r="M17" s="33">
        <f t="shared" si="0"/>
        <v>2240.6153846153848</v>
      </c>
      <c r="N17" s="40" t="s">
        <v>43</v>
      </c>
      <c r="O17" s="9"/>
      <c r="P17" s="9"/>
      <c r="Q17" s="46">
        <f>C.calcs!$G$6*jar_information!I17/1000</f>
        <v>27.110299231101873</v>
      </c>
      <c r="R17" s="46">
        <f t="shared" si="3"/>
        <v>13.555149615550937</v>
      </c>
      <c r="S17" s="61" t="s">
        <v>83</v>
      </c>
      <c r="T17" s="56"/>
      <c r="U17" s="57"/>
      <c r="V17" s="5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CJ17"/>
      <c r="CK17"/>
      <c r="CL17"/>
      <c r="CM17"/>
      <c r="CN17"/>
      <c r="CO17"/>
    </row>
    <row r="18" spans="1:93">
      <c r="A18" s="36" t="s">
        <v>36</v>
      </c>
      <c r="B18" s="23">
        <v>109.598</v>
      </c>
      <c r="C18" s="26">
        <v>50.003</v>
      </c>
      <c r="D18" s="10" t="s">
        <v>19</v>
      </c>
      <c r="E18" s="8">
        <v>308</v>
      </c>
      <c r="F18" s="8">
        <v>310</v>
      </c>
      <c r="G18" s="8">
        <v>987</v>
      </c>
      <c r="H18" s="9">
        <v>2190.1197604790418</v>
      </c>
      <c r="I18" s="30">
        <f t="shared" si="2"/>
        <v>993.45638619667875</v>
      </c>
      <c r="J18" s="8">
        <v>325</v>
      </c>
      <c r="K18" s="8"/>
      <c r="L18" s="8">
        <v>1100</v>
      </c>
      <c r="M18" s="33">
        <f t="shared" si="0"/>
        <v>2240.6153846153848</v>
      </c>
      <c r="N18" s="40" t="s">
        <v>44</v>
      </c>
      <c r="O18" s="9"/>
      <c r="P18" s="9"/>
      <c r="Q18" s="46">
        <f>C.calcs!$G$6*jar_information!I18/1000</f>
        <v>26.982766044848059</v>
      </c>
      <c r="R18" s="46">
        <f t="shared" si="3"/>
        <v>13.49138302242403</v>
      </c>
      <c r="S18" s="61" t="s">
        <v>83</v>
      </c>
      <c r="T18" s="56"/>
      <c r="U18" s="57"/>
      <c r="V18" s="5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CJ18"/>
      <c r="CK18"/>
      <c r="CL18"/>
      <c r="CM18"/>
      <c r="CN18"/>
      <c r="CO18"/>
    </row>
    <row r="19" spans="1:93" s="5" customFormat="1">
      <c r="A19" s="36" t="s">
        <v>37</v>
      </c>
      <c r="B19" s="23">
        <v>106.52200000000001</v>
      </c>
      <c r="C19" s="26">
        <v>50.029000000000003</v>
      </c>
      <c r="D19" s="10" t="s">
        <v>19</v>
      </c>
      <c r="E19" s="8">
        <v>309</v>
      </c>
      <c r="F19" s="8">
        <v>311</v>
      </c>
      <c r="G19" s="8">
        <v>987</v>
      </c>
      <c r="H19" s="9">
        <v>2190.1197604790418</v>
      </c>
      <c r="I19" s="30">
        <f t="shared" si="2"/>
        <v>998.15192623602354</v>
      </c>
      <c r="J19" s="8">
        <v>325</v>
      </c>
      <c r="K19" s="8"/>
      <c r="L19" s="8">
        <v>1100</v>
      </c>
      <c r="M19" s="33">
        <f t="shared" si="0"/>
        <v>2240.6153846153848</v>
      </c>
      <c r="N19" s="40" t="s">
        <v>44</v>
      </c>
      <c r="O19" s="9"/>
      <c r="P19" s="9"/>
      <c r="Q19" s="46">
        <f>C.calcs!$G$6*jar_information!I19/1000</f>
        <v>27.110299231101873</v>
      </c>
      <c r="R19" s="46">
        <f t="shared" si="3"/>
        <v>13.555149615550937</v>
      </c>
      <c r="S19" s="61" t="s">
        <v>83</v>
      </c>
      <c r="T19" s="56"/>
      <c r="U19" s="57"/>
      <c r="V19" s="5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1:93" s="5" customFormat="1">
      <c r="A20" s="36" t="s">
        <v>38</v>
      </c>
      <c r="B20" s="23">
        <v>101.49</v>
      </c>
      <c r="C20" s="26">
        <v>38.896999999999998</v>
      </c>
      <c r="D20" s="10" t="s">
        <v>19</v>
      </c>
      <c r="E20" s="8">
        <v>311</v>
      </c>
      <c r="F20" s="8">
        <v>314</v>
      </c>
      <c r="G20" s="8">
        <v>987</v>
      </c>
      <c r="H20" s="9">
        <v>2190.1197604790418</v>
      </c>
      <c r="I20" s="30">
        <f t="shared" si="2"/>
        <v>1007.5846827055947</v>
      </c>
      <c r="J20" s="8">
        <v>325</v>
      </c>
      <c r="K20" s="8"/>
      <c r="L20" s="8">
        <v>1100</v>
      </c>
      <c r="M20" s="33">
        <f t="shared" si="0"/>
        <v>2240.6153846153848</v>
      </c>
      <c r="N20" s="40" t="s">
        <v>44</v>
      </c>
      <c r="O20" s="9"/>
      <c r="P20" s="9"/>
      <c r="Q20" s="46">
        <f>C.calcs!$G$6*jar_information!I20/1000</f>
        <v>27.366497554966767</v>
      </c>
      <c r="R20" s="46">
        <f t="shared" si="3"/>
        <v>13.683248777483383</v>
      </c>
      <c r="S20" s="61" t="s">
        <v>83</v>
      </c>
      <c r="T20" s="56"/>
      <c r="U20" s="57"/>
      <c r="V20" s="5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1:93">
      <c r="A21" s="36" t="s">
        <v>39</v>
      </c>
      <c r="B21" s="23">
        <v>110.482</v>
      </c>
      <c r="C21" s="26">
        <v>12.073</v>
      </c>
      <c r="D21" s="10" t="s">
        <v>19</v>
      </c>
      <c r="E21" s="8">
        <v>314</v>
      </c>
      <c r="F21" s="8">
        <v>317</v>
      </c>
      <c r="G21" s="8">
        <v>987</v>
      </c>
      <c r="H21" s="9">
        <v>2190.1197604790418</v>
      </c>
      <c r="I21" s="30">
        <f t="shared" si="2"/>
        <v>1021.8389372814548</v>
      </c>
      <c r="J21" s="8">
        <v>325</v>
      </c>
      <c r="K21" s="8"/>
      <c r="L21" s="8">
        <v>1100</v>
      </c>
      <c r="M21" s="33">
        <f t="shared" si="0"/>
        <v>2240.6153846153848</v>
      </c>
      <c r="N21" s="40" t="s">
        <v>44</v>
      </c>
      <c r="O21" s="9"/>
      <c r="P21" s="9"/>
      <c r="Q21" s="46">
        <f>C.calcs!$G$6*jar_information!I21/1000</f>
        <v>27.753650148385191</v>
      </c>
      <c r="R21" s="46">
        <f t="shared" si="3"/>
        <v>13.876825074192595</v>
      </c>
      <c r="S21" s="61" t="s">
        <v>83</v>
      </c>
      <c r="T21" s="58"/>
      <c r="U21" s="58"/>
      <c r="V21" s="5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93">
      <c r="A22" s="36" t="s">
        <v>40</v>
      </c>
      <c r="B22" s="23">
        <v>103.018</v>
      </c>
      <c r="C22" s="26">
        <v>45.085999999999999</v>
      </c>
      <c r="D22" s="10" t="s">
        <v>19</v>
      </c>
      <c r="E22" s="8">
        <v>309</v>
      </c>
      <c r="F22" s="8">
        <v>313</v>
      </c>
      <c r="G22" s="8">
        <v>987</v>
      </c>
      <c r="H22" s="9">
        <v>2190.1197604790418</v>
      </c>
      <c r="I22" s="30">
        <f t="shared" si="2"/>
        <v>998.15192623602354</v>
      </c>
      <c r="J22" s="8">
        <v>325</v>
      </c>
      <c r="K22" s="8"/>
      <c r="L22" s="8">
        <v>1100</v>
      </c>
      <c r="M22" s="33">
        <f t="shared" si="0"/>
        <v>2240.6153846153848</v>
      </c>
      <c r="N22" s="40" t="s">
        <v>44</v>
      </c>
      <c r="O22" s="9"/>
      <c r="P22" s="9"/>
      <c r="Q22" s="46">
        <f>C.calcs!$G$6*jar_information!I22/1000</f>
        <v>27.110299231101873</v>
      </c>
      <c r="R22" s="46">
        <f t="shared" si="3"/>
        <v>13.555149615550937</v>
      </c>
      <c r="S22" s="61" t="s">
        <v>83</v>
      </c>
      <c r="T22" s="58"/>
      <c r="U22" s="58"/>
      <c r="V22" s="5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93">
      <c r="A23" s="36" t="s">
        <v>89</v>
      </c>
      <c r="C23" s="37">
        <v>50.125</v>
      </c>
      <c r="D23" s="62" t="s">
        <v>90</v>
      </c>
      <c r="E23" s="63">
        <v>310</v>
      </c>
      <c r="F23" s="63">
        <v>312</v>
      </c>
      <c r="G23" s="8">
        <v>996</v>
      </c>
      <c r="H23" s="9">
        <f>M23</f>
        <v>2260.7361963190183</v>
      </c>
      <c r="I23" s="30">
        <f t="shared" si="2"/>
        <v>1021.6154823015972</v>
      </c>
      <c r="J23" s="8">
        <v>326</v>
      </c>
      <c r="L23" s="8">
        <v>1100</v>
      </c>
      <c r="M23" s="33">
        <f t="shared" si="0"/>
        <v>2260.7361963190183</v>
      </c>
      <c r="N23" s="64" t="s">
        <v>91</v>
      </c>
      <c r="O23"/>
      <c r="P23"/>
      <c r="Q23"/>
      <c r="R23" s="6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</row>
    <row r="24" spans="1:93">
      <c r="A24" s="36" t="s">
        <v>92</v>
      </c>
      <c r="C24" s="37">
        <v>50.094999999999999</v>
      </c>
      <c r="D24" s="66" t="s">
        <v>90</v>
      </c>
      <c r="E24" s="63">
        <v>314</v>
      </c>
      <c r="F24" s="63">
        <v>317</v>
      </c>
      <c r="G24" s="8">
        <v>996</v>
      </c>
      <c r="H24" s="9">
        <f>M24</f>
        <v>2260.7361963190183</v>
      </c>
      <c r="I24" s="30">
        <f t="shared" si="2"/>
        <v>1040.8668117949733</v>
      </c>
      <c r="J24" s="8">
        <v>326</v>
      </c>
      <c r="L24" s="8">
        <v>1100</v>
      </c>
      <c r="M24" s="33">
        <f t="shared" si="0"/>
        <v>2260.7361963190183</v>
      </c>
      <c r="N24" s="64" t="s">
        <v>91</v>
      </c>
      <c r="O24"/>
      <c r="P24"/>
      <c r="Q24"/>
      <c r="R24" s="65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</row>
    <row r="25" spans="1:93">
      <c r="A25" s="36" t="s">
        <v>93</v>
      </c>
      <c r="C25" s="37">
        <v>42.726999999999997</v>
      </c>
      <c r="D25" s="66" t="s">
        <v>90</v>
      </c>
      <c r="E25" s="63">
        <v>312</v>
      </c>
      <c r="F25" s="63">
        <v>315</v>
      </c>
      <c r="G25" s="8">
        <v>996</v>
      </c>
      <c r="H25" s="9">
        <f>M25</f>
        <v>2260.7361963190183</v>
      </c>
      <c r="I25" s="30">
        <f t="shared" si="2"/>
        <v>1031.2130018297275</v>
      </c>
      <c r="J25" s="8">
        <v>326</v>
      </c>
      <c r="L25" s="8">
        <v>1100</v>
      </c>
      <c r="M25" s="33">
        <f t="shared" si="0"/>
        <v>2260.7361963190183</v>
      </c>
      <c r="N25" s="64" t="s">
        <v>91</v>
      </c>
      <c r="O25"/>
      <c r="P25"/>
      <c r="Q25"/>
      <c r="R25" s="6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>
      <c r="A26" s="36" t="s">
        <v>94</v>
      </c>
      <c r="C26" s="37">
        <v>37.661000000000001</v>
      </c>
      <c r="D26" s="66" t="s">
        <v>90</v>
      </c>
      <c r="E26" s="2">
        <v>309</v>
      </c>
      <c r="F26" s="63">
        <v>311</v>
      </c>
      <c r="G26" s="8">
        <v>996</v>
      </c>
      <c r="H26" s="9">
        <f>M26</f>
        <v>2260.7361963190183</v>
      </c>
      <c r="I26" s="30">
        <f t="shared" si="2"/>
        <v>1016.8376778203445</v>
      </c>
      <c r="J26" s="8">
        <v>326</v>
      </c>
      <c r="L26" s="8">
        <v>1100</v>
      </c>
      <c r="M26" s="33">
        <f t="shared" si="0"/>
        <v>2260.7361963190183</v>
      </c>
      <c r="N26" s="64" t="s">
        <v>95</v>
      </c>
      <c r="O26"/>
      <c r="P26"/>
      <c r="Q26"/>
      <c r="R26" s="65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>
      <c r="A27" s="36" t="s">
        <v>96</v>
      </c>
      <c r="C27" s="37">
        <v>50.000999999999998</v>
      </c>
      <c r="D27" s="66" t="s">
        <v>90</v>
      </c>
      <c r="E27" s="63">
        <v>307</v>
      </c>
      <c r="F27" s="63">
        <v>309</v>
      </c>
      <c r="G27" s="8">
        <v>996</v>
      </c>
      <c r="H27" s="9">
        <f>M27</f>
        <v>2260.7361963190183</v>
      </c>
      <c r="I27" s="30">
        <f t="shared" si="2"/>
        <v>1007.3236752829298</v>
      </c>
      <c r="J27" s="8">
        <v>326</v>
      </c>
      <c r="L27" s="8">
        <v>1100</v>
      </c>
      <c r="M27" s="33">
        <f t="shared" si="0"/>
        <v>2260.7361963190183</v>
      </c>
      <c r="N27" s="64" t="s">
        <v>95</v>
      </c>
      <c r="O27"/>
      <c r="P27"/>
      <c r="Q27"/>
      <c r="R27" s="6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</row>
    <row r="28" spans="1:93">
      <c r="A28" s="36" t="s">
        <v>97</v>
      </c>
      <c r="C28" s="37">
        <v>40.095999999999997</v>
      </c>
      <c r="D28" s="66" t="s">
        <v>90</v>
      </c>
      <c r="E28" s="63">
        <v>313</v>
      </c>
      <c r="F28" s="63">
        <v>316</v>
      </c>
      <c r="G28" s="8">
        <v>996</v>
      </c>
      <c r="H28" s="9">
        <f>M28</f>
        <v>2260.7361963190183</v>
      </c>
      <c r="I28" s="30">
        <f t="shared" si="2"/>
        <v>1036.0328396015414</v>
      </c>
      <c r="J28" s="8">
        <v>326</v>
      </c>
      <c r="L28" s="8">
        <v>1100</v>
      </c>
      <c r="M28" s="33">
        <f t="shared" si="0"/>
        <v>2260.7361963190183</v>
      </c>
      <c r="N28" s="64" t="s">
        <v>95</v>
      </c>
      <c r="O28"/>
      <c r="P28"/>
      <c r="Q28"/>
      <c r="R28" s="6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</row>
    <row r="29" spans="1:93">
      <c r="A29" s="36" t="s">
        <v>98</v>
      </c>
      <c r="C29" s="37">
        <v>40.052</v>
      </c>
      <c r="D29" s="66" t="s">
        <v>90</v>
      </c>
      <c r="E29" s="63">
        <v>313</v>
      </c>
      <c r="F29" s="63">
        <v>316</v>
      </c>
      <c r="G29" s="8">
        <v>996</v>
      </c>
      <c r="H29" s="9">
        <f>M29</f>
        <v>2260.7361963190183</v>
      </c>
      <c r="I29" s="30">
        <f t="shared" si="2"/>
        <v>1036.0328396015414</v>
      </c>
      <c r="J29" s="8">
        <v>326</v>
      </c>
      <c r="L29" s="8">
        <v>1100</v>
      </c>
      <c r="M29" s="33">
        <f t="shared" si="0"/>
        <v>2260.7361963190183</v>
      </c>
      <c r="N29" s="64" t="s">
        <v>95</v>
      </c>
      <c r="O29"/>
      <c r="P29"/>
      <c r="Q29"/>
      <c r="R29" s="6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</row>
    <row r="30" spans="1:93">
      <c r="A30" s="36" t="s">
        <v>99</v>
      </c>
      <c r="C30" s="37">
        <v>40.043999999999997</v>
      </c>
      <c r="D30" s="66" t="s">
        <v>90</v>
      </c>
      <c r="E30" s="63">
        <v>313</v>
      </c>
      <c r="F30" s="63">
        <v>315</v>
      </c>
      <c r="G30" s="8">
        <v>996</v>
      </c>
      <c r="H30" s="9">
        <f>M30</f>
        <v>2260.7361963190183</v>
      </c>
      <c r="I30" s="30">
        <f t="shared" si="2"/>
        <v>1036.0328396015414</v>
      </c>
      <c r="J30" s="8">
        <v>326</v>
      </c>
      <c r="L30" s="8">
        <v>1100</v>
      </c>
      <c r="M30" s="33">
        <f t="shared" si="0"/>
        <v>2260.7361963190183</v>
      </c>
      <c r="N30" s="64" t="s">
        <v>95</v>
      </c>
      <c r="O30"/>
      <c r="P30"/>
      <c r="Q30"/>
      <c r="R30" s="65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</row>
    <row r="31" spans="1:93">
      <c r="A31" s="36" t="s">
        <v>100</v>
      </c>
      <c r="C31" s="37">
        <v>40.085000000000001</v>
      </c>
      <c r="D31" s="66" t="s">
        <v>90</v>
      </c>
      <c r="E31" s="63">
        <v>313</v>
      </c>
      <c r="F31" s="63">
        <v>315</v>
      </c>
      <c r="G31" s="8">
        <v>996</v>
      </c>
      <c r="H31" s="9">
        <f>M31</f>
        <v>2260.7361963190183</v>
      </c>
      <c r="I31" s="30">
        <f t="shared" si="2"/>
        <v>1036.0328396015414</v>
      </c>
      <c r="J31" s="8">
        <v>326</v>
      </c>
      <c r="L31" s="8">
        <v>1100</v>
      </c>
      <c r="M31" s="33">
        <f t="shared" si="0"/>
        <v>2260.7361963190183</v>
      </c>
      <c r="N31" s="64" t="s">
        <v>101</v>
      </c>
      <c r="O31"/>
      <c r="P31"/>
      <c r="Q31"/>
      <c r="R31" s="6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</row>
    <row r="32" spans="1:93">
      <c r="A32" s="36" t="s">
        <v>102</v>
      </c>
      <c r="C32" s="37">
        <v>50.087999999999994</v>
      </c>
      <c r="D32" s="66" t="s">
        <v>90</v>
      </c>
      <c r="E32" s="63">
        <v>308</v>
      </c>
      <c r="F32" s="63">
        <v>311</v>
      </c>
      <c r="G32" s="8">
        <v>996</v>
      </c>
      <c r="H32" s="9">
        <f>M32</f>
        <v>2260.7361963190183</v>
      </c>
      <c r="I32" s="30">
        <f t="shared" si="2"/>
        <v>1012.0737623056069</v>
      </c>
      <c r="J32" s="8">
        <v>326</v>
      </c>
      <c r="L32" s="8">
        <v>1100</v>
      </c>
      <c r="M32" s="33">
        <f t="shared" si="0"/>
        <v>2260.7361963190183</v>
      </c>
      <c r="N32" s="64" t="s">
        <v>101</v>
      </c>
      <c r="O32"/>
      <c r="P32"/>
      <c r="Q32"/>
      <c r="R32" s="65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</row>
    <row r="33" spans="1:93">
      <c r="A33" s="36" t="s">
        <v>103</v>
      </c>
      <c r="C33" s="37">
        <v>50.079000000000001</v>
      </c>
      <c r="D33" s="66" t="s">
        <v>90</v>
      </c>
      <c r="E33" s="63">
        <v>311</v>
      </c>
      <c r="F33" s="63">
        <v>313</v>
      </c>
      <c r="G33" s="8">
        <v>996</v>
      </c>
      <c r="H33" s="9">
        <f>M33</f>
        <v>2260.7361963190183</v>
      </c>
      <c r="I33" s="30">
        <f t="shared" si="2"/>
        <v>1026.4072365769557</v>
      </c>
      <c r="J33" s="8">
        <v>326</v>
      </c>
      <c r="L33" s="8">
        <v>1100</v>
      </c>
      <c r="M33" s="33">
        <f t="shared" si="0"/>
        <v>2260.7361963190183</v>
      </c>
      <c r="N33" s="64" t="s">
        <v>101</v>
      </c>
      <c r="O33"/>
      <c r="P33"/>
      <c r="Q33"/>
      <c r="R33" s="6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>
      <c r="A34" s="36" t="s">
        <v>104</v>
      </c>
      <c r="C34" s="37">
        <v>50.037999999999997</v>
      </c>
      <c r="D34" s="66" t="s">
        <v>90</v>
      </c>
      <c r="E34" s="63">
        <v>310</v>
      </c>
      <c r="F34" s="63">
        <v>313</v>
      </c>
      <c r="G34" s="8">
        <v>996</v>
      </c>
      <c r="H34" s="9">
        <f>M34</f>
        <v>2260.7361963190183</v>
      </c>
      <c r="I34" s="30">
        <f t="shared" si="2"/>
        <v>1021.6154823015972</v>
      </c>
      <c r="J34" s="8">
        <v>326</v>
      </c>
      <c r="L34" s="8">
        <v>1100</v>
      </c>
      <c r="M34" s="33">
        <f t="shared" si="0"/>
        <v>2260.7361963190183</v>
      </c>
      <c r="N34" s="64" t="s">
        <v>101</v>
      </c>
      <c r="O34"/>
      <c r="P34"/>
      <c r="Q34"/>
      <c r="R34" s="65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</row>
    <row r="35" spans="1:93">
      <c r="A35" s="36" t="s">
        <v>105</v>
      </c>
      <c r="C35" s="37">
        <v>50.058</v>
      </c>
      <c r="D35" s="66" t="s">
        <v>90</v>
      </c>
      <c r="E35" s="63">
        <v>309</v>
      </c>
      <c r="F35" s="63">
        <v>311</v>
      </c>
      <c r="G35" s="8">
        <v>996</v>
      </c>
      <c r="H35" s="9">
        <f>M35</f>
        <v>2260.7361963190183</v>
      </c>
      <c r="I35" s="30">
        <f t="shared" si="2"/>
        <v>1016.8376778203445</v>
      </c>
      <c r="J35" s="8">
        <v>326</v>
      </c>
      <c r="L35" s="8">
        <v>1100</v>
      </c>
      <c r="M35" s="33">
        <f t="shared" si="0"/>
        <v>2260.7361963190183</v>
      </c>
      <c r="N35" s="64" t="s">
        <v>101</v>
      </c>
      <c r="O35"/>
      <c r="P35"/>
      <c r="Q35"/>
      <c r="R35" s="6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</row>
    <row r="36" spans="1:93">
      <c r="A36" s="36" t="s">
        <v>106</v>
      </c>
      <c r="C36" s="37">
        <v>50.087000000000003</v>
      </c>
      <c r="D36" s="66" t="s">
        <v>90</v>
      </c>
      <c r="E36" s="63">
        <v>305</v>
      </c>
      <c r="F36" s="63">
        <v>308</v>
      </c>
      <c r="G36" s="8">
        <v>996</v>
      </c>
      <c r="H36" s="9">
        <f>M36</f>
        <v>2260.7361963190183</v>
      </c>
      <c r="I36" s="30">
        <f t="shared" si="2"/>
        <v>997.86474656628161</v>
      </c>
      <c r="J36" s="8">
        <v>326</v>
      </c>
      <c r="L36" s="8">
        <v>1100</v>
      </c>
      <c r="M36" s="33">
        <f t="shared" si="0"/>
        <v>2260.7361963190183</v>
      </c>
      <c r="N36" s="64" t="s">
        <v>101</v>
      </c>
      <c r="O36"/>
      <c r="P36"/>
      <c r="Q36"/>
      <c r="R36" s="65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</row>
    <row r="37" spans="1:93">
      <c r="A37" s="36" t="s">
        <v>107</v>
      </c>
      <c r="C37" s="37">
        <v>50</v>
      </c>
      <c r="D37" s="66" t="s">
        <v>90</v>
      </c>
      <c r="E37" s="63">
        <v>311</v>
      </c>
      <c r="F37" s="63">
        <v>313</v>
      </c>
      <c r="G37" s="8">
        <v>996</v>
      </c>
      <c r="H37" s="9">
        <f>M37</f>
        <v>2260.7361963190183</v>
      </c>
      <c r="I37" s="30">
        <f t="shared" si="2"/>
        <v>1026.4072365769557</v>
      </c>
      <c r="J37" s="8">
        <v>326</v>
      </c>
      <c r="L37" s="8">
        <v>1100</v>
      </c>
      <c r="M37" s="33">
        <f t="shared" si="0"/>
        <v>2260.7361963190183</v>
      </c>
      <c r="N37" s="64" t="s">
        <v>108</v>
      </c>
      <c r="O37"/>
      <c r="P37"/>
      <c r="Q37"/>
      <c r="R37" s="6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>
      <c r="A38" s="36" t="s">
        <v>109</v>
      </c>
      <c r="C38" s="37">
        <v>50.012</v>
      </c>
      <c r="D38" s="66" t="s">
        <v>90</v>
      </c>
      <c r="E38" s="63">
        <v>310</v>
      </c>
      <c r="F38" s="63">
        <v>313</v>
      </c>
      <c r="G38" s="8">
        <v>996</v>
      </c>
      <c r="H38" s="9">
        <f>M38</f>
        <v>2260.7361963190183</v>
      </c>
      <c r="I38" s="30">
        <f t="shared" si="2"/>
        <v>1021.6154823015972</v>
      </c>
      <c r="J38" s="8">
        <v>326</v>
      </c>
      <c r="L38" s="8">
        <v>1100</v>
      </c>
      <c r="M38" s="33">
        <f t="shared" si="0"/>
        <v>2260.7361963190183</v>
      </c>
      <c r="N38" s="64" t="s">
        <v>108</v>
      </c>
      <c r="O38"/>
      <c r="P38"/>
      <c r="Q38"/>
      <c r="R38" s="65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</row>
    <row r="39" spans="1:93">
      <c r="A39" s="36" t="s">
        <v>110</v>
      </c>
      <c r="C39" s="37">
        <v>50.167000000000002</v>
      </c>
      <c r="D39" s="66" t="s">
        <v>90</v>
      </c>
      <c r="E39" s="63">
        <v>306</v>
      </c>
      <c r="F39" s="63">
        <v>308</v>
      </c>
      <c r="G39" s="8">
        <v>996</v>
      </c>
      <c r="H39" s="9">
        <f>M39</f>
        <v>2260.7361963190183</v>
      </c>
      <c r="I39" s="30">
        <f t="shared" si="2"/>
        <v>1002.5873566284342</v>
      </c>
      <c r="J39" s="8">
        <v>326</v>
      </c>
      <c r="L39" s="8">
        <v>1100</v>
      </c>
      <c r="M39" s="33">
        <f t="shared" si="0"/>
        <v>2260.7361963190183</v>
      </c>
      <c r="N39" s="64" t="s">
        <v>108</v>
      </c>
      <c r="O39"/>
      <c r="P39"/>
      <c r="Q39"/>
      <c r="R39" s="6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>
      <c r="A40" s="36" t="s">
        <v>111</v>
      </c>
      <c r="C40" s="37">
        <v>50.005000000000003</v>
      </c>
      <c r="D40" s="66" t="s">
        <v>90</v>
      </c>
      <c r="E40" s="63">
        <v>304</v>
      </c>
      <c r="F40" s="63">
        <v>307</v>
      </c>
      <c r="G40" s="8">
        <v>996</v>
      </c>
      <c r="H40" s="9">
        <f>M40</f>
        <v>2260.7361963190183</v>
      </c>
      <c r="I40" s="30">
        <f t="shared" si="2"/>
        <v>993.15578566615829</v>
      </c>
      <c r="J40" s="8">
        <v>326</v>
      </c>
      <c r="L40" s="8">
        <v>1100</v>
      </c>
      <c r="M40" s="33">
        <f t="shared" si="0"/>
        <v>2260.7361963190183</v>
      </c>
      <c r="N40" s="64" t="s">
        <v>108</v>
      </c>
      <c r="O40"/>
      <c r="P40"/>
      <c r="Q40"/>
      <c r="R40" s="65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</row>
    <row r="41" spans="1:93" ht="15" thickBot="1">
      <c r="A41" s="36" t="s">
        <v>112</v>
      </c>
      <c r="B41" s="67"/>
      <c r="C41" s="37">
        <v>50.128999999999998</v>
      </c>
      <c r="D41" s="68" t="s">
        <v>90</v>
      </c>
      <c r="E41" s="67">
        <v>311</v>
      </c>
      <c r="F41" s="67">
        <v>314</v>
      </c>
      <c r="G41" s="69">
        <v>996</v>
      </c>
      <c r="H41" s="70">
        <f>M41</f>
        <v>2260.7361963190183</v>
      </c>
      <c r="I41" s="30">
        <f t="shared" si="2"/>
        <v>1026.4072365769557</v>
      </c>
      <c r="J41" s="69">
        <v>326</v>
      </c>
      <c r="L41" s="69">
        <v>1100</v>
      </c>
      <c r="M41" s="33">
        <f t="shared" si="0"/>
        <v>2260.7361963190183</v>
      </c>
      <c r="N41" s="64" t="s">
        <v>108</v>
      </c>
      <c r="O41"/>
      <c r="P41"/>
      <c r="Q41"/>
      <c r="R41" s="6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</row>
    <row r="42" spans="1:93">
      <c r="A42" s="36"/>
      <c r="B42" s="23"/>
      <c r="C42" s="26"/>
      <c r="D42" s="10"/>
      <c r="E42" s="8"/>
      <c r="F42" s="8"/>
      <c r="G42" s="8"/>
      <c r="H42" s="9"/>
      <c r="I42" s="30"/>
      <c r="J42" s="8"/>
      <c r="K42" s="8"/>
      <c r="L42" s="8"/>
      <c r="M42" s="33"/>
      <c r="N42" s="40"/>
      <c r="O42" s="9"/>
      <c r="P42" s="9"/>
      <c r="S42" s="61"/>
      <c r="T42" s="58"/>
      <c r="U42" s="58"/>
      <c r="V42" s="56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93">
      <c r="I43" s="30"/>
      <c r="J43" s="8"/>
      <c r="K43" s="8"/>
      <c r="L43" s="8"/>
      <c r="M43" s="33"/>
      <c r="O43" s="9"/>
      <c r="P43" s="9"/>
      <c r="Q43" s="9"/>
      <c r="R43" s="9"/>
      <c r="S43" s="56"/>
      <c r="T43" s="58"/>
      <c r="U43" s="58"/>
      <c r="V43" s="56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93">
      <c r="A44" s="34" t="s">
        <v>16</v>
      </c>
      <c r="D44" s="10"/>
      <c r="E44" s="8"/>
      <c r="F44" s="8"/>
      <c r="G44" s="8"/>
      <c r="H44" s="38"/>
      <c r="I44" s="30" t="e">
        <f t="shared" si="2"/>
        <v>#DIV/0!</v>
      </c>
      <c r="J44" s="8"/>
      <c r="K44" s="8"/>
      <c r="L44" s="8">
        <v>1100</v>
      </c>
      <c r="M44" s="33" t="e">
        <f t="shared" ref="M44:M46" si="4">((L44*G44)/J44)-L44</f>
        <v>#DIV/0!</v>
      </c>
      <c r="N44" s="39"/>
      <c r="O44" s="9"/>
      <c r="P44" s="9"/>
      <c r="Q44" s="9"/>
      <c r="R44" s="9"/>
      <c r="S44" s="56"/>
      <c r="T44" s="58"/>
      <c r="U44" s="58"/>
      <c r="V44" s="56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93">
      <c r="A45" s="34" t="s">
        <v>17</v>
      </c>
      <c r="D45" s="10"/>
      <c r="E45" s="8"/>
      <c r="F45" s="8"/>
      <c r="G45" s="8"/>
      <c r="H45" s="38"/>
      <c r="I45" s="30" t="e">
        <f t="shared" si="2"/>
        <v>#DIV/0!</v>
      </c>
      <c r="J45" s="8"/>
      <c r="K45" s="8"/>
      <c r="L45" s="8">
        <v>1100</v>
      </c>
      <c r="M45" s="33" t="e">
        <f t="shared" si="4"/>
        <v>#DIV/0!</v>
      </c>
      <c r="N45" s="39"/>
      <c r="O45" s="9"/>
      <c r="P45" s="9"/>
      <c r="Q45" s="9"/>
      <c r="R45" s="9"/>
      <c r="S45" s="56"/>
      <c r="T45" s="58"/>
      <c r="U45" s="58"/>
      <c r="V45" s="56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93">
      <c r="A46" s="34" t="s">
        <v>18</v>
      </c>
      <c r="D46" s="10"/>
      <c r="E46" s="8"/>
      <c r="F46" s="8"/>
      <c r="G46" s="8"/>
      <c r="H46" s="38"/>
      <c r="I46" s="30" t="e">
        <f t="shared" si="2"/>
        <v>#DIV/0!</v>
      </c>
      <c r="J46" s="8"/>
      <c r="K46" s="8"/>
      <c r="L46" s="8">
        <v>1100</v>
      </c>
      <c r="M46" s="33" t="e">
        <f t="shared" si="4"/>
        <v>#DIV/0!</v>
      </c>
      <c r="N46" s="39"/>
    </row>
  </sheetData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3" sqref="I3"/>
    </sheetView>
  </sheetViews>
  <sheetFormatPr baseColWidth="10" defaultRowHeight="14" x14ac:dyDescent="0"/>
  <cols>
    <col min="3" max="3" width="12.5" bestFit="1" customWidth="1"/>
    <col min="6" max="7" width="13.6640625" bestFit="1" customWidth="1"/>
  </cols>
  <sheetData>
    <row r="1" spans="1:8">
      <c r="A1" t="s">
        <v>57</v>
      </c>
      <c r="B1" t="s">
        <v>56</v>
      </c>
      <c r="C1" t="s">
        <v>58</v>
      </c>
      <c r="D1" t="s">
        <v>55</v>
      </c>
      <c r="G1" t="s">
        <v>63</v>
      </c>
    </row>
    <row r="2" spans="1:8">
      <c r="A2" t="s">
        <v>57</v>
      </c>
      <c r="B2" t="s">
        <v>56</v>
      </c>
      <c r="C2" t="s">
        <v>86</v>
      </c>
      <c r="D2" t="s">
        <v>87</v>
      </c>
      <c r="F2" t="s">
        <v>57</v>
      </c>
      <c r="G2" t="s">
        <v>68</v>
      </c>
      <c r="H2" t="s">
        <v>58</v>
      </c>
    </row>
    <row r="3" spans="1:8">
      <c r="A3" t="s">
        <v>48</v>
      </c>
      <c r="B3">
        <f>8.314*10^-2</f>
        <v>8.3140000000000006E-2</v>
      </c>
      <c r="C3" t="s">
        <v>49</v>
      </c>
      <c r="F3" t="s">
        <v>69</v>
      </c>
      <c r="G3" s="42">
        <v>1</v>
      </c>
      <c r="H3" t="s">
        <v>65</v>
      </c>
    </row>
    <row r="4" spans="1:8">
      <c r="A4" t="s">
        <v>50</v>
      </c>
      <c r="B4">
        <v>297.14999999999998</v>
      </c>
      <c r="C4" t="s">
        <v>51</v>
      </c>
      <c r="D4" t="s">
        <v>52</v>
      </c>
      <c r="F4" t="s">
        <v>67</v>
      </c>
      <c r="G4" s="42">
        <v>135</v>
      </c>
      <c r="H4" t="s">
        <v>62</v>
      </c>
    </row>
    <row r="5" spans="1:8">
      <c r="A5" t="s">
        <v>53</v>
      </c>
      <c r="B5">
        <v>0.99</v>
      </c>
      <c r="C5" t="s">
        <v>54</v>
      </c>
      <c r="D5" t="s">
        <v>88</v>
      </c>
      <c r="F5" t="s">
        <v>70</v>
      </c>
      <c r="G5" s="42">
        <f>G3/(G4/1000)</f>
        <v>7.4074074074074066</v>
      </c>
      <c r="H5" t="s">
        <v>66</v>
      </c>
    </row>
    <row r="6" spans="1:8">
      <c r="A6" t="s">
        <v>73</v>
      </c>
      <c r="B6">
        <v>44</v>
      </c>
      <c r="C6" t="s">
        <v>74</v>
      </c>
      <c r="F6" t="s">
        <v>71</v>
      </c>
      <c r="G6" s="42">
        <f>G5*(B6/B7)</f>
        <v>27.16049382716049</v>
      </c>
      <c r="H6" t="s">
        <v>66</v>
      </c>
    </row>
    <row r="7" spans="1:8">
      <c r="A7" t="s">
        <v>64</v>
      </c>
      <c r="B7">
        <v>12</v>
      </c>
      <c r="C7" t="s">
        <v>74</v>
      </c>
      <c r="F7" t="s">
        <v>72</v>
      </c>
      <c r="G7" s="42">
        <v>1100</v>
      </c>
      <c r="H7" t="s">
        <v>62</v>
      </c>
    </row>
    <row r="8" spans="1:8">
      <c r="F8" t="s">
        <v>71</v>
      </c>
      <c r="G8" s="42">
        <f>G6*G7/1000</f>
        <v>29.876543209876537</v>
      </c>
      <c r="H8" t="s">
        <v>76</v>
      </c>
    </row>
    <row r="9" spans="1:8">
      <c r="A9" t="s">
        <v>59</v>
      </c>
      <c r="F9" t="s">
        <v>71</v>
      </c>
      <c r="G9" s="42">
        <f>G8*A10*(1/44)</f>
        <v>16.944479423868312</v>
      </c>
      <c r="H9" t="s">
        <v>75</v>
      </c>
    </row>
    <row r="10" spans="1:8">
      <c r="A10" s="42">
        <f>(B3*B4)/B5</f>
        <v>24.954596969696972</v>
      </c>
      <c r="F10" s="49" t="s">
        <v>70</v>
      </c>
      <c r="G10" s="50">
        <f>G8*(12/44)*(G4/G7)</f>
        <v>0.99999999999999967</v>
      </c>
      <c r="H10" s="49" t="s">
        <v>65</v>
      </c>
    </row>
    <row r="12" spans="1:8">
      <c r="A12" t="s">
        <v>60</v>
      </c>
    </row>
    <row r="13" spans="1:8">
      <c r="A1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jar_information</vt:lpstr>
      <vt:lpstr>C.calcs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jheublein</dc:creator>
  <cp:lastModifiedBy>Jeff Beem-Miller</cp:lastModifiedBy>
  <dcterms:created xsi:type="dcterms:W3CDTF">2017-07-13T08:33:16Z</dcterms:created>
  <dcterms:modified xsi:type="dcterms:W3CDTF">2020-04-29T13:36:15Z</dcterms:modified>
</cp:coreProperties>
</file>