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1700" yWindow="40" windowWidth="25040" windowHeight="16860" tabRatio="500"/>
  </bookViews>
  <sheets>
    <sheet name="meta" sheetId="1" r:id="rId1"/>
    <sheet name="jarInfo" sheetId="4" r:id="rId2"/>
    <sheet name="timeSeries" sheetId="2" r:id="rId3"/>
    <sheet name="summary" sheetId="3" r:id="rId4"/>
    <sheet name="d14C" sheetId="7" r:id="rId5"/>
    <sheet name="arc-tme-ornl" sheetId="6" r:id="rId6"/>
    <sheet name="constants" sheetId="5" r:id="rId7"/>
  </sheets>
  <calcPr calcId="140001" concurrentCalc="0"/>
  <pivotCaches>
    <pivotCache cacheId="1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6" l="1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2" i="6"/>
  <c r="M2" i="6"/>
  <c r="K2" i="6"/>
  <c r="K3" i="6"/>
  <c r="K4" i="6"/>
  <c r="K5" i="6"/>
  <c r="K6" i="6"/>
  <c r="K7" i="6"/>
  <c r="K8" i="6"/>
  <c r="K9" i="6"/>
  <c r="K10" i="6"/>
  <c r="K11" i="6"/>
  <c r="K12" i="6"/>
  <c r="K13" i="6"/>
  <c r="E3" i="6"/>
  <c r="H3" i="6"/>
  <c r="F3" i="6"/>
  <c r="E4" i="6"/>
  <c r="H4" i="6"/>
  <c r="F4" i="6"/>
  <c r="E5" i="6"/>
  <c r="H5" i="6"/>
  <c r="F5" i="6"/>
  <c r="E6" i="6"/>
  <c r="H6" i="6"/>
  <c r="F6" i="6"/>
  <c r="E7" i="6"/>
  <c r="H7" i="6"/>
  <c r="F7" i="6"/>
  <c r="E8" i="6"/>
  <c r="H8" i="6"/>
  <c r="F8" i="6"/>
  <c r="E9" i="6"/>
  <c r="H9" i="6"/>
  <c r="F9" i="6"/>
  <c r="E10" i="6"/>
  <c r="H10" i="6"/>
  <c r="F10" i="6"/>
  <c r="E11" i="6"/>
  <c r="H11" i="6"/>
  <c r="F11" i="6"/>
  <c r="E12" i="6"/>
  <c r="H12" i="6"/>
  <c r="F12" i="6"/>
  <c r="E13" i="6"/>
  <c r="H13" i="6"/>
  <c r="F13" i="6"/>
  <c r="E2" i="6"/>
  <c r="H2" i="6"/>
  <c r="F2" i="6"/>
  <c r="I3" i="6"/>
  <c r="I4" i="6"/>
  <c r="I5" i="6"/>
  <c r="I6" i="6"/>
  <c r="I7" i="6"/>
  <c r="I8" i="6"/>
  <c r="I9" i="6"/>
  <c r="I10" i="6"/>
  <c r="I11" i="6"/>
  <c r="I12" i="6"/>
  <c r="I13" i="6"/>
  <c r="I2" i="6"/>
  <c r="J2" i="6"/>
  <c r="H2" i="2"/>
  <c r="A2" i="2"/>
  <c r="J3" i="6"/>
  <c r="J4" i="6"/>
  <c r="J5" i="6"/>
  <c r="J6" i="6"/>
  <c r="J7" i="6"/>
  <c r="J8" i="6"/>
  <c r="J9" i="6"/>
  <c r="J10" i="6"/>
  <c r="J11" i="6"/>
  <c r="J12" i="6"/>
  <c r="J13" i="6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2" i="2"/>
  <c r="R109" i="2"/>
  <c r="R97" i="2"/>
  <c r="R85" i="2"/>
  <c r="R73" i="2"/>
  <c r="R61" i="2"/>
  <c r="R49" i="2"/>
  <c r="R37" i="2"/>
  <c r="R25" i="2"/>
  <c r="E25" i="2"/>
  <c r="E37" i="2"/>
  <c r="E49" i="2"/>
  <c r="E61" i="2"/>
  <c r="E73" i="2"/>
  <c r="E85" i="2"/>
  <c r="E97" i="2"/>
  <c r="E109" i="2"/>
  <c r="E121" i="2"/>
  <c r="E133" i="2"/>
  <c r="F109" i="2"/>
  <c r="F121" i="2"/>
  <c r="F133" i="2"/>
  <c r="R108" i="2"/>
  <c r="R96" i="2"/>
  <c r="R84" i="2"/>
  <c r="R72" i="2"/>
  <c r="R60" i="2"/>
  <c r="R48" i="2"/>
  <c r="R36" i="2"/>
  <c r="R24" i="2"/>
  <c r="E24" i="2"/>
  <c r="E36" i="2"/>
  <c r="E48" i="2"/>
  <c r="E60" i="2"/>
  <c r="E72" i="2"/>
  <c r="E84" i="2"/>
  <c r="E96" i="2"/>
  <c r="E108" i="2"/>
  <c r="R120" i="2"/>
  <c r="E120" i="2"/>
  <c r="E132" i="2"/>
  <c r="F108" i="2"/>
  <c r="F120" i="2"/>
  <c r="F132" i="2"/>
  <c r="R107" i="2"/>
  <c r="R95" i="2"/>
  <c r="R83" i="2"/>
  <c r="R71" i="2"/>
  <c r="R59" i="2"/>
  <c r="R47" i="2"/>
  <c r="R35" i="2"/>
  <c r="R23" i="2"/>
  <c r="E23" i="2"/>
  <c r="E35" i="2"/>
  <c r="E47" i="2"/>
  <c r="E59" i="2"/>
  <c r="E71" i="2"/>
  <c r="E83" i="2"/>
  <c r="E95" i="2"/>
  <c r="E107" i="2"/>
  <c r="R119" i="2"/>
  <c r="E119" i="2"/>
  <c r="E131" i="2"/>
  <c r="F107" i="2"/>
  <c r="F119" i="2"/>
  <c r="F131" i="2"/>
  <c r="R106" i="2"/>
  <c r="R94" i="2"/>
  <c r="R82" i="2"/>
  <c r="R70" i="2"/>
  <c r="R58" i="2"/>
  <c r="R46" i="2"/>
  <c r="R34" i="2"/>
  <c r="R22" i="2"/>
  <c r="E22" i="2"/>
  <c r="E34" i="2"/>
  <c r="E46" i="2"/>
  <c r="E58" i="2"/>
  <c r="E70" i="2"/>
  <c r="E82" i="2"/>
  <c r="E94" i="2"/>
  <c r="E106" i="2"/>
  <c r="R118" i="2"/>
  <c r="E118" i="2"/>
  <c r="F106" i="2"/>
  <c r="F118" i="2"/>
  <c r="F130" i="2"/>
  <c r="R105" i="2"/>
  <c r="R93" i="2"/>
  <c r="R81" i="2"/>
  <c r="R69" i="2"/>
  <c r="R57" i="2"/>
  <c r="R45" i="2"/>
  <c r="R33" i="2"/>
  <c r="R21" i="2"/>
  <c r="E21" i="2"/>
  <c r="E33" i="2"/>
  <c r="E45" i="2"/>
  <c r="E57" i="2"/>
  <c r="E69" i="2"/>
  <c r="E81" i="2"/>
  <c r="E93" i="2"/>
  <c r="E105" i="2"/>
  <c r="R117" i="2"/>
  <c r="E117" i="2"/>
  <c r="E129" i="2"/>
  <c r="F105" i="2"/>
  <c r="F117" i="2"/>
  <c r="F129" i="2"/>
  <c r="R92" i="2"/>
  <c r="R80" i="2"/>
  <c r="R68" i="2"/>
  <c r="R56" i="2"/>
  <c r="R44" i="2"/>
  <c r="R32" i="2"/>
  <c r="R20" i="2"/>
  <c r="E20" i="2"/>
  <c r="E32" i="2"/>
  <c r="E44" i="2"/>
  <c r="E56" i="2"/>
  <c r="E68" i="2"/>
  <c r="E80" i="2"/>
  <c r="E92" i="2"/>
  <c r="E116" i="2"/>
  <c r="E128" i="2"/>
  <c r="F116" i="2"/>
  <c r="F128" i="2"/>
  <c r="R103" i="2"/>
  <c r="R91" i="2"/>
  <c r="R79" i="2"/>
  <c r="R67" i="2"/>
  <c r="R55" i="2"/>
  <c r="R43" i="2"/>
  <c r="R31" i="2"/>
  <c r="R19" i="2"/>
  <c r="E19" i="2"/>
  <c r="E31" i="2"/>
  <c r="E43" i="2"/>
  <c r="E55" i="2"/>
  <c r="E67" i="2"/>
  <c r="E79" i="2"/>
  <c r="E91" i="2"/>
  <c r="E103" i="2"/>
  <c r="E115" i="2"/>
  <c r="E127" i="2"/>
  <c r="F103" i="2"/>
  <c r="F115" i="2"/>
  <c r="F127" i="2"/>
  <c r="R102" i="2"/>
  <c r="R90" i="2"/>
  <c r="R78" i="2"/>
  <c r="R66" i="2"/>
  <c r="R54" i="2"/>
  <c r="R42" i="2"/>
  <c r="R30" i="2"/>
  <c r="R18" i="2"/>
  <c r="E18" i="2"/>
  <c r="E30" i="2"/>
  <c r="E42" i="2"/>
  <c r="E54" i="2"/>
  <c r="E66" i="2"/>
  <c r="E78" i="2"/>
  <c r="E90" i="2"/>
  <c r="E102" i="2"/>
  <c r="F102" i="2"/>
  <c r="F114" i="2"/>
  <c r="F126" i="2"/>
  <c r="R101" i="2"/>
  <c r="R89" i="2"/>
  <c r="R77" i="2"/>
  <c r="R65" i="2"/>
  <c r="R53" i="2"/>
  <c r="R41" i="2"/>
  <c r="R29" i="2"/>
  <c r="R17" i="2"/>
  <c r="E17" i="2"/>
  <c r="E29" i="2"/>
  <c r="E41" i="2"/>
  <c r="E53" i="2"/>
  <c r="E65" i="2"/>
  <c r="E77" i="2"/>
  <c r="E89" i="2"/>
  <c r="E101" i="2"/>
  <c r="R113" i="2"/>
  <c r="E113" i="2"/>
  <c r="E125" i="2"/>
  <c r="F101" i="2"/>
  <c r="F113" i="2"/>
  <c r="F125" i="2"/>
  <c r="R100" i="2"/>
  <c r="R88" i="2"/>
  <c r="R76" i="2"/>
  <c r="R64" i="2"/>
  <c r="R52" i="2"/>
  <c r="R40" i="2"/>
  <c r="R28" i="2"/>
  <c r="R16" i="2"/>
  <c r="E16" i="2"/>
  <c r="E28" i="2"/>
  <c r="E40" i="2"/>
  <c r="E52" i="2"/>
  <c r="E64" i="2"/>
  <c r="E76" i="2"/>
  <c r="E88" i="2"/>
  <c r="E100" i="2"/>
  <c r="E112" i="2"/>
  <c r="E124" i="2"/>
  <c r="F100" i="2"/>
  <c r="F112" i="2"/>
  <c r="F124" i="2"/>
  <c r="R99" i="2"/>
  <c r="R87" i="2"/>
  <c r="R75" i="2"/>
  <c r="R63" i="2"/>
  <c r="R51" i="2"/>
  <c r="R39" i="2"/>
  <c r="R27" i="2"/>
  <c r="R15" i="2"/>
  <c r="E15" i="2"/>
  <c r="E27" i="2"/>
  <c r="E39" i="2"/>
  <c r="E51" i="2"/>
  <c r="E63" i="2"/>
  <c r="E75" i="2"/>
  <c r="E87" i="2"/>
  <c r="E99" i="2"/>
  <c r="R111" i="2"/>
  <c r="E111" i="2"/>
  <c r="E123" i="2"/>
  <c r="F99" i="2"/>
  <c r="F111" i="2"/>
  <c r="F123" i="2"/>
  <c r="F122" i="2"/>
  <c r="F110" i="2"/>
  <c r="F104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75" i="2"/>
  <c r="F76" i="2"/>
  <c r="F77" i="2"/>
  <c r="F78" i="2"/>
  <c r="F79" i="2"/>
  <c r="F80" i="2"/>
  <c r="F81" i="2"/>
  <c r="F82" i="2"/>
  <c r="F83" i="2"/>
  <c r="F84" i="2"/>
  <c r="F8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15" i="2"/>
  <c r="F16" i="2"/>
  <c r="F17" i="2"/>
  <c r="F18" i="2"/>
  <c r="F19" i="2"/>
  <c r="F20" i="2"/>
  <c r="F21" i="2"/>
  <c r="F22" i="2"/>
  <c r="F23" i="2"/>
  <c r="F24" i="2"/>
  <c r="F25" i="2"/>
  <c r="F14" i="2"/>
  <c r="B3" i="6"/>
  <c r="A3" i="6"/>
  <c r="B4" i="6"/>
  <c r="A4" i="6"/>
  <c r="B5" i="6"/>
  <c r="A5" i="6"/>
  <c r="B6" i="6"/>
  <c r="A6" i="6"/>
  <c r="B7" i="6"/>
  <c r="A7" i="6"/>
  <c r="B8" i="6"/>
  <c r="A8" i="6"/>
  <c r="B9" i="6"/>
  <c r="A9" i="6"/>
  <c r="B10" i="6"/>
  <c r="A10" i="6"/>
  <c r="B11" i="6"/>
  <c r="A11" i="6"/>
  <c r="B12" i="6"/>
  <c r="A12" i="6"/>
  <c r="B13" i="6"/>
  <c r="A13" i="6"/>
  <c r="B2" i="6"/>
  <c r="A2" i="6"/>
  <c r="H3" i="2"/>
  <c r="A3" i="2"/>
  <c r="H4" i="2"/>
  <c r="A4" i="2"/>
  <c r="H5" i="2"/>
  <c r="A5" i="2"/>
  <c r="H6" i="2"/>
  <c r="A6" i="2"/>
  <c r="H7" i="2"/>
  <c r="A7" i="2"/>
  <c r="H8" i="2"/>
  <c r="A8" i="2"/>
  <c r="H9" i="2"/>
  <c r="A9" i="2"/>
  <c r="H10" i="2"/>
  <c r="A10" i="2"/>
  <c r="H11" i="2"/>
  <c r="A11" i="2"/>
  <c r="H12" i="2"/>
  <c r="A12" i="2"/>
  <c r="H13" i="2"/>
  <c r="A13" i="2"/>
  <c r="H14" i="2"/>
  <c r="A14" i="2"/>
  <c r="H15" i="2"/>
  <c r="A15" i="2"/>
  <c r="H16" i="2"/>
  <c r="A16" i="2"/>
  <c r="H17" i="2"/>
  <c r="A17" i="2"/>
  <c r="H18" i="2"/>
  <c r="A18" i="2"/>
  <c r="H19" i="2"/>
  <c r="A19" i="2"/>
  <c r="H20" i="2"/>
  <c r="A20" i="2"/>
  <c r="H21" i="2"/>
  <c r="A21" i="2"/>
  <c r="H22" i="2"/>
  <c r="A22" i="2"/>
  <c r="H23" i="2"/>
  <c r="A23" i="2"/>
  <c r="H24" i="2"/>
  <c r="A24" i="2"/>
  <c r="H25" i="2"/>
  <c r="A25" i="2"/>
  <c r="H26" i="2"/>
  <c r="A26" i="2"/>
  <c r="H27" i="2"/>
  <c r="A27" i="2"/>
  <c r="H28" i="2"/>
  <c r="A28" i="2"/>
  <c r="H29" i="2"/>
  <c r="A29" i="2"/>
  <c r="H30" i="2"/>
  <c r="A30" i="2"/>
  <c r="H31" i="2"/>
  <c r="A31" i="2"/>
  <c r="H32" i="2"/>
  <c r="A32" i="2"/>
  <c r="H33" i="2"/>
  <c r="A33" i="2"/>
  <c r="H34" i="2"/>
  <c r="A34" i="2"/>
  <c r="H35" i="2"/>
  <c r="A35" i="2"/>
  <c r="H36" i="2"/>
  <c r="A36" i="2"/>
  <c r="H37" i="2"/>
  <c r="A37" i="2"/>
  <c r="H38" i="2"/>
  <c r="A38" i="2"/>
  <c r="H39" i="2"/>
  <c r="A39" i="2"/>
  <c r="H40" i="2"/>
  <c r="A40" i="2"/>
  <c r="H41" i="2"/>
  <c r="A41" i="2"/>
  <c r="H42" i="2"/>
  <c r="A42" i="2"/>
  <c r="H43" i="2"/>
  <c r="A43" i="2"/>
  <c r="H44" i="2"/>
  <c r="A44" i="2"/>
  <c r="H45" i="2"/>
  <c r="A45" i="2"/>
  <c r="H46" i="2"/>
  <c r="A46" i="2"/>
  <c r="H47" i="2"/>
  <c r="A47" i="2"/>
  <c r="H48" i="2"/>
  <c r="A48" i="2"/>
  <c r="H49" i="2"/>
  <c r="A49" i="2"/>
  <c r="H50" i="2"/>
  <c r="A50" i="2"/>
  <c r="H51" i="2"/>
  <c r="A51" i="2"/>
  <c r="H52" i="2"/>
  <c r="A52" i="2"/>
  <c r="H53" i="2"/>
  <c r="A53" i="2"/>
  <c r="H54" i="2"/>
  <c r="A54" i="2"/>
  <c r="H55" i="2"/>
  <c r="A55" i="2"/>
  <c r="H56" i="2"/>
  <c r="A56" i="2"/>
  <c r="H57" i="2"/>
  <c r="A57" i="2"/>
  <c r="H58" i="2"/>
  <c r="A58" i="2"/>
  <c r="H59" i="2"/>
  <c r="A59" i="2"/>
  <c r="H60" i="2"/>
  <c r="A60" i="2"/>
  <c r="H61" i="2"/>
  <c r="A61" i="2"/>
  <c r="H62" i="2"/>
  <c r="A62" i="2"/>
  <c r="H63" i="2"/>
  <c r="A63" i="2"/>
  <c r="H64" i="2"/>
  <c r="A64" i="2"/>
  <c r="H65" i="2"/>
  <c r="A65" i="2"/>
  <c r="H66" i="2"/>
  <c r="A66" i="2"/>
  <c r="H67" i="2"/>
  <c r="A67" i="2"/>
  <c r="H68" i="2"/>
  <c r="A68" i="2"/>
  <c r="H69" i="2"/>
  <c r="A69" i="2"/>
  <c r="H70" i="2"/>
  <c r="A70" i="2"/>
  <c r="H71" i="2"/>
  <c r="A71" i="2"/>
  <c r="H72" i="2"/>
  <c r="A72" i="2"/>
  <c r="H73" i="2"/>
  <c r="A73" i="2"/>
  <c r="H74" i="2"/>
  <c r="A74" i="2"/>
  <c r="H75" i="2"/>
  <c r="A75" i="2"/>
  <c r="H76" i="2"/>
  <c r="A76" i="2"/>
  <c r="H77" i="2"/>
  <c r="A77" i="2"/>
  <c r="H78" i="2"/>
  <c r="A78" i="2"/>
  <c r="H79" i="2"/>
  <c r="A79" i="2"/>
  <c r="H80" i="2"/>
  <c r="A80" i="2"/>
  <c r="H81" i="2"/>
  <c r="A81" i="2"/>
  <c r="H82" i="2"/>
  <c r="A82" i="2"/>
  <c r="H83" i="2"/>
  <c r="A83" i="2"/>
  <c r="H84" i="2"/>
  <c r="A84" i="2"/>
  <c r="H85" i="2"/>
  <c r="A85" i="2"/>
  <c r="H86" i="2"/>
  <c r="A86" i="2"/>
  <c r="H87" i="2"/>
  <c r="A87" i="2"/>
  <c r="H88" i="2"/>
  <c r="A88" i="2"/>
  <c r="H89" i="2"/>
  <c r="A89" i="2"/>
  <c r="H90" i="2"/>
  <c r="A90" i="2"/>
  <c r="H91" i="2"/>
  <c r="A91" i="2"/>
  <c r="H92" i="2"/>
  <c r="A92" i="2"/>
  <c r="H93" i="2"/>
  <c r="A93" i="2"/>
  <c r="H94" i="2"/>
  <c r="A94" i="2"/>
  <c r="H95" i="2"/>
  <c r="A95" i="2"/>
  <c r="H96" i="2"/>
  <c r="A96" i="2"/>
  <c r="H97" i="2"/>
  <c r="A97" i="2"/>
  <c r="H98" i="2"/>
  <c r="A98" i="2"/>
  <c r="H99" i="2"/>
  <c r="A99" i="2"/>
  <c r="H100" i="2"/>
  <c r="A100" i="2"/>
  <c r="H101" i="2"/>
  <c r="A101" i="2"/>
  <c r="H102" i="2"/>
  <c r="A102" i="2"/>
  <c r="H103" i="2"/>
  <c r="A103" i="2"/>
  <c r="H104" i="2"/>
  <c r="A104" i="2"/>
  <c r="H105" i="2"/>
  <c r="A105" i="2"/>
  <c r="H106" i="2"/>
  <c r="A106" i="2"/>
  <c r="H107" i="2"/>
  <c r="A107" i="2"/>
  <c r="H108" i="2"/>
  <c r="A108" i="2"/>
  <c r="H109" i="2"/>
  <c r="A109" i="2"/>
  <c r="H110" i="2"/>
  <c r="A110" i="2"/>
  <c r="H111" i="2"/>
  <c r="A111" i="2"/>
  <c r="H112" i="2"/>
  <c r="A112" i="2"/>
  <c r="H113" i="2"/>
  <c r="A113" i="2"/>
  <c r="H114" i="2"/>
  <c r="A114" i="2"/>
  <c r="H115" i="2"/>
  <c r="A115" i="2"/>
  <c r="H116" i="2"/>
  <c r="A116" i="2"/>
  <c r="H117" i="2"/>
  <c r="A117" i="2"/>
  <c r="H118" i="2"/>
  <c r="A118" i="2"/>
  <c r="H119" i="2"/>
  <c r="A119" i="2"/>
  <c r="H120" i="2"/>
  <c r="A120" i="2"/>
  <c r="H121" i="2"/>
  <c r="A121" i="2"/>
  <c r="H122" i="2"/>
  <c r="A122" i="2"/>
  <c r="H123" i="2"/>
  <c r="A123" i="2"/>
  <c r="H124" i="2"/>
  <c r="A124" i="2"/>
  <c r="H125" i="2"/>
  <c r="A125" i="2"/>
  <c r="H126" i="2"/>
  <c r="A126" i="2"/>
  <c r="H127" i="2"/>
  <c r="A127" i="2"/>
  <c r="H128" i="2"/>
  <c r="A128" i="2"/>
  <c r="H129" i="2"/>
  <c r="A129" i="2"/>
  <c r="H130" i="2"/>
  <c r="A130" i="2"/>
  <c r="H131" i="2"/>
  <c r="A131" i="2"/>
  <c r="H132" i="2"/>
  <c r="A132" i="2"/>
  <c r="H133" i="2"/>
  <c r="A133" i="2"/>
  <c r="H134" i="2"/>
  <c r="A134" i="2"/>
  <c r="H135" i="2"/>
  <c r="A135" i="2"/>
  <c r="H136" i="2"/>
  <c r="A136" i="2"/>
  <c r="H137" i="2"/>
  <c r="A137" i="2"/>
  <c r="H138" i="2"/>
  <c r="A138" i="2"/>
  <c r="H139" i="2"/>
  <c r="A139" i="2"/>
  <c r="H140" i="2"/>
  <c r="A140" i="2"/>
  <c r="H141" i="2"/>
  <c r="A141" i="2"/>
  <c r="H142" i="2"/>
  <c r="A142" i="2"/>
  <c r="H143" i="2"/>
  <c r="A143" i="2"/>
  <c r="H144" i="2"/>
  <c r="A144" i="2"/>
  <c r="H145" i="2"/>
  <c r="A145" i="2"/>
  <c r="H146" i="2"/>
  <c r="A146" i="2"/>
  <c r="H147" i="2"/>
  <c r="A147" i="2"/>
  <c r="H148" i="2"/>
  <c r="A148" i="2"/>
  <c r="H149" i="2"/>
  <c r="A149" i="2"/>
  <c r="H150" i="2"/>
  <c r="A150" i="2"/>
  <c r="H151" i="2"/>
  <c r="A151" i="2"/>
  <c r="H152" i="2"/>
  <c r="A152" i="2"/>
  <c r="H153" i="2"/>
  <c r="A153" i="2"/>
  <c r="H154" i="2"/>
  <c r="A154" i="2"/>
  <c r="H155" i="2"/>
  <c r="A155" i="2"/>
  <c r="H156" i="2"/>
  <c r="A156" i="2"/>
  <c r="H157" i="2"/>
  <c r="A157" i="2"/>
  <c r="G8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99" i="2"/>
  <c r="Q100" i="2"/>
  <c r="Q101" i="2"/>
  <c r="Q102" i="2"/>
  <c r="Q103" i="2"/>
  <c r="Q105" i="2"/>
  <c r="Q106" i="2"/>
  <c r="Q107" i="2"/>
  <c r="Q108" i="2"/>
  <c r="Q109" i="2"/>
  <c r="Q111" i="2"/>
  <c r="Q112" i="2"/>
  <c r="Q113" i="2"/>
  <c r="Q114" i="2"/>
  <c r="Q115" i="2"/>
  <c r="Q116" i="2"/>
  <c r="Q117" i="2"/>
  <c r="Q118" i="2"/>
  <c r="Q119" i="2"/>
  <c r="Q120" i="2"/>
  <c r="Q121" i="2"/>
  <c r="F2" i="5"/>
  <c r="P8" i="2"/>
  <c r="G99" i="2"/>
  <c r="P99" i="2"/>
  <c r="G100" i="2"/>
  <c r="P100" i="2"/>
  <c r="G101" i="2"/>
  <c r="P101" i="2"/>
  <c r="G102" i="2"/>
  <c r="P102" i="2"/>
  <c r="G103" i="2"/>
  <c r="P103" i="2"/>
  <c r="P104" i="2"/>
  <c r="G105" i="2"/>
  <c r="P105" i="2"/>
  <c r="G106" i="2"/>
  <c r="P106" i="2"/>
  <c r="G107" i="2"/>
  <c r="P107" i="2"/>
  <c r="G108" i="2"/>
  <c r="P108" i="2"/>
  <c r="G109" i="2"/>
  <c r="P109" i="2"/>
  <c r="P110" i="2"/>
  <c r="G111" i="2"/>
  <c r="P111" i="2"/>
  <c r="G112" i="2"/>
  <c r="P112" i="2"/>
  <c r="G113" i="2"/>
  <c r="P113" i="2"/>
  <c r="G114" i="2"/>
  <c r="P114" i="2"/>
  <c r="G115" i="2"/>
  <c r="P115" i="2"/>
  <c r="G116" i="2"/>
  <c r="P116" i="2"/>
  <c r="G117" i="2"/>
  <c r="P117" i="2"/>
  <c r="G118" i="2"/>
  <c r="P118" i="2"/>
  <c r="G119" i="2"/>
  <c r="P119" i="2"/>
  <c r="G120" i="2"/>
  <c r="P120" i="2"/>
  <c r="G121" i="2"/>
  <c r="P121" i="2"/>
  <c r="P122" i="2"/>
  <c r="G123" i="2"/>
  <c r="M123" i="2"/>
  <c r="P123" i="2"/>
  <c r="G124" i="2"/>
  <c r="M124" i="2"/>
  <c r="P124" i="2"/>
  <c r="G125" i="2"/>
  <c r="M125" i="2"/>
  <c r="P125" i="2"/>
  <c r="P126" i="2"/>
  <c r="G127" i="2"/>
  <c r="M127" i="2"/>
  <c r="P127" i="2"/>
  <c r="G128" i="2"/>
  <c r="M128" i="2"/>
  <c r="P128" i="2"/>
  <c r="G129" i="2"/>
  <c r="M129" i="2"/>
  <c r="P129" i="2"/>
  <c r="P130" i="2"/>
  <c r="G131" i="2"/>
  <c r="M131" i="2"/>
  <c r="P131" i="2"/>
  <c r="G132" i="2"/>
  <c r="M132" i="2"/>
  <c r="P132" i="2"/>
  <c r="G133" i="2"/>
  <c r="M133" i="2"/>
  <c r="P133" i="2"/>
  <c r="P134" i="2"/>
  <c r="G135" i="2"/>
  <c r="P135" i="2"/>
  <c r="G136" i="2"/>
  <c r="P136" i="2"/>
  <c r="G137" i="2"/>
  <c r="P137" i="2"/>
  <c r="P138" i="2"/>
  <c r="P139" i="2"/>
  <c r="G140" i="2"/>
  <c r="P140" i="2"/>
  <c r="G141" i="2"/>
  <c r="P141" i="2"/>
  <c r="P142" i="2"/>
  <c r="G143" i="2"/>
  <c r="P143" i="2"/>
  <c r="G144" i="2"/>
  <c r="P144" i="2"/>
  <c r="G145" i="2"/>
  <c r="P145" i="2"/>
  <c r="P146" i="2"/>
  <c r="P147" i="2"/>
  <c r="P148" i="2"/>
  <c r="P149" i="2"/>
  <c r="P150" i="2"/>
  <c r="P151" i="2"/>
  <c r="P152" i="2"/>
  <c r="G153" i="2"/>
  <c r="P153" i="2"/>
  <c r="P154" i="2"/>
  <c r="P155" i="2"/>
  <c r="P156" i="2"/>
  <c r="P157" i="2"/>
  <c r="P98" i="2"/>
  <c r="G98" i="2"/>
  <c r="G104" i="2"/>
  <c r="G110" i="2"/>
  <c r="G122" i="2"/>
  <c r="G126" i="2"/>
  <c r="G130" i="2"/>
  <c r="G134" i="2"/>
  <c r="G138" i="2"/>
  <c r="G139" i="2"/>
  <c r="G142" i="2"/>
  <c r="G146" i="2"/>
  <c r="G147" i="2"/>
  <c r="G148" i="2"/>
  <c r="G149" i="2"/>
  <c r="G150" i="2"/>
  <c r="G151" i="2"/>
  <c r="G152" i="2"/>
  <c r="G154" i="2"/>
  <c r="G155" i="2"/>
  <c r="G156" i="2"/>
  <c r="G157" i="2"/>
  <c r="G3" i="2"/>
  <c r="P3" i="2"/>
  <c r="G4" i="2"/>
  <c r="P4" i="2"/>
  <c r="G5" i="2"/>
  <c r="P5" i="2"/>
  <c r="G6" i="2"/>
  <c r="P6" i="2"/>
  <c r="G7" i="2"/>
  <c r="P7" i="2"/>
  <c r="G9" i="2"/>
  <c r="P9" i="2"/>
  <c r="G10" i="2"/>
  <c r="P10" i="2"/>
  <c r="G11" i="2"/>
  <c r="P11" i="2"/>
  <c r="G12" i="2"/>
  <c r="P12" i="2"/>
  <c r="G13" i="2"/>
  <c r="P13" i="2"/>
  <c r="G14" i="2"/>
  <c r="P14" i="2"/>
  <c r="G15" i="2"/>
  <c r="P15" i="2"/>
  <c r="G16" i="2"/>
  <c r="P16" i="2"/>
  <c r="G17" i="2"/>
  <c r="P17" i="2"/>
  <c r="G18" i="2"/>
  <c r="P18" i="2"/>
  <c r="G19" i="2"/>
  <c r="P19" i="2"/>
  <c r="G20" i="2"/>
  <c r="P20" i="2"/>
  <c r="G21" i="2"/>
  <c r="P21" i="2"/>
  <c r="G22" i="2"/>
  <c r="P22" i="2"/>
  <c r="G23" i="2"/>
  <c r="P23" i="2"/>
  <c r="G24" i="2"/>
  <c r="P24" i="2"/>
  <c r="G25" i="2"/>
  <c r="P25" i="2"/>
  <c r="G26" i="2"/>
  <c r="P26" i="2"/>
  <c r="G27" i="2"/>
  <c r="P27" i="2"/>
  <c r="G28" i="2"/>
  <c r="P28" i="2"/>
  <c r="G29" i="2"/>
  <c r="P29" i="2"/>
  <c r="G30" i="2"/>
  <c r="P30" i="2"/>
  <c r="G31" i="2"/>
  <c r="P31" i="2"/>
  <c r="G32" i="2"/>
  <c r="P32" i="2"/>
  <c r="G33" i="2"/>
  <c r="P33" i="2"/>
  <c r="G34" i="2"/>
  <c r="P34" i="2"/>
  <c r="G35" i="2"/>
  <c r="P35" i="2"/>
  <c r="G36" i="2"/>
  <c r="P36" i="2"/>
  <c r="G37" i="2"/>
  <c r="P37" i="2"/>
  <c r="G38" i="2"/>
  <c r="P38" i="2"/>
  <c r="G39" i="2"/>
  <c r="P39" i="2"/>
  <c r="G40" i="2"/>
  <c r="P40" i="2"/>
  <c r="G41" i="2"/>
  <c r="P41" i="2"/>
  <c r="G42" i="2"/>
  <c r="P42" i="2"/>
  <c r="G43" i="2"/>
  <c r="P43" i="2"/>
  <c r="G44" i="2"/>
  <c r="P44" i="2"/>
  <c r="G45" i="2"/>
  <c r="P45" i="2"/>
  <c r="G46" i="2"/>
  <c r="P46" i="2"/>
  <c r="G47" i="2"/>
  <c r="P47" i="2"/>
  <c r="G48" i="2"/>
  <c r="P48" i="2"/>
  <c r="G49" i="2"/>
  <c r="P49" i="2"/>
  <c r="G50" i="2"/>
  <c r="P50" i="2"/>
  <c r="G51" i="2"/>
  <c r="P51" i="2"/>
  <c r="G52" i="2"/>
  <c r="P52" i="2"/>
  <c r="G53" i="2"/>
  <c r="P53" i="2"/>
  <c r="G54" i="2"/>
  <c r="P54" i="2"/>
  <c r="G55" i="2"/>
  <c r="P55" i="2"/>
  <c r="G56" i="2"/>
  <c r="P56" i="2"/>
  <c r="G57" i="2"/>
  <c r="P57" i="2"/>
  <c r="G58" i="2"/>
  <c r="P58" i="2"/>
  <c r="G59" i="2"/>
  <c r="P59" i="2"/>
  <c r="G60" i="2"/>
  <c r="P60" i="2"/>
  <c r="G61" i="2"/>
  <c r="P61" i="2"/>
  <c r="G62" i="2"/>
  <c r="P62" i="2"/>
  <c r="G63" i="2"/>
  <c r="P63" i="2"/>
  <c r="G64" i="2"/>
  <c r="P64" i="2"/>
  <c r="G65" i="2"/>
  <c r="P65" i="2"/>
  <c r="G66" i="2"/>
  <c r="P66" i="2"/>
  <c r="G67" i="2"/>
  <c r="P67" i="2"/>
  <c r="G68" i="2"/>
  <c r="P68" i="2"/>
  <c r="G69" i="2"/>
  <c r="P69" i="2"/>
  <c r="G70" i="2"/>
  <c r="P70" i="2"/>
  <c r="G71" i="2"/>
  <c r="P71" i="2"/>
  <c r="G72" i="2"/>
  <c r="P72" i="2"/>
  <c r="G73" i="2"/>
  <c r="P73" i="2"/>
  <c r="G74" i="2"/>
  <c r="P74" i="2"/>
  <c r="G75" i="2"/>
  <c r="P75" i="2"/>
  <c r="G76" i="2"/>
  <c r="P76" i="2"/>
  <c r="G77" i="2"/>
  <c r="P77" i="2"/>
  <c r="G78" i="2"/>
  <c r="P78" i="2"/>
  <c r="G79" i="2"/>
  <c r="P79" i="2"/>
  <c r="G80" i="2"/>
  <c r="P80" i="2"/>
  <c r="G81" i="2"/>
  <c r="P81" i="2"/>
  <c r="G82" i="2"/>
  <c r="P82" i="2"/>
  <c r="G83" i="2"/>
  <c r="P83" i="2"/>
  <c r="G84" i="2"/>
  <c r="P84" i="2"/>
  <c r="G85" i="2"/>
  <c r="P85" i="2"/>
  <c r="G86" i="2"/>
  <c r="P86" i="2"/>
  <c r="G87" i="2"/>
  <c r="P87" i="2"/>
  <c r="G88" i="2"/>
  <c r="P88" i="2"/>
  <c r="G89" i="2"/>
  <c r="P89" i="2"/>
  <c r="G90" i="2"/>
  <c r="P90" i="2"/>
  <c r="G91" i="2"/>
  <c r="P91" i="2"/>
  <c r="G92" i="2"/>
  <c r="P92" i="2"/>
  <c r="G93" i="2"/>
  <c r="P93" i="2"/>
  <c r="G94" i="2"/>
  <c r="P94" i="2"/>
  <c r="G95" i="2"/>
  <c r="P95" i="2"/>
  <c r="G96" i="2"/>
  <c r="P96" i="2"/>
  <c r="G97" i="2"/>
  <c r="P97" i="2"/>
  <c r="G2" i="2"/>
  <c r="P2" i="2"/>
  <c r="F38" i="4"/>
  <c r="G38" i="4"/>
  <c r="F37" i="4"/>
  <c r="G37" i="4"/>
  <c r="F36" i="4"/>
  <c r="G36" i="4"/>
  <c r="F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R153" i="2"/>
  <c r="R135" i="2"/>
  <c r="E135" i="2"/>
  <c r="R136" i="2"/>
  <c r="E136" i="2"/>
  <c r="R137" i="2"/>
  <c r="E137" i="2"/>
  <c r="E138" i="2"/>
  <c r="R141" i="2"/>
  <c r="E141" i="2"/>
  <c r="E142" i="2"/>
  <c r="R143" i="2"/>
  <c r="E143" i="2"/>
  <c r="R144" i="2"/>
  <c r="E144" i="2"/>
  <c r="R145" i="2"/>
  <c r="E145" i="2"/>
  <c r="E134" i="2"/>
  <c r="R142" i="2"/>
  <c r="R140" i="2"/>
  <c r="R139" i="2"/>
  <c r="R138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16" i="2"/>
  <c r="R115" i="2"/>
  <c r="R114" i="2"/>
  <c r="R112" i="2"/>
  <c r="R110" i="2"/>
  <c r="M130" i="2"/>
  <c r="M126" i="2"/>
  <c r="M122" i="2"/>
  <c r="R86" i="2"/>
  <c r="R74" i="2"/>
  <c r="R62" i="2"/>
  <c r="R50" i="2"/>
  <c r="R38" i="2"/>
  <c r="R26" i="2"/>
  <c r="R14" i="2"/>
  <c r="E14" i="2"/>
  <c r="E26" i="2"/>
  <c r="E38" i="2"/>
  <c r="E50" i="2"/>
  <c r="E62" i="2"/>
  <c r="E74" i="2"/>
  <c r="E86" i="2"/>
  <c r="R98" i="2"/>
  <c r="R104" i="2"/>
</calcChain>
</file>

<file path=xl/comments1.xml><?xml version="1.0" encoding="utf-8"?>
<comments xmlns="http://schemas.openxmlformats.org/spreadsheetml/2006/main">
  <authors>
    <author>Jeff Beem-Miller</author>
  </authors>
  <commentList>
    <comment ref="E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'period' estimated by looking at the changes in CO2 concentration between measurement points, along with notes on venting given in source workbook</t>
        </r>
      </text>
    </comment>
    <comment ref="P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calculated using PV=nRT, assuming 1 bar pressure</t>
        </r>
      </text>
    </comment>
  </commentList>
</comments>
</file>

<file path=xl/sharedStrings.xml><?xml version="1.0" encoding="utf-8"?>
<sst xmlns="http://schemas.openxmlformats.org/spreadsheetml/2006/main" count="469" uniqueCount="169">
  <si>
    <t>Excel workbook from Malu Cisneros (Malu.Cisneros@glasgow.ac.uk), received on 9-Apr-2020</t>
  </si>
  <si>
    <t>ID_beem-miller</t>
  </si>
  <si>
    <t>volume_ml</t>
  </si>
  <si>
    <t>year</t>
  </si>
  <si>
    <t>month</t>
  </si>
  <si>
    <t>day</t>
  </si>
  <si>
    <t>CO2_pct</t>
  </si>
  <si>
    <t>slope</t>
  </si>
  <si>
    <t>intercept</t>
  </si>
  <si>
    <t>WB-3E-C</t>
  </si>
  <si>
    <t>WB-4B-C</t>
  </si>
  <si>
    <t>WB-5B-C</t>
  </si>
  <si>
    <t>WB-6E-C</t>
  </si>
  <si>
    <t>WB-7E-C</t>
  </si>
  <si>
    <t>WB-8B-C</t>
  </si>
  <si>
    <t xml:space="preserve">TVA-2B-C </t>
  </si>
  <si>
    <t xml:space="preserve">TVA-3B-C </t>
  </si>
  <si>
    <t xml:space="preserve">TVA-4E-C </t>
  </si>
  <si>
    <t>TVA-5B-C</t>
  </si>
  <si>
    <t xml:space="preserve">TVA-6E-C </t>
  </si>
  <si>
    <t xml:space="preserve">TVA-8E-C </t>
  </si>
  <si>
    <t>time_pctDay</t>
  </si>
  <si>
    <t>T_lab_C</t>
  </si>
  <si>
    <t>period</t>
  </si>
  <si>
    <t>sampleID</t>
  </si>
  <si>
    <t>area_LiCor</t>
  </si>
  <si>
    <t>vented</t>
  </si>
  <si>
    <t>WB-3E-L</t>
  </si>
  <si>
    <t>WB-4B-L</t>
  </si>
  <si>
    <t>WB-5B-L</t>
  </si>
  <si>
    <t>WB-6E-L</t>
  </si>
  <si>
    <t>WB-7E-L</t>
  </si>
  <si>
    <t>WB-8B-L</t>
  </si>
  <si>
    <t xml:space="preserve">TVA-2B-L </t>
  </si>
  <si>
    <t xml:space="preserve">TVA-3B-L </t>
  </si>
  <si>
    <t xml:space="preserve">TVA-4E-L </t>
  </si>
  <si>
    <t>TVA-5B-L</t>
  </si>
  <si>
    <t>TVA-6E-L</t>
  </si>
  <si>
    <t>TVA-8E-L</t>
  </si>
  <si>
    <t>change_CO2_pct</t>
  </si>
  <si>
    <t>vented at previous time point</t>
  </si>
  <si>
    <t>all remaining jars vented</t>
  </si>
  <si>
    <t>Row Labels</t>
  </si>
  <si>
    <t>Grand Total</t>
  </si>
  <si>
    <t>Column Labels</t>
  </si>
  <si>
    <t>(blank)</t>
  </si>
  <si>
    <t>CO2_mg</t>
  </si>
  <si>
    <t>VOLUME MEASUREMENTS - INCUBATION JARS- VOLUMES MEASURED IN THE GREEN VACCUMM LINE</t>
  </si>
  <si>
    <t>Pressures :</t>
  </si>
  <si>
    <t>P1 = cold finger + jar attached with tubing</t>
  </si>
  <si>
    <t>P2 = P1 + bulb with tubing and segment of vacumm line</t>
  </si>
  <si>
    <t>Volumes:</t>
  </si>
  <si>
    <t>same as in March 2004 incubations</t>
  </si>
  <si>
    <t>volume of cold finger + tubing (to connect jar)= 13.95 ml</t>
  </si>
  <si>
    <t>Volume of bulb + tubing (to connect bulb) + segment of line = 143.73 ml</t>
  </si>
  <si>
    <t>P1V1 = P2V2</t>
  </si>
  <si>
    <t>NOTE: WHEN LIDS WHERE LEAKING, THE VOLUME WAS TAKEN FROM A SIMILAR SAMPLE WEIGHT</t>
  </si>
  <si>
    <t>P1</t>
  </si>
  <si>
    <t>P2 with bulb</t>
  </si>
  <si>
    <t>V measured, ml</t>
  </si>
  <si>
    <t>V meas., liters</t>
  </si>
  <si>
    <t>jarVol_L</t>
  </si>
  <si>
    <t>C_molar_mass_g</t>
  </si>
  <si>
    <t>O_molar_mass_g</t>
  </si>
  <si>
    <t>CO2_molar_mass_g</t>
  </si>
  <si>
    <t>R_L_atm_K_mol</t>
  </si>
  <si>
    <t>T_CtoK</t>
  </si>
  <si>
    <t>T_mean</t>
  </si>
  <si>
    <t>Max of CO2_mg</t>
  </si>
  <si>
    <t>data on 'constants' used for calculating mass of CO2 on timeSeries sheet</t>
  </si>
  <si>
    <t>data on 'summary' sheet calculates cumulative mass of CO2</t>
  </si>
  <si>
    <t>cumulative_CO2_mg</t>
  </si>
  <si>
    <t>cumulative_CO2_mg_gDrySoil</t>
  </si>
  <si>
    <t>ID</t>
  </si>
  <si>
    <t>ID_beem-Miller</t>
  </si>
  <si>
    <t>sampleID_trimmed</t>
  </si>
  <si>
    <t>ID_trimmed</t>
  </si>
  <si>
    <t>timeCmtv_d</t>
  </si>
  <si>
    <t>Total Max of CO2_mg</t>
  </si>
  <si>
    <t>Total Max of timeCmtv_d</t>
  </si>
  <si>
    <t>Max of timeCmtv_d</t>
  </si>
  <si>
    <t>data on 'timeSeries' sheet contains time series of CO2 data from raw data file "Incubations_August_2004_samples.xlsx" sheet 'CO2_FLUXES"</t>
  </si>
  <si>
    <t>data on 'jarInfo' is copied verbatim from raw data file "Incubation_August_2004_samples.xlsx" sheet 'Jar Volumes'</t>
  </si>
  <si>
    <t>notes</t>
  </si>
  <si>
    <t>mgCO2.C_gC</t>
  </si>
  <si>
    <t>time_d_cmtv</t>
  </si>
  <si>
    <t>C_g_kg</t>
  </si>
  <si>
    <t>data on 'd14C' sheet is copied verbatim from raw data file "Incubation_August_2004_samples.xlsx" sheet 'SUMMARY_ALL_DATA'</t>
  </si>
  <si>
    <t>JAR VOLUME</t>
  </si>
  <si>
    <t>DATE OF SAMPLING</t>
  </si>
  <si>
    <t>SITE</t>
  </si>
  <si>
    <t>HORIZON</t>
  </si>
  <si>
    <t>TOTAL SAMPLE WEIGHT (wet), g w/o rocks</t>
  </si>
  <si>
    <t>bag</t>
  </si>
  <si>
    <t>AREA, m2</t>
  </si>
  <si>
    <t>INCUB. SAMPLE WEIGHT (wet), g (no wt of rocks included)</t>
  </si>
  <si>
    <t>Grav. Water, %</t>
  </si>
  <si>
    <t>VOLUME OF AIR</t>
  </si>
  <si>
    <t>increase CO2 conc.% between 2 consecutive days</t>
  </si>
  <si>
    <t>mg CO2 per g wet weight per day</t>
  </si>
  <si>
    <t xml:space="preserve"> MEAN mg CO2 per g wet weight, per day</t>
  </si>
  <si>
    <t xml:space="preserve"> MEAN mg CO2 /day/m2</t>
  </si>
  <si>
    <t>d13 C, per mil</t>
  </si>
  <si>
    <t>∆14 C,</t>
  </si>
  <si>
    <t xml:space="preserve">   (LITERS)</t>
  </si>
  <si>
    <t>0.021 ziploc w/lock</t>
  </si>
  <si>
    <t>0.02 normal ziploc</t>
  </si>
  <si>
    <t>in the jar, l</t>
  </si>
  <si>
    <t>per mil</t>
  </si>
  <si>
    <t>flux-weighted mean 14C</t>
  </si>
  <si>
    <t>flux-weighted mean 13C</t>
  </si>
  <si>
    <t>TVA 2B</t>
  </si>
  <si>
    <t>TVA 3B</t>
  </si>
  <si>
    <t>TVA 5B</t>
  </si>
  <si>
    <t>TVA 4E</t>
  </si>
  <si>
    <t>TVA 6E</t>
  </si>
  <si>
    <t>TVA 8E</t>
  </si>
  <si>
    <t>WB 4B</t>
  </si>
  <si>
    <t>WB 5B</t>
  </si>
  <si>
    <t>WB 8B</t>
  </si>
  <si>
    <t>WB 3E</t>
  </si>
  <si>
    <t>WB 6E</t>
  </si>
  <si>
    <t>WB 7E</t>
  </si>
  <si>
    <t>incubated wet wt w/flask</t>
  </si>
  <si>
    <t>incubated wet wt w/flask and rocks</t>
  </si>
  <si>
    <t xml:space="preserve"> weight of rocks, twigs</t>
  </si>
  <si>
    <t>minus weight of rocks</t>
  </si>
  <si>
    <t>weight of flask</t>
  </si>
  <si>
    <t>incubated wet weight w/o rocks</t>
  </si>
  <si>
    <t>dry  wt w/flask and rocks</t>
  </si>
  <si>
    <t>dry wt only</t>
  </si>
  <si>
    <t>gravimetric moisture on a dry mass basis</t>
  </si>
  <si>
    <t>WB 3E-C</t>
  </si>
  <si>
    <t>WB 4B-C</t>
  </si>
  <si>
    <t>WB 5B-C</t>
  </si>
  <si>
    <t>WB 6E-C</t>
  </si>
  <si>
    <t>WB 7E-C</t>
  </si>
  <si>
    <t>WB 8B-C</t>
  </si>
  <si>
    <t xml:space="preserve">TVA2B-C </t>
  </si>
  <si>
    <t xml:space="preserve">TVA3B-C </t>
  </si>
  <si>
    <t xml:space="preserve">TVA4E-C </t>
  </si>
  <si>
    <t>TVA5B-C</t>
  </si>
  <si>
    <t xml:space="preserve">TVA6E-C </t>
  </si>
  <si>
    <t xml:space="preserve">TVA8E-C </t>
  </si>
  <si>
    <t>incubated wet litter only</t>
  </si>
  <si>
    <t xml:space="preserve"> weight of aluminum foil</t>
  </si>
  <si>
    <t>dry wt w/aluminum foil and rocks</t>
  </si>
  <si>
    <t>non-incubated wet wt</t>
  </si>
  <si>
    <t>all wet litter + plastic bag</t>
  </si>
  <si>
    <t>plastic bag only</t>
  </si>
  <si>
    <t>total wet wt of sample collected</t>
  </si>
  <si>
    <t>WB 3E-L</t>
  </si>
  <si>
    <t>WB 4B-L</t>
  </si>
  <si>
    <t>WB 5B-L</t>
  </si>
  <si>
    <t>WB 6E-L</t>
  </si>
  <si>
    <t>WB 7E-L</t>
  </si>
  <si>
    <t>WB 8B-L</t>
  </si>
  <si>
    <t>TVA2B-L</t>
  </si>
  <si>
    <t>TVA3B-L</t>
  </si>
  <si>
    <t>TVA4E-L</t>
  </si>
  <si>
    <t>TVA5B-L</t>
  </si>
  <si>
    <t>TVA6E-L</t>
  </si>
  <si>
    <t>TVA8E-L</t>
  </si>
  <si>
    <t>dw_g</t>
  </si>
  <si>
    <t>ID_d14C</t>
  </si>
  <si>
    <t>H2O_grav_pct</t>
  </si>
  <si>
    <t>d14c</t>
  </si>
  <si>
    <t>d13c</t>
  </si>
  <si>
    <t>data on sheet 'arc-tme-ornl' summarizes contents of this workbook and is source for csv output; note that C data is taken from Swanston et al. 2005 (doi.org/10.1016/j.geoderma.2004.12.015)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</si>
</sst>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9"/>
      <name val="Geneva"/>
    </font>
    <font>
      <i/>
      <sz val="12"/>
      <color theme="1"/>
      <name val="Calibri"/>
      <scheme val="minor"/>
    </font>
    <font>
      <b/>
      <sz val="10"/>
      <name val="Geneva"/>
    </font>
    <font>
      <sz val="10"/>
      <name val="Geneva"/>
    </font>
    <font>
      <b/>
      <sz val="9"/>
      <name val="Geneva"/>
    </font>
    <font>
      <b/>
      <sz val="10"/>
      <name val="Arial"/>
      <family val="2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0" fillId="0" borderId="0" xfId="0" applyAlignment="1"/>
    <xf numFmtId="0" fontId="8" fillId="0" borderId="0" xfId="0" applyFont="1" applyAlignment="1"/>
    <xf numFmtId="164" fontId="6" fillId="0" borderId="0" xfId="0" applyNumberFormat="1" applyFont="1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2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Beem-Miller" refreshedDate="43930.936011805556" createdVersion="4" refreshedVersion="4" minRefreshableVersion="3" recordCount="156">
  <cacheSource type="worksheet">
    <worksheetSource ref="A1:R157" sheet="timeSeries"/>
  </cacheSource>
  <cacheFields count="18">
    <cacheField name="ID_beem-miller" numFmtId="0">
      <sharedItems/>
    </cacheField>
    <cacheField name="year" numFmtId="0">
      <sharedItems containsSemiMixedTypes="0" containsString="0" containsNumber="1" containsInteger="1" minValue="2004" maxValue="2004"/>
    </cacheField>
    <cacheField name="month" numFmtId="0">
      <sharedItems containsSemiMixedTypes="0" containsString="0" containsNumber="1" containsInteger="1" minValue="8" maxValue="9"/>
    </cacheField>
    <cacheField name="day" numFmtId="0">
      <sharedItems containsSemiMixedTypes="0" containsString="0" containsNumber="1" containsInteger="1" minValue="1" maxValue="31"/>
    </cacheField>
    <cacheField name="period" numFmtId="0">
      <sharedItems containsBlank="1" containsMixedTypes="1" containsNumber="1" containsInteger="1" minValue="1" maxValue="4" count="6">
        <n v="1"/>
        <n v="2"/>
        <n v="3"/>
        <m/>
        <s v=""/>
        <n v="4"/>
      </sharedItems>
    </cacheField>
    <cacheField name="timeCmtv_d" numFmtId="0">
      <sharedItems containsSemiMixedTypes="0" containsString="0" containsNumber="1" containsInteger="1" minValue="1" maxValue="15"/>
    </cacheField>
    <cacheField name="jarVol_L" numFmtId="165">
      <sharedItems containsSemiMixedTypes="0" containsString="0" containsNumber="1" minValue="0.81648999999999938" maxValue="0.90350278217821778"/>
    </cacheField>
    <cacheField name="sampleID_trimmed" numFmtId="165">
      <sharedItems/>
    </cacheField>
    <cacheField name="sampleID" numFmtId="0">
      <sharedItems count="12">
        <s v="WB-3E-C"/>
        <s v="WB-4B-C"/>
        <s v="WB-5B-C"/>
        <s v="WB-6E-C"/>
        <s v="WB-7E-C"/>
        <s v="WB-8B-C"/>
        <s v="TVA-2B-C "/>
        <s v="TVA-3B-C "/>
        <s v="TVA-4E-C "/>
        <s v="TVA-5B-C"/>
        <s v="TVA-6E-C "/>
        <s v="TVA-8E-C "/>
      </sharedItems>
    </cacheField>
    <cacheField name="volume_ml" numFmtId="0">
      <sharedItems containsString="0" containsBlank="1" containsNumber="1" containsInteger="1" minValue="1" maxValue="3"/>
    </cacheField>
    <cacheField name="time_pctDay" numFmtId="0">
      <sharedItems containsString="0" containsBlank="1" containsNumber="1" minValue="0.51249999999999996" maxValue="0.72569444444444398"/>
    </cacheField>
    <cacheField name="area_LiCor" numFmtId="0">
      <sharedItems containsString="0" containsBlank="1" containsNumber="1" minValue="478.58" maxValue="4985.7"/>
    </cacheField>
    <cacheField name="slope" numFmtId="0">
      <sharedItems containsString="0" containsBlank="1" containsNumber="1" minValue="1.1999999999999999E-3" maxValue="1.4E-3"/>
    </cacheField>
    <cacheField name="intercept" numFmtId="0">
      <sharedItems containsString="0" containsBlank="1" containsNumber="1" minValue="-0.41570000000000001" maxValue="0.19"/>
    </cacheField>
    <cacheField name="CO2_pct" numFmtId="0">
      <sharedItems containsMixedTypes="1" containsNumber="1" minValue="0.5492959999999999" maxValue="5.1857700000000007"/>
    </cacheField>
    <cacheField name="CO2_mg" numFmtId="2">
      <sharedItems containsMixedTypes="1" containsNumber="1" minValue="0.43785184795595061" maxValue="4.150009906795769"/>
    </cacheField>
    <cacheField name="T_lab_C" numFmtId="0">
      <sharedItems containsString="0" containsBlank="1" containsNumber="1" minValue="19.899999999999999" maxValue="22"/>
    </cacheField>
    <cacheField name="change_CO2_pct" numFmtId="0">
      <sharedItems containsBlank="1" containsMixedTypes="1" containsNumber="1" minValue="-4.2805100000000005" maxValue="2.3882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WB 3E C"/>
    <n v="2004"/>
    <n v="8"/>
    <n v="27"/>
    <x v="0"/>
    <n v="1"/>
    <n v="0.87917959341723062"/>
    <s v="WB-3E-C"/>
    <x v="0"/>
    <n v="3"/>
    <n v="0.68055555555555547"/>
    <n v="2123.9"/>
    <n v="1.1999999999999999E-3"/>
    <n v="4.1999999999999997E-3"/>
    <n v="0.85096000000000005"/>
    <n v="0.7052475916441947"/>
    <m/>
    <m/>
  </r>
  <r>
    <s v="WB 4B C"/>
    <n v="2004"/>
    <n v="8"/>
    <n v="27"/>
    <x v="0"/>
    <n v="1"/>
    <n v="0.84883525375939861"/>
    <s v="WB-4B-C"/>
    <x v="1"/>
    <n v="2"/>
    <n v="0.68194444444444446"/>
    <n v="2216.4"/>
    <n v="1.1999999999999999E-3"/>
    <n v="4.1999999999999997E-3"/>
    <n v="1.3319399999999999"/>
    <n v="1.065768638099893"/>
    <m/>
    <m/>
  </r>
  <r>
    <s v="WB 5B C"/>
    <n v="2004"/>
    <n v="8"/>
    <n v="27"/>
    <x v="0"/>
    <n v="1"/>
    <n v="0.90350278217821778"/>
    <s v="WB-5B-C"/>
    <x v="2"/>
    <n v="2"/>
    <n v="0.68333333333333324"/>
    <n v="2457.8000000000002"/>
    <n v="1.1999999999999999E-3"/>
    <n v="4.1999999999999997E-3"/>
    <n v="1.47678"/>
    <n v="1.2577669036031087"/>
    <m/>
    <m/>
  </r>
  <r>
    <s v="WB 6E C"/>
    <n v="2004"/>
    <n v="8"/>
    <n v="27"/>
    <x v="0"/>
    <n v="1"/>
    <n v="0.84358970065481675"/>
    <s v="WB-6E-C"/>
    <x v="3"/>
    <n v="2"/>
    <n v="0.68472222222222223"/>
    <n v="2044.9"/>
    <n v="1.1999999999999999E-3"/>
    <n v="4.1999999999999997E-3"/>
    <n v="1.2290399999999999"/>
    <n v="0.97735458062236158"/>
    <m/>
    <m/>
  </r>
  <r>
    <s v="WB 7E C"/>
    <n v="2004"/>
    <n v="8"/>
    <n v="27"/>
    <x v="0"/>
    <n v="1"/>
    <n v="0.90097950592885423"/>
    <s v="WB-7E-C"/>
    <x v="4"/>
    <n v="2"/>
    <n v="0.68611111111111101"/>
    <n v="2320.6999999999998"/>
    <n v="1.1999999999999999E-3"/>
    <n v="4.1999999999999997E-3"/>
    <n v="1.3945199999999998"/>
    <n v="1.1843894385666762"/>
    <m/>
    <m/>
  </r>
  <r>
    <s v="WB 8B C"/>
    <n v="2004"/>
    <n v="8"/>
    <n v="27"/>
    <x v="0"/>
    <n v="1"/>
    <n v="0.85318028328611917"/>
    <s v="WB-8B-C"/>
    <x v="5"/>
    <n v="3"/>
    <n v="0.6875"/>
    <n v="2611.6999999999998"/>
    <n v="1.1999999999999999E-3"/>
    <n v="4.1999999999999997E-3"/>
    <n v="1.0460799999999999"/>
    <n v="0.84131876522875526"/>
    <m/>
    <m/>
  </r>
  <r>
    <s v="TVA 2B C"/>
    <n v="2004"/>
    <n v="8"/>
    <n v="27"/>
    <x v="0"/>
    <n v="1"/>
    <n v="0.8766205217391303"/>
    <s v="TVA-2B-C"/>
    <x v="6"/>
    <n v="2"/>
    <n v="0.68888888888888899"/>
    <n v="1573"/>
    <n v="1.1999999999999999E-3"/>
    <n v="4.1999999999999997E-3"/>
    <n v="0.94589999999999996"/>
    <n v="0.78164890735557679"/>
    <m/>
    <m/>
  </r>
  <r>
    <s v="TVA 3B C"/>
    <n v="2004"/>
    <n v="8"/>
    <n v="27"/>
    <x v="0"/>
    <n v="1"/>
    <n v="0.84358970065481675"/>
    <s v="TVA-3B-C"/>
    <x v="7"/>
    <n v="2"/>
    <n v="0.69027777777777777"/>
    <n v="1127.9000000000001"/>
    <n v="1.1999999999999999E-3"/>
    <n v="4.1999999999999997E-3"/>
    <n v="0.67884"/>
    <n v="0.53982570421604181"/>
    <m/>
    <m/>
  </r>
  <r>
    <s v="TVA 4E C"/>
    <n v="2004"/>
    <n v="8"/>
    <n v="27"/>
    <x v="0"/>
    <n v="1"/>
    <n v="0.81648999999999938"/>
    <s v="TVA-4E-C"/>
    <x v="8"/>
    <n v="2"/>
    <n v="0.69166666666666698"/>
    <n v="2809"/>
    <n v="1.1999999999999999E-3"/>
    <n v="4.1999999999999997E-3"/>
    <n v="1.6874999999999998"/>
    <n v="1.2988216460737805"/>
    <m/>
    <m/>
  </r>
  <r>
    <s v="TVA 5B C"/>
    <n v="2004"/>
    <n v="8"/>
    <n v="27"/>
    <x v="0"/>
    <n v="1"/>
    <n v="0.90174231454005915"/>
    <s v="TVA-5B-C"/>
    <x v="9"/>
    <n v="2"/>
    <n v="0.69305555555555498"/>
    <n v="2000.1"/>
    <n v="1.1999999999999999E-3"/>
    <n v="4.1999999999999997E-3"/>
    <n v="1.2021599999999999"/>
    <n v="1.0218792705948208"/>
    <m/>
    <m/>
  </r>
  <r>
    <s v="TVA 6E C"/>
    <n v="2004"/>
    <n v="8"/>
    <n v="27"/>
    <x v="0"/>
    <n v="1"/>
    <n v="0.82377173394495395"/>
    <s v="TVA-6E-C"/>
    <x v="10"/>
    <n v="2"/>
    <n v="0.69444444444444398"/>
    <n v="2440.6999999999998"/>
    <n v="1.1999999999999999E-3"/>
    <n v="4.1999999999999997E-3"/>
    <n v="1.4665199999999998"/>
    <n v="1.1388059890441995"/>
    <m/>
    <m/>
  </r>
  <r>
    <s v="TVA 8E C"/>
    <n v="2004"/>
    <n v="8"/>
    <n v="27"/>
    <x v="0"/>
    <n v="1"/>
    <n v="0.8628167016205911"/>
    <s v="TVA-8E-C"/>
    <x v="11"/>
    <n v="2"/>
    <n v="0.69583333333333297"/>
    <n v="2023.3"/>
    <n v="1.1999999999999999E-3"/>
    <n v="4.1999999999999997E-3"/>
    <n v="1.2160799999999998"/>
    <n v="0.989089418167868"/>
    <m/>
    <m/>
  </r>
  <r>
    <s v="WB 3E C"/>
    <n v="2004"/>
    <n v="8"/>
    <n v="28"/>
    <x v="0"/>
    <n v="2"/>
    <n v="0.87917959341723062"/>
    <s v="WB-3E-C"/>
    <x v="0"/>
    <n v="2"/>
    <n v="0.68055555555555547"/>
    <n v="2398.6999999999998"/>
    <n v="1.2999999999999999E-3"/>
    <n v="7.4200000000000002E-2"/>
    <n v="1.5962549999999998"/>
    <n v="1.3229235150888452"/>
    <m/>
    <n v="0.74529499999999971"/>
  </r>
  <r>
    <s v="WB 4B C"/>
    <n v="2004"/>
    <n v="8"/>
    <n v="28"/>
    <x v="0"/>
    <n v="2"/>
    <n v="0.84883525375939861"/>
    <s v="WB-4B-C"/>
    <x v="1"/>
    <n v="2"/>
    <n v="0.68194444444444446"/>
    <n v="3796.1"/>
    <n v="1.2999999999999999E-3"/>
    <n v="7.4200000000000002E-2"/>
    <n v="2.5045649999999999"/>
    <n v="2.0040593638472139"/>
    <m/>
    <n v="1.172625"/>
  </r>
  <r>
    <s v="WB 5B C"/>
    <n v="2004"/>
    <n v="8"/>
    <n v="28"/>
    <x v="0"/>
    <n v="2"/>
    <n v="0.90350278217821778"/>
    <s v="WB-5B-C"/>
    <x v="2"/>
    <n v="2"/>
    <n v="0.68333333333333324"/>
    <n v="4302.3"/>
    <n v="1.2999999999999999E-3"/>
    <n v="7.4200000000000002E-2"/>
    <n v="2.8335950000000003"/>
    <n v="2.4133601546711434"/>
    <m/>
    <n v="1.3568150000000003"/>
  </r>
  <r>
    <s v="WB 6E C"/>
    <n v="2004"/>
    <n v="8"/>
    <n v="28"/>
    <x v="0"/>
    <n v="2"/>
    <n v="0.84358970065481675"/>
    <s v="WB-6E-C"/>
    <x v="3"/>
    <n v="2"/>
    <n v="0.68472222222222223"/>
    <n v="3357"/>
    <n v="1.2999999999999999E-3"/>
    <n v="7.4200000000000002E-2"/>
    <n v="2.21915"/>
    <n v="1.7647077536842686"/>
    <m/>
    <n v="0.99011000000000005"/>
  </r>
  <r>
    <s v="WB 7E C"/>
    <n v="2004"/>
    <n v="8"/>
    <n v="28"/>
    <x v="0"/>
    <n v="2"/>
    <n v="0.90097950592885423"/>
    <s v="WB-7E-C"/>
    <x v="4"/>
    <n v="2"/>
    <n v="0.68611111111111101"/>
    <n v="4020.4"/>
    <n v="1.2999999999999999E-3"/>
    <n v="7.4200000000000002E-2"/>
    <n v="2.65036"/>
    <n v="2.2509956059429603"/>
    <m/>
    <n v="1.2558400000000003"/>
  </r>
  <r>
    <s v="WB 8B C"/>
    <n v="2004"/>
    <n v="8"/>
    <n v="28"/>
    <x v="0"/>
    <n v="2"/>
    <n v="0.85318028328611917"/>
    <s v="WB-8B-C"/>
    <x v="5"/>
    <n v="2"/>
    <n v="0.6875"/>
    <n v="2955"/>
    <n v="1.2999999999999999E-3"/>
    <n v="7.4200000000000002E-2"/>
    <n v="1.9578499999999999"/>
    <n v="1.5746175670150644"/>
    <m/>
    <n v="0.91176999999999997"/>
  </r>
  <r>
    <s v="TVA 2B C"/>
    <n v="2004"/>
    <n v="8"/>
    <n v="28"/>
    <x v="0"/>
    <n v="2"/>
    <n v="0.8766205217391303"/>
    <s v="TVA-2B-C"/>
    <x v="6"/>
    <n v="2"/>
    <n v="0.68888888888888899"/>
    <n v="2864.3"/>
    <n v="1.2999999999999999E-3"/>
    <n v="7.4200000000000002E-2"/>
    <n v="1.898895"/>
    <n v="1.5691608012823428"/>
    <m/>
    <n v="0.95299500000000004"/>
  </r>
  <r>
    <s v="TVA 3B C"/>
    <n v="2004"/>
    <n v="8"/>
    <n v="28"/>
    <x v="0"/>
    <n v="2"/>
    <n v="0.84358970065481675"/>
    <s v="TVA-3B-C"/>
    <x v="7"/>
    <n v="2"/>
    <n v="0.69027777777777777"/>
    <n v="1836.5"/>
    <n v="1.2999999999999999E-3"/>
    <n v="7.4200000000000002E-2"/>
    <n v="1.2308249999999998"/>
    <n v="0.97877404453436656"/>
    <m/>
    <n v="0.55198499999999984"/>
  </r>
  <r>
    <s v="TVA 4E C"/>
    <n v="2004"/>
    <n v="8"/>
    <n v="28"/>
    <x v="0"/>
    <n v="2"/>
    <n v="0.81648999999999938"/>
    <s v="TVA-4E-C"/>
    <x v="8"/>
    <n v="2"/>
    <n v="0.69166666666666698"/>
    <n v="4985.7"/>
    <n v="1.2999999999999999E-3"/>
    <n v="7.4200000000000002E-2"/>
    <n v="3.2778049999999999"/>
    <n v="2.5228350136941442"/>
    <m/>
    <n v="1.5903050000000001"/>
  </r>
  <r>
    <s v="TVA 5B C"/>
    <n v="2004"/>
    <n v="8"/>
    <n v="28"/>
    <x v="0"/>
    <n v="2"/>
    <n v="0.90174231454005915"/>
    <s v="TVA-5B-C"/>
    <x v="9"/>
    <n v="2"/>
    <n v="0.69305555555555498"/>
    <n v="3378.8"/>
    <n v="1.2999999999999999E-3"/>
    <n v="7.4200000000000002E-2"/>
    <n v="2.23332"/>
    <n v="1.8984023862088448"/>
    <m/>
    <n v="1.0311600000000001"/>
  </r>
  <r>
    <s v="TVA 6E C"/>
    <n v="2004"/>
    <n v="8"/>
    <n v="28"/>
    <x v="0"/>
    <n v="2"/>
    <n v="0.82377173394495395"/>
    <s v="TVA-6E-C"/>
    <x v="10"/>
    <n v="2"/>
    <n v="0.69444444444444398"/>
    <n v="4136.1000000000004"/>
    <n v="1.2999999999999999E-3"/>
    <n v="7.4200000000000002E-2"/>
    <n v="2.7255650000000005"/>
    <n v="2.1165001128721426"/>
    <m/>
    <n v="1.2590450000000006"/>
  </r>
  <r>
    <s v="TVA 8E C"/>
    <n v="2004"/>
    <n v="8"/>
    <n v="28"/>
    <x v="0"/>
    <n v="2"/>
    <n v="0.8628167016205911"/>
    <s v="TVA-8E-C"/>
    <x v="11"/>
    <n v="2"/>
    <n v="0.69583333333333297"/>
    <n v="3413.9"/>
    <n v="1.2999999999999999E-3"/>
    <n v="7.4200000000000002E-2"/>
    <n v="2.256135"/>
    <n v="1.8350102414793132"/>
    <m/>
    <n v="1.0400550000000002"/>
  </r>
  <r>
    <s v="WB 3E C"/>
    <n v="2004"/>
    <n v="8"/>
    <n v="29"/>
    <x v="0"/>
    <n v="3"/>
    <n v="0.87917959341723062"/>
    <s v="WB-3E-C"/>
    <x v="0"/>
    <n v="2"/>
    <n v="0.69305555555555554"/>
    <n v="3236.2"/>
    <n v="1.4E-3"/>
    <n v="-0.41570000000000001"/>
    <n v="2.0574899999999996"/>
    <n v="1.7051798760599952"/>
    <m/>
    <n v="0.46123499999999984"/>
  </r>
  <r>
    <s v="WB 4B C"/>
    <n v="2004"/>
    <n v="8"/>
    <n v="29"/>
    <x v="0"/>
    <n v="3"/>
    <n v="0.84883525375939861"/>
    <s v="WB-4B-C"/>
    <x v="1"/>
    <n v="2"/>
    <n v="0.69444444444444453"/>
    <n v="4968.3999999999996"/>
    <n v="1.4E-3"/>
    <n v="-0.41570000000000001"/>
    <n v="3.2700299999999998"/>
    <n v="2.6165558656139107"/>
    <m/>
    <n v="0.76546499999999984"/>
  </r>
  <r>
    <s v="WB 5B C"/>
    <n v="2004"/>
    <n v="8"/>
    <n v="29"/>
    <x v="0"/>
    <n v="3"/>
    <n v="0.90350278217821778"/>
    <s v="WB-5B-C"/>
    <x v="2"/>
    <n v="1"/>
    <n v="0.69583333333333397"/>
    <n v="2724.6"/>
    <n v="1.4E-3"/>
    <n v="-0.41570000000000001"/>
    <n v="3.3987399999999997"/>
    <n v="2.8946916168637373"/>
    <m/>
    <n v="0.56514499999999934"/>
  </r>
  <r>
    <s v="WB 6E C"/>
    <n v="2004"/>
    <n v="8"/>
    <n v="29"/>
    <x v="0"/>
    <n v="3"/>
    <n v="0.84358970065481675"/>
    <s v="WB-6E-C"/>
    <x v="3"/>
    <n v="1"/>
    <n v="0.69722222222222296"/>
    <n v="2255"/>
    <n v="1.4E-3"/>
    <n v="-0.41570000000000001"/>
    <n v="2.7412999999999998"/>
    <n v="2.1799307686162206"/>
    <m/>
    <n v="0.52214999999999989"/>
  </r>
  <r>
    <s v="WB 7E C"/>
    <n v="2004"/>
    <n v="8"/>
    <n v="29"/>
    <x v="0"/>
    <n v="3"/>
    <n v="0.90097950592885423"/>
    <s v="WB-7E-C"/>
    <x v="4"/>
    <n v="1"/>
    <n v="0.69861111111111196"/>
    <n v="2951.8"/>
    <n v="1.4E-3"/>
    <n v="-0.41570000000000001"/>
    <n v="3.7168200000000002"/>
    <n v="3.1567581340198738"/>
    <m/>
    <n v="1.0664600000000002"/>
  </r>
  <r>
    <s v="WB 8B C"/>
    <n v="2004"/>
    <n v="8"/>
    <n v="29"/>
    <x v="0"/>
    <n v="3"/>
    <n v="0.85318028328611917"/>
    <s v="WB-8B-C"/>
    <x v="5"/>
    <n v="1"/>
    <n v="0.70000000000000095"/>
    <n v="2150.8000000000002"/>
    <n v="1.4E-3"/>
    <n v="-0.41570000000000001"/>
    <n v="2.5954199999999998"/>
    <n v="2.0873886793075256"/>
    <m/>
    <n v="0.63756999999999997"/>
  </r>
  <r>
    <s v="TVA 2B C"/>
    <n v="2004"/>
    <n v="8"/>
    <n v="29"/>
    <x v="0"/>
    <n v="3"/>
    <n v="0.8766205217391303"/>
    <s v="TVA-2B-C"/>
    <x v="6"/>
    <n v="1"/>
    <n v="0.70138888888888995"/>
    <n v="1948.2"/>
    <n v="1.4E-3"/>
    <n v="-0.41570000000000001"/>
    <n v="2.3117799999999997"/>
    <n v="1.9103502601189084"/>
    <m/>
    <n v="0.41288499999999972"/>
  </r>
  <r>
    <s v="TVA 3B C"/>
    <n v="2004"/>
    <n v="8"/>
    <n v="29"/>
    <x v="0"/>
    <n v="3"/>
    <n v="0.84358970065481675"/>
    <s v="TVA-3B-C"/>
    <x v="7"/>
    <n v="1"/>
    <n v="0.70277777777777894"/>
    <n v="1153"/>
    <n v="1.4E-3"/>
    <n v="-0.41570000000000001"/>
    <n v="1.1985000000000001"/>
    <n v="0.95306862663208725"/>
    <m/>
    <n v="-3.2324999999999715E-2"/>
  </r>
  <r>
    <s v="TVA 4E C"/>
    <n v="2004"/>
    <n v="8"/>
    <n v="29"/>
    <x v="0"/>
    <n v="3"/>
    <n v="0.81648999999999938"/>
    <s v="TVA-4E-C"/>
    <x v="8"/>
    <n v="1"/>
    <n v="0.70416666666666705"/>
    <n v="3209.2"/>
    <n v="1.4E-3"/>
    <n v="-0.41570000000000001"/>
    <n v="4.0771799999999994"/>
    <n v="3.1380916378898345"/>
    <m/>
    <n v="0.7993749999999995"/>
  </r>
  <r>
    <s v="TVA 5B C"/>
    <n v="2004"/>
    <n v="8"/>
    <n v="29"/>
    <x v="0"/>
    <n v="3"/>
    <n v="0.90174231454005915"/>
    <s v="TVA-5B-C"/>
    <x v="9"/>
    <n v="1"/>
    <n v="0.70694444444444504"/>
    <n v="2269.4"/>
    <n v="1.4E-3"/>
    <n v="-0.41570000000000001"/>
    <n v="2.76146"/>
    <n v="2.347340396100996"/>
    <m/>
    <n v="0.52814000000000005"/>
  </r>
  <r>
    <s v="TVA 6E C"/>
    <n v="2004"/>
    <n v="8"/>
    <n v="29"/>
    <x v="0"/>
    <n v="3"/>
    <n v="0.82377173394495395"/>
    <s v="TVA-6E-C"/>
    <x v="10"/>
    <n v="1"/>
    <n v="0.70833333333333404"/>
    <n v="2680.2"/>
    <n v="1.4E-3"/>
    <n v="-0.41570000000000001"/>
    <n v="3.3365799999999997"/>
    <n v="2.5909754295373366"/>
    <m/>
    <n v="0.6110149999999992"/>
  </r>
  <r>
    <s v="TVA 8E C"/>
    <n v="2004"/>
    <n v="8"/>
    <n v="29"/>
    <x v="0"/>
    <n v="3"/>
    <n v="0.8628167016205911"/>
    <s v="TVA-8E-C"/>
    <x v="11"/>
    <n v="1"/>
    <n v="0.70972222222222303"/>
    <n v="2285.6"/>
    <n v="1.4E-3"/>
    <n v="-0.41570000000000001"/>
    <n v="2.7841399999999998"/>
    <n v="2.264459092081021"/>
    <m/>
    <n v="0.52800499999999984"/>
  </r>
  <r>
    <s v="WB 3E C"/>
    <n v="2004"/>
    <n v="8"/>
    <n v="30"/>
    <x v="0"/>
    <n v="4"/>
    <n v="0.87917959341723062"/>
    <s v="WB-3E-C"/>
    <x v="0"/>
    <n v="1"/>
    <n v="0.69305555555555554"/>
    <n v="2208"/>
    <n v="1.1999999999999999E-3"/>
    <n v="7.5899999999999995E-2"/>
    <n v="2.7254999999999998"/>
    <n v="2.2488442279881253"/>
    <n v="21.9"/>
    <n v="0.66801000000000021"/>
  </r>
  <r>
    <s v="WB 4B C"/>
    <n v="2004"/>
    <n v="8"/>
    <n v="30"/>
    <x v="0"/>
    <n v="4"/>
    <n v="0.84883525375939861"/>
    <s v="WB-4B-C"/>
    <x v="1"/>
    <n v="1"/>
    <n v="0.69444444444444453"/>
    <n v="3019.6"/>
    <n v="1.1999999999999999E-3"/>
    <n v="7.5899999999999995E-2"/>
    <n v="3.6994199999999995"/>
    <n v="2.9470848299695938"/>
    <n v="21.9"/>
    <n v="0.42938999999999972"/>
  </r>
  <r>
    <s v="WB 5B C"/>
    <n v="2004"/>
    <n v="8"/>
    <n v="30"/>
    <x v="0"/>
    <n v="4"/>
    <n v="0.90350278217821778"/>
    <s v="WB-5B-C"/>
    <x v="2"/>
    <n v="1"/>
    <n v="0.69583333333333397"/>
    <n v="3451.4"/>
    <n v="1.1999999999999999E-3"/>
    <n v="7.5899999999999995E-2"/>
    <n v="4.2175799999999999"/>
    <n v="3.5762544548195714"/>
    <n v="21.9"/>
    <n v="0.81884000000000023"/>
  </r>
  <r>
    <s v="WB 6E C"/>
    <n v="2004"/>
    <n v="8"/>
    <n v="30"/>
    <x v="0"/>
    <n v="4"/>
    <n v="0.84358970065481675"/>
    <s v="WB-6E-C"/>
    <x v="3"/>
    <n v="1"/>
    <n v="0.69722222222222296"/>
    <n v="2780.8"/>
    <n v="1.1999999999999999E-3"/>
    <n v="7.5899999999999995E-2"/>
    <n v="3.4128599999999998"/>
    <n v="2.7019999121555562"/>
    <n v="21.9"/>
    <n v="0.67155999999999993"/>
  </r>
  <r>
    <s v="WB 7E C"/>
    <n v="2004"/>
    <n v="8"/>
    <n v="30"/>
    <x v="0"/>
    <n v="4"/>
    <n v="0.90097950592885423"/>
    <s v="WB-7E-C"/>
    <x v="4"/>
    <n v="1"/>
    <n v="0.69861111111111196"/>
    <n v="3379.3"/>
    <n v="1.1999999999999999E-3"/>
    <n v="7.5899999999999995E-2"/>
    <n v="4.1310599999999997"/>
    <n v="3.4931079217158678"/>
    <n v="21.9"/>
    <n v="0.4142399999999995"/>
  </r>
  <r>
    <s v="WB 8B C"/>
    <n v="2004"/>
    <n v="8"/>
    <n v="30"/>
    <x v="0"/>
    <n v="4"/>
    <n v="0.85318028328611917"/>
    <s v="WB-8B-C"/>
    <x v="5"/>
    <n v="1"/>
    <n v="0.70000000000000095"/>
    <n v="2327.1999999999998"/>
    <n v="1.1999999999999999E-3"/>
    <n v="7.5899999999999995E-2"/>
    <n v="2.8685399999999994"/>
    <n v="2.2968747270290732"/>
    <n v="21.9"/>
    <n v="0.27311999999999959"/>
  </r>
  <r>
    <s v="TVA 2B C"/>
    <n v="2004"/>
    <n v="8"/>
    <n v="30"/>
    <x v="0"/>
    <n v="4"/>
    <n v="0.8766205217391303"/>
    <s v="TVA-2B-C"/>
    <x v="6"/>
    <n v="1"/>
    <n v="0.70138888888888995"/>
    <n v="2552.9"/>
    <n v="1.1999999999999999E-3"/>
    <n v="7.5899999999999995E-2"/>
    <n v="3.1393799999999996"/>
    <n v="2.582801969617365"/>
    <n v="21.9"/>
    <n v="0.82759999999999989"/>
  </r>
  <r>
    <s v="TVA 3B C"/>
    <n v="2004"/>
    <n v="8"/>
    <n v="30"/>
    <x v="0"/>
    <n v="4"/>
    <n v="0.84358970065481675"/>
    <s v="TVA-3B-C"/>
    <x v="7"/>
    <n v="1"/>
    <n v="0.70277777777777894"/>
    <n v="1400.5"/>
    <n v="1.1999999999999999E-3"/>
    <n v="7.5899999999999995E-2"/>
    <n v="1.7565"/>
    <n v="1.390640942113428"/>
    <n v="21.9"/>
    <n v="0.55799999999999983"/>
  </r>
  <r>
    <s v="TVA 4E C"/>
    <n v="2004"/>
    <n v="8"/>
    <n v="30"/>
    <x v="1"/>
    <n v="4"/>
    <n v="0.81648999999999938"/>
    <s v="TVA-4E-C"/>
    <x v="8"/>
    <n v="1"/>
    <n v="0.70416666666666705"/>
    <n v="1249.8"/>
    <n v="1.1999999999999999E-3"/>
    <n v="7.5899999999999995E-2"/>
    <n v="1.5756599999999998"/>
    <n v="1.2073938755092117"/>
    <n v="21.9"/>
    <n v="-2.5015199999999993"/>
  </r>
  <r>
    <s v="TVA 5B C"/>
    <n v="2004"/>
    <n v="8"/>
    <n v="30"/>
    <x v="0"/>
    <n v="4"/>
    <n v="0.90174231454005915"/>
    <s v="TVA-5B-C"/>
    <x v="9"/>
    <n v="1"/>
    <n v="0.70555555555555605"/>
    <n v="2763.1"/>
    <n v="1.1999999999999999E-3"/>
    <n v="7.5899999999999995E-2"/>
    <n v="3.3916199999999996"/>
    <n v="2.8702863494386435"/>
    <n v="21.9"/>
    <n v="0.63015999999999961"/>
  </r>
  <r>
    <s v="TVA 6E C"/>
    <n v="2004"/>
    <n v="8"/>
    <n v="30"/>
    <x v="0"/>
    <n v="4"/>
    <n v="0.82377173394495395"/>
    <s v="TVA-6E-C"/>
    <x v="10"/>
    <n v="1"/>
    <n v="0.70694444444444504"/>
    <n v="3301.5"/>
    <n v="1.1999999999999999E-3"/>
    <n v="7.5899999999999995E-2"/>
    <n v="4.0377000000000001"/>
    <n v="3.1215947541732914"/>
    <n v="21.9"/>
    <n v="0.70112000000000041"/>
  </r>
  <r>
    <s v="TVA 8E C"/>
    <n v="2004"/>
    <n v="8"/>
    <n v="30"/>
    <x v="0"/>
    <n v="4"/>
    <n v="0.8628167016205911"/>
    <s v="TVA-8E-C"/>
    <x v="11"/>
    <n v="1"/>
    <n v="0.70833333333333404"/>
    <n v="2499.1"/>
    <n v="1.1999999999999999E-3"/>
    <n v="7.5899999999999995E-2"/>
    <n v="3.0748199999999994"/>
    <n v="2.4898536971819216"/>
    <n v="21.9"/>
    <n v="0.29067999999999961"/>
  </r>
  <r>
    <s v="WB 3E C"/>
    <n v="2004"/>
    <n v="8"/>
    <n v="31"/>
    <x v="0"/>
    <n v="5"/>
    <n v="0.87917959341723062"/>
    <s v="WB-3E-C"/>
    <x v="0"/>
    <n v="1"/>
    <n v="0.6958333333333333"/>
    <n v="2223.1999999999998"/>
    <n v="1.2999999999999999E-3"/>
    <n v="0.19"/>
    <n v="3.0801599999999998"/>
    <n v="2.5530736888791012"/>
    <n v="20.560000000000002"/>
    <n v="0.35465999999999998"/>
  </r>
  <r>
    <s v="WB 4B C"/>
    <n v="2004"/>
    <n v="8"/>
    <n v="31"/>
    <x v="0"/>
    <n v="5"/>
    <n v="0.84883525375939861"/>
    <s v="WB-4B-C"/>
    <x v="1"/>
    <n v="1"/>
    <n v="0.6972222222222223"/>
    <n v="3842.9"/>
    <n v="1.2999999999999999E-3"/>
    <n v="0.19"/>
    <n v="5.1857700000000007"/>
    <n v="4.150009906795769"/>
    <n v="20.560000000000002"/>
    <n v="1.4863500000000012"/>
  </r>
  <r>
    <s v="WB 5B C"/>
    <n v="2004"/>
    <n v="8"/>
    <n v="31"/>
    <x v="1"/>
    <n v="5"/>
    <n v="0.90350278217821778"/>
    <s v="WB-5B-C"/>
    <x v="2"/>
    <n v="1"/>
    <n v="0.69861111111111107"/>
    <n v="993.8"/>
    <n v="1.2999999999999999E-3"/>
    <n v="0.19"/>
    <n v="1.4819399999999998"/>
    <n v="1.2623290852230673"/>
    <n v="20.560000000000002"/>
    <n v="-2.7356400000000001"/>
  </r>
  <r>
    <s v="WB 6E C"/>
    <n v="2004"/>
    <n v="8"/>
    <n v="31"/>
    <x v="0"/>
    <n v="5"/>
    <n v="0.84358970065481675"/>
    <s v="WB-6E-C"/>
    <x v="3"/>
    <n v="1"/>
    <n v="0.70000000000000007"/>
    <n v="3382.4"/>
    <n v="1.2999999999999999E-3"/>
    <n v="0.19"/>
    <n v="4.5871200000000005"/>
    <n v="3.6482437275723343"/>
    <n v="20.560000000000002"/>
    <n v="1.1742600000000007"/>
  </r>
  <r>
    <s v="WB 7E C"/>
    <n v="2004"/>
    <n v="8"/>
    <n v="31"/>
    <x v="1"/>
    <n v="5"/>
    <n v="0.90097950592885423"/>
    <s v="WB-7E-C"/>
    <x v="4"/>
    <n v="1"/>
    <n v="0.70138888888888884"/>
    <n v="1081"/>
    <n v="1.2999999999999999E-3"/>
    <n v="0.19"/>
    <n v="1.5952999999999999"/>
    <n v="1.3550950278585447"/>
    <n v="20.560000000000002"/>
    <n v="-2.5357599999999998"/>
  </r>
  <r>
    <s v="WB 8B C"/>
    <n v="2004"/>
    <n v="8"/>
    <n v="31"/>
    <x v="0"/>
    <n v="5"/>
    <n v="0.85318028328611917"/>
    <s v="WB-8B-C"/>
    <x v="5"/>
    <n v="1"/>
    <n v="0.70277777777777783"/>
    <n v="2722.6"/>
    <n v="1.2999999999999999E-3"/>
    <n v="0.19"/>
    <n v="3.7293799999999995"/>
    <n v="2.9997835695184385"/>
    <n v="20.560000000000002"/>
    <n v="0.86084000000000005"/>
  </r>
  <r>
    <s v="TVA 2B C"/>
    <n v="2004"/>
    <n v="8"/>
    <n v="31"/>
    <x v="0"/>
    <n v="5"/>
    <n v="0.8766205217391303"/>
    <s v="TVA-2B-C"/>
    <x v="6"/>
    <n v="1"/>
    <n v="0.70416666666666661"/>
    <n v="2885"/>
    <n v="1.2999999999999999E-3"/>
    <n v="0.19"/>
    <n v="3.9404999999999997"/>
    <n v="3.2566826410460306"/>
    <n v="20.560000000000002"/>
    <n v="0.80112000000000005"/>
  </r>
  <r>
    <s v="TVA 3B C"/>
    <n v="2004"/>
    <n v="8"/>
    <n v="31"/>
    <x v="0"/>
    <n v="5"/>
    <n v="0.84358970065481675"/>
    <s v="TVA-3B-C"/>
    <x v="7"/>
    <n v="1"/>
    <n v="0.7055555555555556"/>
    <n v="1568.5"/>
    <n v="1.2999999999999999E-3"/>
    <n v="0.19"/>
    <n v="2.22905"/>
    <n v="1.7728155533199721"/>
    <n v="20.560000000000002"/>
    <n v="0.47255000000000003"/>
  </r>
  <r>
    <s v="TVA 4E C"/>
    <n v="2004"/>
    <n v="8"/>
    <n v="31"/>
    <x v="1"/>
    <n v="5"/>
    <n v="0.81648999999999938"/>
    <s v="TVA-4E-C"/>
    <x v="8"/>
    <n v="1"/>
    <n v="0.70694444444444438"/>
    <n v="2132"/>
    <n v="1.2999999999999999E-3"/>
    <n v="0.19"/>
    <n v="2.9615999999999998"/>
    <n v="2.2797632347155701"/>
    <n v="20.560000000000002"/>
    <n v="1.3859399999999999"/>
  </r>
  <r>
    <s v="TVA 5B C"/>
    <n v="2004"/>
    <n v="8"/>
    <n v="31"/>
    <x v="0"/>
    <n v="5"/>
    <n v="0.90174231454005915"/>
    <s v="TVA-5B-C"/>
    <x v="9"/>
    <n v="1"/>
    <n v="0.70833333333333337"/>
    <n v="3400.1"/>
    <n v="1.2999999999999999E-3"/>
    <n v="0.19"/>
    <n v="4.6101299999999998"/>
    <n v="3.9192962846802195"/>
    <n v="20.560000000000002"/>
    <n v="1.2185100000000002"/>
  </r>
  <r>
    <s v="TVA 6E C"/>
    <n v="2004"/>
    <n v="8"/>
    <n v="31"/>
    <x v="1"/>
    <n v="5"/>
    <n v="0.82377173394495395"/>
    <s v="TVA-6E-C"/>
    <x v="10"/>
    <n v="1"/>
    <n v="0.70972222222222225"/>
    <n v="992.57"/>
    <n v="1.2999999999999999E-3"/>
    <n v="0.19"/>
    <n v="1.4803409999999999"/>
    <n v="1.1496909896765242"/>
    <n v="20.560000000000002"/>
    <n v="-2.5573589999999999"/>
  </r>
  <r>
    <s v="TVA 8E C"/>
    <n v="2004"/>
    <n v="8"/>
    <n v="31"/>
    <x v="0"/>
    <n v="5"/>
    <n v="0.8628167016205911"/>
    <s v="TVA-8E-C"/>
    <x v="11"/>
    <n v="1"/>
    <n v="0.71111111111111114"/>
    <n v="3149.7"/>
    <n v="1.2999999999999999E-3"/>
    <n v="0.19"/>
    <n v="4.2846099999999998"/>
    <n v="3.4853172389828453"/>
    <n v="20.560000000000002"/>
    <n v="1.2097900000000004"/>
  </r>
  <r>
    <s v="WB 3E C"/>
    <n v="2004"/>
    <n v="9"/>
    <n v="1"/>
    <x v="0"/>
    <n v="6"/>
    <n v="0.87917959341723062"/>
    <s v="WB-3E-C"/>
    <x v="0"/>
    <n v="1"/>
    <n v="0.70347222222222217"/>
    <n v="2544.4"/>
    <n v="1.1999999999999999E-3"/>
    <n v="8.3799999999999999E-2"/>
    <n v="3.1370800000000001"/>
    <n v="2.587567054502693"/>
    <n v="22"/>
    <n v="5.6920000000000304E-2"/>
  </r>
  <r>
    <s v="WB 4B C"/>
    <n v="2004"/>
    <n v="9"/>
    <n v="1"/>
    <x v="0"/>
    <n v="6"/>
    <n v="0.84883525375939861"/>
    <s v="WB-4B-C"/>
    <x v="1"/>
    <n v="1"/>
    <n v="0.70486111111111116"/>
    <n v="4139.1000000000004"/>
    <n v="1.1999999999999999E-3"/>
    <n v="8.3799999999999999E-2"/>
    <n v="5.0507200000000001"/>
    <n v="4.0222135166681063"/>
    <n v="22"/>
    <n v="-0.13505000000000056"/>
  </r>
  <r>
    <s v="WB 5B C"/>
    <n v="2004"/>
    <n v="9"/>
    <n v="1"/>
    <x v="1"/>
    <n v="6"/>
    <n v="0.90350278217821778"/>
    <s v="WB-5B-C"/>
    <x v="2"/>
    <n v="1"/>
    <n v="0.70625000000000004"/>
    <n v="1674"/>
    <n v="1.1999999999999999E-3"/>
    <n v="8.3799999999999999E-2"/>
    <n v="2.0926"/>
    <n v="1.7737978945519852"/>
    <n v="22"/>
    <n v="0.6106600000000002"/>
  </r>
  <r>
    <s v="WB 6E C"/>
    <n v="2004"/>
    <n v="9"/>
    <n v="1"/>
    <x v="0"/>
    <n v="6"/>
    <n v="0.84358970065481675"/>
    <s v="WB-6E-C"/>
    <x v="3"/>
    <n v="1"/>
    <n v="0.70763888888888904"/>
    <n v="3477.3"/>
    <n v="1.1999999999999999E-3"/>
    <n v="8.3799999999999999E-2"/>
    <n v="4.2565600000000003"/>
    <n v="3.3688249758925313"/>
    <n v="22"/>
    <n v="-0.33056000000000019"/>
  </r>
  <r>
    <s v="WB 7E C"/>
    <n v="2004"/>
    <n v="9"/>
    <n v="1"/>
    <x v="1"/>
    <n v="6"/>
    <n v="0.90097950592885423"/>
    <s v="WB-7E-C"/>
    <x v="4"/>
    <n v="1"/>
    <n v="0.70902777777777803"/>
    <n v="1732.3"/>
    <n v="1.1999999999999999E-3"/>
    <n v="8.3799999999999999E-2"/>
    <n v="2.16256"/>
    <n v="1.8279802452166787"/>
    <n v="22"/>
    <n v="0.5672600000000001"/>
  </r>
  <r>
    <s v="WB 8B C"/>
    <n v="2004"/>
    <n v="9"/>
    <n v="1"/>
    <x v="0"/>
    <n v="6"/>
    <n v="0.85318028328611917"/>
    <s v="WB-8B-C"/>
    <x v="5"/>
    <n v="1"/>
    <n v="0.71041666666666703"/>
    <n v="2875.8"/>
    <n v="1.1999999999999999E-3"/>
    <n v="8.3799999999999999E-2"/>
    <n v="3.5347599999999999"/>
    <n v="2.8293662068545045"/>
    <n v="22"/>
    <n v="-0.19461999999999957"/>
  </r>
  <r>
    <s v="TVA 2B C"/>
    <n v="2004"/>
    <n v="9"/>
    <n v="1"/>
    <x v="0"/>
    <n v="6"/>
    <n v="0.8766205217391303"/>
    <s v="TVA-2B-C"/>
    <x v="6"/>
    <n v="1"/>
    <n v="0.71180555555555602"/>
    <n v="3068.3"/>
    <n v="1.1999999999999999E-3"/>
    <n v="8.3799999999999999E-2"/>
    <n v="3.7657599999999998"/>
    <n v="3.0970819077562379"/>
    <n v="22"/>
    <n v="-0.1747399999999999"/>
  </r>
  <r>
    <s v="TVA 3B C"/>
    <n v="2004"/>
    <n v="9"/>
    <n v="1"/>
    <x v="0"/>
    <n v="6"/>
    <n v="0.84358970065481675"/>
    <s v="TVA-3B-C"/>
    <x v="7"/>
    <n v="1"/>
    <n v="0.71319444444444502"/>
    <n v="1784.2"/>
    <n v="1.1999999999999999E-3"/>
    <n v="8.3799999999999999E-2"/>
    <n v="2.2248399999999999"/>
    <n v="1.7608342321886075"/>
    <n v="22"/>
    <n v="-4.210000000000047E-3"/>
  </r>
  <r>
    <s v="TVA 4E C"/>
    <n v="2004"/>
    <n v="9"/>
    <n v="1"/>
    <x v="1"/>
    <n v="6"/>
    <n v="0.81648999999999938"/>
    <s v="TVA-4E-C"/>
    <x v="8"/>
    <n v="1"/>
    <n v="0.71458333333333401"/>
    <n v="2884.6"/>
    <n v="1.1999999999999999E-3"/>
    <n v="8.3799999999999999E-2"/>
    <n v="3.5453199999999998"/>
    <n v="2.7157809058521249"/>
    <n v="22"/>
    <n v="0.58372000000000002"/>
  </r>
  <r>
    <s v="TVA 5B C"/>
    <n v="2004"/>
    <n v="9"/>
    <n v="1"/>
    <x v="0"/>
    <n v="6"/>
    <n v="0.90174231454005915"/>
    <s v="TVA-5B-C"/>
    <x v="9"/>
    <n v="1"/>
    <n v="0.71597222222222301"/>
    <n v="3539.7"/>
    <n v="1.1999999999999999E-3"/>
    <n v="8.3799999999999999E-2"/>
    <n v="4.3314399999999997"/>
    <n v="3.6644025125381585"/>
    <n v="22"/>
    <n v="-0.2786900000000001"/>
  </r>
  <r>
    <s v="TVA 6E C"/>
    <n v="2004"/>
    <n v="9"/>
    <n v="1"/>
    <x v="1"/>
    <n v="6"/>
    <n v="0.82377173394495395"/>
    <s v="TVA-6E-C"/>
    <x v="10"/>
    <n v="1"/>
    <n v="0.717361111111112"/>
    <n v="1386.4"/>
    <n v="1.1999999999999999E-3"/>
    <n v="8.3799999999999999E-2"/>
    <n v="1.7474800000000001"/>
    <n v="1.3505402119680325"/>
    <n v="22"/>
    <n v="0.26713900000000024"/>
  </r>
  <r>
    <s v="TVA 8E C"/>
    <n v="2004"/>
    <n v="9"/>
    <n v="1"/>
    <x v="0"/>
    <n v="6"/>
    <n v="0.8628167016205911"/>
    <s v="TVA-8E-C"/>
    <x v="11"/>
    <n v="1"/>
    <n v="0.718750000000001"/>
    <n v="3195.8"/>
    <n v="1.1999999999999999E-3"/>
    <n v="8.3799999999999999E-2"/>
    <n v="3.9187599999999998"/>
    <n v="3.1721639805013089"/>
    <n v="22"/>
    <n v="-0.36585000000000001"/>
  </r>
  <r>
    <s v="WB 3E C"/>
    <n v="2004"/>
    <n v="9"/>
    <n v="2"/>
    <x v="0"/>
    <n v="7"/>
    <n v="0.87917959341723062"/>
    <s v="WB-3E-C"/>
    <x v="0"/>
    <n v="1"/>
    <n v="0.70347222222222217"/>
    <n v="2872.3"/>
    <n v="1.2999999999999999E-3"/>
    <n v="-1.5900000000000001E-2"/>
    <n v="3.7180900000000001"/>
    <n v="3.0839391637672495"/>
    <n v="20.36"/>
    <n v="0.58101000000000003"/>
  </r>
  <r>
    <s v="WB 4B C"/>
    <n v="2004"/>
    <n v="9"/>
    <n v="2"/>
    <x v="1"/>
    <n v="7"/>
    <n v="0.84883525375939861"/>
    <s v="WB-4B-C"/>
    <x v="1"/>
    <n v="1"/>
    <n v="0.70486111111111116"/>
    <n v="604.70000000000005"/>
    <n v="1.2999999999999999E-3"/>
    <n v="-1.5900000000000001E-2"/>
    <n v="0.77020999999999995"/>
    <n v="0.61679503100745592"/>
    <n v="20.36"/>
    <n v="-4.2805100000000005"/>
  </r>
  <r>
    <s v="WB 5B C"/>
    <n v="2004"/>
    <n v="9"/>
    <n v="2"/>
    <x v="1"/>
    <n v="7"/>
    <n v="0.90350278217821778"/>
    <s v="WB-5B-C"/>
    <x v="2"/>
    <n v="1"/>
    <n v="0.70625000000000004"/>
    <n v="2328"/>
    <n v="1.2999999999999999E-3"/>
    <n v="-1.5900000000000001E-2"/>
    <n v="3.0105"/>
    <n v="2.5661168639513829"/>
    <n v="20.36"/>
    <n v="0.91789999999999994"/>
  </r>
  <r>
    <s v="WB 6E C"/>
    <n v="2004"/>
    <n v="9"/>
    <n v="2"/>
    <x v="1"/>
    <n v="7"/>
    <n v="0.84358970065481675"/>
    <s v="WB-6E-C"/>
    <x v="3"/>
    <n v="1"/>
    <n v="0.70763888888888904"/>
    <n v="649.30999999999995"/>
    <n v="1.2999999999999999E-3"/>
    <n v="-1.5900000000000001E-2"/>
    <n v="0.82820299999999991"/>
    <n v="0.65913803525355885"/>
    <n v="20.36"/>
    <n v="-3.4283570000000005"/>
  </r>
  <r>
    <s v="WB 7E C"/>
    <n v="2004"/>
    <n v="9"/>
    <n v="2"/>
    <x v="1"/>
    <n v="7"/>
    <n v="0.90097950592885423"/>
    <s v="WB-7E-C"/>
    <x v="4"/>
    <n v="1"/>
    <n v="0.70902777777777803"/>
    <n v="2157.1999999999998"/>
    <n v="1.2999999999999999E-3"/>
    <n v="-1.5900000000000001E-2"/>
    <n v="2.7884599999999997"/>
    <n v="2.3702144224429156"/>
    <n v="20.36"/>
    <n v="0.62589999999999968"/>
  </r>
  <r>
    <s v="WB 8B C"/>
    <n v="2004"/>
    <n v="9"/>
    <n v="2"/>
    <x v="1"/>
    <n v="7"/>
    <n v="0.85318028328611917"/>
    <s v="WB-8B-C"/>
    <x v="5"/>
    <n v="1"/>
    <n v="0.71041666666666703"/>
    <n v="490.78"/>
    <n v="1.2999999999999999E-3"/>
    <n v="-1.5900000000000001E-2"/>
    <n v="0.62211399999999994"/>
    <n v="0.50074784650381998"/>
    <n v="20.36"/>
    <n v="-2.9126460000000001"/>
  </r>
  <r>
    <s v="TVA 2B C"/>
    <n v="2004"/>
    <n v="9"/>
    <n v="2"/>
    <x v="1"/>
    <n v="7"/>
    <n v="0.8766205217391303"/>
    <s v="TVA-2B-C"/>
    <x v="6"/>
    <n v="1"/>
    <n v="0.71250000000000002"/>
    <n v="498.56"/>
    <n v="1.2999999999999999E-3"/>
    <n v="-1.5900000000000001E-2"/>
    <n v="0.6322279999999999"/>
    <n v="0.52286992722236114"/>
    <n v="20.36"/>
    <n v="-3.1335319999999998"/>
  </r>
  <r>
    <s v="TVA 3B C"/>
    <n v="2004"/>
    <n v="9"/>
    <n v="2"/>
    <x v="0"/>
    <n v="7"/>
    <n v="0.84358970065481675"/>
    <s v="TVA-3B-C"/>
    <x v="7"/>
    <n v="1"/>
    <n v="0.71388888888888891"/>
    <n v="1952.7"/>
    <n v="1.2999999999999999E-3"/>
    <n v="-1.5900000000000001E-2"/>
    <n v="2.5226100000000002"/>
    <n v="2.0076577833103482"/>
    <n v="20.36"/>
    <n v="0.29777000000000031"/>
  </r>
  <r>
    <s v="TVA 4E C"/>
    <n v="2004"/>
    <n v="9"/>
    <n v="2"/>
    <x v="1"/>
    <n v="7"/>
    <n v="0.81648999999999938"/>
    <s v="TVA-4E-C"/>
    <x v="8"/>
    <n v="1"/>
    <n v="0.71527777777777801"/>
    <n v="3507.8"/>
    <n v="1.2999999999999999E-3"/>
    <n v="-1.5900000000000001E-2"/>
    <n v="4.5442399999999994"/>
    <n v="3.5004222461474841"/>
    <n v="20.36"/>
    <n v="0.99891999999999959"/>
  </r>
  <r>
    <s v="TVA 5B C"/>
    <n v="2004"/>
    <n v="9"/>
    <n v="2"/>
    <x v="1"/>
    <n v="7"/>
    <n v="0.90174231454005915"/>
    <s v="TVA-5B-C"/>
    <x v="9"/>
    <n v="1"/>
    <n v="0.71666666666666701"/>
    <n v="563.59"/>
    <n v="1.2999999999999999E-3"/>
    <n v="-1.5900000000000001E-2"/>
    <n v="0.71676699999999993"/>
    <n v="0.60977379509805141"/>
    <n v="20.36"/>
    <n v="-3.6146729999999998"/>
  </r>
  <r>
    <s v="TVA 6E C"/>
    <n v="2004"/>
    <n v="9"/>
    <n v="2"/>
    <x v="1"/>
    <n v="7"/>
    <n v="0.82377173394495395"/>
    <s v="TVA-6E-C"/>
    <x v="10"/>
    <n v="1"/>
    <n v="0.718055555555556"/>
    <n v="2072.1999999999998"/>
    <n v="1.2999999999999999E-3"/>
    <n v="-1.5900000000000001E-2"/>
    <n v="2.6779599999999997"/>
    <n v="2.0812261627955166"/>
    <n v="20.36"/>
    <n v="0.93047999999999953"/>
  </r>
  <r>
    <s v="TVA 8E C"/>
    <n v="2004"/>
    <n v="9"/>
    <n v="2"/>
    <x v="1"/>
    <n v="7"/>
    <n v="0.8628167016205911"/>
    <s v="TVA-8E-C"/>
    <x v="11"/>
    <n v="1"/>
    <n v="0.719444444444444"/>
    <n v="687.76"/>
    <n v="1.2999999999999999E-3"/>
    <n v="-1.5900000000000001E-2"/>
    <n v="0.87818799999999997"/>
    <n v="0.71484905364623674"/>
    <n v="20.36"/>
    <n v="-3.0405720000000001"/>
  </r>
  <r>
    <s v="WB 3E C"/>
    <n v="2004"/>
    <n v="9"/>
    <n v="3"/>
    <x v="0"/>
    <n v="8"/>
    <n v="0.87917959341723062"/>
    <s v="WB-3E-C"/>
    <x v="0"/>
    <n v="1"/>
    <n v="0.70486111111111116"/>
    <n v="3128.9"/>
    <n v="1.1999999999999999E-3"/>
    <n v="4.5999999999999999E-3"/>
    <n v="3.7592799999999995"/>
    <n v="3.1198045577185658"/>
    <n v="20.2"/>
    <n v="4.1189999999999394E-2"/>
  </r>
  <r>
    <s v="WB 4B C"/>
    <n v="2004"/>
    <n v="9"/>
    <n v="3"/>
    <x v="1"/>
    <n v="8"/>
    <n v="0.84883525375939861"/>
    <s v="WB-4B-C"/>
    <x v="1"/>
    <n v="1"/>
    <n v="0.70694444444444438"/>
    <n v="1098.4000000000001"/>
    <n v="1.1999999999999999E-3"/>
    <n v="4.5999999999999999E-3"/>
    <n v="1.3226799999999999"/>
    <n v="1.059798522993912"/>
    <n v="20.2"/>
    <n v="0.55246999999999991"/>
  </r>
  <r>
    <s v="WB 5B C"/>
    <n v="2004"/>
    <n v="9"/>
    <n v="3"/>
    <x v="1"/>
    <n v="8"/>
    <n v="0.90350278217821778"/>
    <s v="WB-5B-C"/>
    <x v="2"/>
    <n v="1"/>
    <n v="0.70833333333333337"/>
    <n v="2733.1"/>
    <n v="1.1999999999999999E-3"/>
    <n v="4.5999999999999999E-3"/>
    <n v="3.2843199999999997"/>
    <n v="2.8010449229325047"/>
    <n v="20.2"/>
    <n v="0.27381999999999973"/>
  </r>
  <r>
    <s v="WB 6E C"/>
    <n v="2004"/>
    <n v="9"/>
    <n v="3"/>
    <x v="1"/>
    <n v="8"/>
    <n v="0.84358970065481675"/>
    <s v="WB-6E-C"/>
    <x v="3"/>
    <n v="1"/>
    <n v="0.70972222222222203"/>
    <n v="1086.2"/>
    <n v="1.1999999999999999E-3"/>
    <n v="4.5999999999999999E-3"/>
    <n v="1.3080399999999999"/>
    <n v="1.0415914556246348"/>
    <n v="20.2"/>
    <n v="0.47983699999999996"/>
  </r>
  <r>
    <s v="WB 7E C"/>
    <n v="2004"/>
    <n v="9"/>
    <n v="3"/>
    <x v="1"/>
    <n v="8"/>
    <n v="0.90097950592885423"/>
    <s v="WB-7E-C"/>
    <x v="4"/>
    <n v="1"/>
    <n v="0.71111111111111103"/>
    <n v="2621"/>
    <n v="1.1999999999999999E-3"/>
    <n v="4.5999999999999999E-3"/>
    <n v="3.1497999999999995"/>
    <n v="2.6788167508968339"/>
    <n v="20.2"/>
    <n v="0.36133999999999977"/>
  </r>
  <r>
    <s v="WB 8B C"/>
    <n v="2004"/>
    <n v="9"/>
    <n v="3"/>
    <x v="1"/>
    <n v="8"/>
    <n v="0.85318028328611917"/>
    <s v="WB-8B-C"/>
    <x v="5"/>
    <n v="1"/>
    <n v="0.71250000000000002"/>
    <n v="810.49"/>
    <n v="1.1999999999999999E-3"/>
    <n v="4.5999999999999999E-3"/>
    <n v="0.97718799999999995"/>
    <n v="0.78698064324911965"/>
    <n v="20.2"/>
    <n v="0.355074"/>
  </r>
  <r>
    <s v="TVA 2B C"/>
    <n v="2004"/>
    <n v="9"/>
    <n v="3"/>
    <x v="1"/>
    <n v="8"/>
    <n v="0.8766205217391303"/>
    <s v="TVA-2B-C"/>
    <x v="6"/>
    <n v="1"/>
    <n v="0.71388888888888902"/>
    <n v="918.79"/>
    <n v="1.1999999999999999E-3"/>
    <n v="4.5999999999999999E-3"/>
    <n v="1.1071479999999998"/>
    <n v="0.91614122883375304"/>
    <n v="20.2"/>
    <n v="0.4749199999999999"/>
  </r>
  <r>
    <s v="TVA 3B C"/>
    <n v="2004"/>
    <n v="9"/>
    <n v="3"/>
    <x v="0"/>
    <n v="8"/>
    <n v="0.84358970065481675"/>
    <s v="TVA-3B-C"/>
    <x v="7"/>
    <n v="1"/>
    <n v="0.71527777777777801"/>
    <n v="2048"/>
    <n v="1.1999999999999999E-3"/>
    <n v="4.5999999999999999E-3"/>
    <n v="2.4621999999999997"/>
    <n v="1.9606483609361918"/>
    <n v="20.2"/>
    <n v="-6.0410000000000519E-2"/>
  </r>
  <r>
    <s v="TVA 4E C"/>
    <n v="2004"/>
    <n v="9"/>
    <n v="3"/>
    <x v="2"/>
    <n v="8"/>
    <n v="0.81648999999999938"/>
    <s v="TVA-4E-C"/>
    <x v="8"/>
    <n v="1"/>
    <n v="0.71666666666666701"/>
    <n v="1062.5999999999999"/>
    <n v="1.1999999999999999E-3"/>
    <n v="4.5999999999999999E-3"/>
    <n v="1.2797199999999997"/>
    <n v="0.98630433572537368"/>
    <n v="20.2"/>
    <n v="-3.2645199999999996"/>
  </r>
  <r>
    <s v="TVA 5B C"/>
    <n v="2004"/>
    <n v="9"/>
    <n v="3"/>
    <x v="1"/>
    <n v="8"/>
    <n v="0.90174231454005915"/>
    <s v="TVA-5B-C"/>
    <x v="9"/>
    <n v="1"/>
    <n v="0.718055555555556"/>
    <n v="1034.5999999999999"/>
    <n v="1.1999999999999999E-3"/>
    <n v="4.5999999999999999E-3"/>
    <n v="1.2461199999999997"/>
    <n v="1.060687451231737"/>
    <n v="20.2"/>
    <n v="0.52935299999999974"/>
  </r>
  <r>
    <s v="TVA 6E C"/>
    <n v="2004"/>
    <n v="9"/>
    <n v="3"/>
    <x v="1"/>
    <n v="8"/>
    <n v="0.82377173394495395"/>
    <s v="TVA-6E-C"/>
    <x v="10"/>
    <n v="1"/>
    <n v="0.719444444444445"/>
    <n v="2512.4"/>
    <n v="1.1999999999999999E-3"/>
    <n v="4.5999999999999999E-3"/>
    <n v="3.0194799999999997"/>
    <n v="2.3479246650718464"/>
    <n v="20.2"/>
    <n v="0.34152000000000005"/>
  </r>
  <r>
    <s v="TVA 8E C"/>
    <n v="2004"/>
    <n v="9"/>
    <n v="3"/>
    <x v="1"/>
    <n v="8"/>
    <n v="0.8628167016205911"/>
    <s v="TVA-8E-C"/>
    <x v="11"/>
    <n v="1"/>
    <n v="0.72083333333333399"/>
    <n v="824.78"/>
    <n v="1.1999999999999999E-3"/>
    <n v="4.5999999999999999E-3"/>
    <n v="0.99433599999999989"/>
    <n v="0.80983552012857485"/>
    <n v="20.2"/>
    <n v="0.11614799999999992"/>
  </r>
  <r>
    <s v="WB 3E C"/>
    <n v="2004"/>
    <n v="9"/>
    <n v="4"/>
    <x v="3"/>
    <n v="8"/>
    <n v="0.87917959341723062"/>
    <s v="WB-3E-C"/>
    <x v="0"/>
    <n v="1"/>
    <m/>
    <m/>
    <m/>
    <m/>
    <s v=""/>
    <s v=""/>
    <m/>
    <e v="#VALUE!"/>
  </r>
  <r>
    <s v="WB 4B C"/>
    <n v="2004"/>
    <n v="9"/>
    <n v="4"/>
    <x v="1"/>
    <n v="9"/>
    <n v="0.84883525375939861"/>
    <s v="WB-4B-C"/>
    <x v="1"/>
    <n v="1"/>
    <n v="0.71319444444444446"/>
    <n v="1592.2"/>
    <n v="1.2999999999999999E-3"/>
    <n v="-7.0000000000000007E-2"/>
    <n v="1.9998599999999997"/>
    <n v="1.6031546970812818"/>
    <n v="20.060000000000002"/>
    <n v="0.67717999999999989"/>
  </r>
  <r>
    <s v="WB 5B C"/>
    <n v="2004"/>
    <n v="9"/>
    <n v="4"/>
    <x v="1"/>
    <n v="9"/>
    <n v="0.90350278217821778"/>
    <s v="WB-5B-C"/>
    <x v="2"/>
    <n v="1"/>
    <n v="0.71458333333333324"/>
    <n v="2914.5"/>
    <n v="1.2999999999999999E-3"/>
    <n v="-7.0000000000000007E-2"/>
    <n v="3.7188499999999998"/>
    <n v="3.1731498737648551"/>
    <n v="20.060000000000002"/>
    <n v="0.43453000000000008"/>
  </r>
  <r>
    <s v="WB 6E C"/>
    <n v="2004"/>
    <n v="9"/>
    <n v="4"/>
    <x v="1"/>
    <n v="9"/>
    <n v="0.84358970065481675"/>
    <s v="WB-6E-C"/>
    <x v="3"/>
    <n v="1"/>
    <n v="0.71597222222222201"/>
    <n v="1598.9"/>
    <n v="1.2999999999999999E-3"/>
    <n v="-7.0000000000000007E-2"/>
    <n v="2.0085700000000002"/>
    <n v="1.6001867502236171"/>
    <n v="20.060000000000002"/>
    <n v="0.70053000000000032"/>
  </r>
  <r>
    <s v="WB 7E C"/>
    <n v="2004"/>
    <n v="9"/>
    <n v="4"/>
    <x v="1"/>
    <n v="9"/>
    <n v="0.90097950592885423"/>
    <s v="WB-7E-C"/>
    <x v="4"/>
    <n v="1"/>
    <n v="0.71736111111111101"/>
    <n v="2951.7"/>
    <n v="1.2999999999999999E-3"/>
    <n v="-7.0000000000000007E-2"/>
    <n v="3.7672099999999999"/>
    <n v="3.2054364577766785"/>
    <n v="20.060000000000002"/>
    <n v="0.61741000000000046"/>
  </r>
  <r>
    <s v="WB 8B C"/>
    <n v="2004"/>
    <n v="9"/>
    <n v="4"/>
    <x v="1"/>
    <n v="9"/>
    <n v="0.85318028328611917"/>
    <s v="WB-8B-C"/>
    <x v="5"/>
    <n v="1"/>
    <n v="0.71875"/>
    <n v="1104.5"/>
    <n v="1.2999999999999999E-3"/>
    <n v="-7.0000000000000007E-2"/>
    <n v="1.3658499999999998"/>
    <n v="1.1005157110409813"/>
    <n v="20.060000000000002"/>
    <n v="0.38866199999999984"/>
  </r>
  <r>
    <s v="TVA 2B C"/>
    <n v="2004"/>
    <n v="9"/>
    <n v="4"/>
    <x v="3"/>
    <n v="8"/>
    <n v="0.8766205217391303"/>
    <s v="TVA-2B-C"/>
    <x v="6"/>
    <n v="1"/>
    <m/>
    <m/>
    <m/>
    <m/>
    <s v=""/>
    <s v=""/>
    <m/>
    <e v="#VALUE!"/>
  </r>
  <r>
    <s v="TVA 3B C"/>
    <n v="2004"/>
    <n v="9"/>
    <n v="4"/>
    <x v="0"/>
    <n v="9"/>
    <n v="0.84358970065481675"/>
    <s v="TVA-3B-C"/>
    <x v="7"/>
    <n v="1"/>
    <n v="0.72013888888888899"/>
    <n v="2025.8"/>
    <n v="1.2999999999999999E-3"/>
    <n v="-7.0000000000000007E-2"/>
    <n v="2.5635400000000002"/>
    <n v="2.0423200295076853"/>
    <n v="20.060000000000002"/>
    <n v="0.10134000000000043"/>
  </r>
  <r>
    <s v="TVA 4E C"/>
    <n v="2004"/>
    <n v="9"/>
    <n v="4"/>
    <x v="2"/>
    <n v="9"/>
    <n v="0.81648999999999938"/>
    <s v="TVA-4E-C"/>
    <x v="8"/>
    <n v="1"/>
    <n v="0.72152777777777777"/>
    <n v="1697.3"/>
    <n v="1.2999999999999999E-3"/>
    <n v="-7.0000000000000007E-2"/>
    <n v="2.1364899999999998"/>
    <n v="1.6474193545241114"/>
    <n v="20.060000000000002"/>
    <n v="0.85677000000000003"/>
  </r>
  <r>
    <s v="TVA 5B C"/>
    <n v="2004"/>
    <n v="9"/>
    <n v="4"/>
    <x v="1"/>
    <n v="9"/>
    <n v="0.90174231454005915"/>
    <s v="TVA-5B-C"/>
    <x v="9"/>
    <n v="1"/>
    <n v="0.72291666666666698"/>
    <n v="1356.5"/>
    <n v="1.2999999999999999E-3"/>
    <n v="-7.0000000000000007E-2"/>
    <n v="1.6934499999999999"/>
    <n v="1.4421394506662597"/>
    <n v="20.060000000000002"/>
    <n v="0.44733000000000023"/>
  </r>
  <r>
    <s v="TVA 6E C"/>
    <n v="2004"/>
    <n v="9"/>
    <n v="4"/>
    <x v="1"/>
    <n v="9"/>
    <n v="0.82377173394495395"/>
    <s v="TVA-6E-C"/>
    <x v="10"/>
    <n v="1"/>
    <n v="0.72430555555555498"/>
    <n v="2823.3"/>
    <n v="1.2999999999999999E-3"/>
    <n v="-7.0000000000000007E-2"/>
    <n v="3.6002900000000002"/>
    <n v="2.800894814963939"/>
    <n v="20.060000000000002"/>
    <n v="0.58081000000000049"/>
  </r>
  <r>
    <s v="TVA 8E C"/>
    <n v="2004"/>
    <n v="9"/>
    <n v="4"/>
    <x v="1"/>
    <n v="9"/>
    <n v="0.8628167016205911"/>
    <s v="TVA-8E-C"/>
    <x v="11"/>
    <n v="1"/>
    <n v="0.72569444444444398"/>
    <n v="1289.7"/>
    <n v="1.2999999999999999E-3"/>
    <n v="-7.0000000000000007E-2"/>
    <n v="1.6066099999999999"/>
    <n v="1.3091259703902651"/>
    <n v="20.060000000000002"/>
    <n v="0.61227399999999998"/>
  </r>
  <r>
    <s v="WB 3E C"/>
    <n v="2004"/>
    <n v="9"/>
    <n v="7"/>
    <x v="3"/>
    <n v="8"/>
    <n v="0.87917959341723062"/>
    <s v="WB-3E-C"/>
    <x v="0"/>
    <m/>
    <m/>
    <m/>
    <m/>
    <m/>
    <s v=""/>
    <s v=""/>
    <m/>
    <e v="#VALUE!"/>
  </r>
  <r>
    <s v="WB 4B C"/>
    <n v="2004"/>
    <n v="9"/>
    <n v="7"/>
    <x v="1"/>
    <n v="12"/>
    <n v="0.84883525375939861"/>
    <s v="WB-4B-C"/>
    <x v="1"/>
    <n v="1"/>
    <n v="0.51249999999999996"/>
    <n v="2492.3000000000002"/>
    <n v="1.1999999999999999E-3"/>
    <n v="6.3600000000000004E-2"/>
    <n v="3.05436"/>
    <n v="2.4452247787131145"/>
    <n v="20.45"/>
    <n v="1.0545000000000002"/>
  </r>
  <r>
    <s v="WB 5B C"/>
    <n v="2004"/>
    <n v="9"/>
    <n v="7"/>
    <x v="2"/>
    <n v="12"/>
    <n v="0.90350278217821778"/>
    <s v="WB-5B-C"/>
    <x v="2"/>
    <n v="1"/>
    <n v="0.51458333333333328"/>
    <n v="1334"/>
    <n v="1.1999999999999999E-3"/>
    <n v="6.3600000000000004E-2"/>
    <n v="1.6643999999999999"/>
    <n v="1.418281237119835"/>
    <n v="20.45"/>
    <n v="-2.0544500000000001"/>
  </r>
  <r>
    <s v="WB 6E C"/>
    <n v="2004"/>
    <n v="9"/>
    <n v="7"/>
    <x v="1"/>
    <n v="12"/>
    <n v="0.84358970065481675"/>
    <s v="WB-6E-C"/>
    <x v="3"/>
    <n v="1"/>
    <n v="0.51770833333333333"/>
    <n v="2234.1999999999998"/>
    <n v="1.1999999999999999E-3"/>
    <n v="6.3600000000000004E-2"/>
    <n v="2.7446399999999995"/>
    <n v="2.1836941637359732"/>
    <n v="20.45"/>
    <n v="0.73606999999999934"/>
  </r>
  <r>
    <s v="WB 7E C"/>
    <n v="2004"/>
    <n v="9"/>
    <n v="7"/>
    <x v="3"/>
    <n v="9"/>
    <n v="0.90097950592885423"/>
    <s v="WB-7E-C"/>
    <x v="4"/>
    <n v="1"/>
    <m/>
    <m/>
    <n v="1.1999999999999999E-3"/>
    <n v="6.3600000000000004E-2"/>
    <s v=""/>
    <s v=""/>
    <n v="20.45"/>
    <e v="#VALUE!"/>
  </r>
  <r>
    <s v="WB 8B C"/>
    <n v="2004"/>
    <n v="9"/>
    <n v="7"/>
    <x v="2"/>
    <n v="12"/>
    <n v="0.85318028328611917"/>
    <s v="WB-8B-C"/>
    <x v="5"/>
    <n v="1"/>
    <n v="0.52083333333333337"/>
    <n v="1760.3"/>
    <n v="1.1999999999999999E-3"/>
    <n v="6.3600000000000004E-2"/>
    <n v="2.1759599999999999"/>
    <n v="1.7509223010509383"/>
    <n v="20.45"/>
    <n v="0.81011000000000011"/>
  </r>
  <r>
    <s v="TVA 2B C"/>
    <n v="2004"/>
    <n v="9"/>
    <n v="7"/>
    <x v="2"/>
    <n v="11"/>
    <n v="0.8766205217391303"/>
    <s v="TVA-2B-C"/>
    <x v="6"/>
    <n v="1"/>
    <n v="0.52222222222222225"/>
    <n v="870.34"/>
    <n v="1.1999999999999999E-3"/>
    <n v="6.3600000000000004E-2"/>
    <n v="1.1080080000000001"/>
    <n v="0.91607216143080794"/>
    <n v="20.45"/>
    <e v="#VALUE!"/>
  </r>
  <r>
    <s v="TVA 3B C"/>
    <n v="2004"/>
    <n v="9"/>
    <n v="7"/>
    <x v="0"/>
    <n v="12"/>
    <n v="0.84358970065481675"/>
    <s v="TVA-3B-C"/>
    <x v="7"/>
    <n v="1"/>
    <n v="0.52361111111111114"/>
    <n v="2374.6999999999998"/>
    <n v="1.1999999999999999E-3"/>
    <n v="6.3600000000000004E-2"/>
    <n v="2.9132399999999996"/>
    <n v="2.3178359222201039"/>
    <n v="20.45"/>
    <n v="0.34969999999999946"/>
  </r>
  <r>
    <s v="TVA 4E C"/>
    <n v="2004"/>
    <n v="9"/>
    <n v="7"/>
    <x v="2"/>
    <n v="12"/>
    <n v="0.81648999999999938"/>
    <s v="TVA-4E-C"/>
    <x v="8"/>
    <n v="1"/>
    <n v="0.52500000000000002"/>
    <n v="3717.6"/>
    <n v="1.1999999999999999E-3"/>
    <n v="6.3600000000000004E-2"/>
    <n v="4.5247199999999994"/>
    <n v="3.4843176066530748"/>
    <n v="20.45"/>
    <n v="2.3882299999999996"/>
  </r>
  <r>
    <s v="TVA 5B C"/>
    <n v="2004"/>
    <n v="9"/>
    <n v="7"/>
    <x v="1"/>
    <n v="12"/>
    <n v="0.90174231454005915"/>
    <s v="TVA-5B-C"/>
    <x v="9"/>
    <n v="1"/>
    <n v="0.52638888888888891"/>
    <n v="2274"/>
    <n v="1.1999999999999999E-3"/>
    <n v="6.3600000000000004E-2"/>
    <n v="2.7923999999999998"/>
    <n v="2.3748448110665783"/>
    <n v="20.45"/>
    <n v="1.0989499999999999"/>
  </r>
  <r>
    <s v="TVA 6E C"/>
    <n v="2004"/>
    <n v="9"/>
    <n v="7"/>
    <x v="2"/>
    <n v="12"/>
    <n v="0.82377173394495395"/>
    <s v="TVA-6E-C"/>
    <x v="10"/>
    <n v="1"/>
    <n v="0.52986111111111112"/>
    <n v="1347.9"/>
    <n v="1.1999999999999999E-3"/>
    <n v="6.3600000000000004E-2"/>
    <n v="1.6810800000000001"/>
    <n v="1.3060819376005384"/>
    <n v="20.45"/>
    <n v="-1.9192100000000001"/>
  </r>
  <r>
    <s v="TVA 8E C"/>
    <n v="2004"/>
    <n v="9"/>
    <n v="7"/>
    <x v="1"/>
    <n v="12"/>
    <n v="0.8628167016205911"/>
    <s v="TVA-8E-C"/>
    <x v="11"/>
    <n v="1"/>
    <n v="0.53125"/>
    <n v="2040.3"/>
    <n v="1.1999999999999999E-3"/>
    <n v="6.3600000000000004E-2"/>
    <n v="2.5119599999999997"/>
    <n v="2.0441201477507054"/>
    <n v="20.45"/>
    <n v="0.90534999999999988"/>
  </r>
  <r>
    <s v="WB 3E C"/>
    <n v="2004"/>
    <n v="9"/>
    <n v="8"/>
    <x v="3"/>
    <n v="8"/>
    <n v="0.87917959341723062"/>
    <s v="WB-3E-C"/>
    <x v="0"/>
    <m/>
    <m/>
    <m/>
    <n v="1.1999999999999999E-3"/>
    <n v="-2.5000000000000001E-2"/>
    <s v=""/>
    <s v=""/>
    <n v="19.899999999999999"/>
    <e v="#VALUE!"/>
  </r>
  <r>
    <s v="WB 4B C"/>
    <n v="2004"/>
    <n v="9"/>
    <n v="8"/>
    <x v="2"/>
    <n v="13"/>
    <n v="0.84883525375939861"/>
    <s v="WB-4B-C"/>
    <x v="1"/>
    <n v="1"/>
    <n v="0.53472222222222221"/>
    <n v="590.4"/>
    <n v="1.1999999999999999E-3"/>
    <n v="-2.5000000000000001E-2"/>
    <n v="0.68347999999999987"/>
    <n v="0.54819958294197546"/>
    <n v="19.899999999999999"/>
    <n v="-2.3708800000000001"/>
  </r>
  <r>
    <s v="WB 5B C"/>
    <n v="2004"/>
    <n v="9"/>
    <n v="8"/>
    <x v="2"/>
    <n v="13"/>
    <n v="0.90350278217821778"/>
    <s v="WB-5B-C"/>
    <x v="2"/>
    <n v="1"/>
    <n v="0.53611111111111109"/>
    <n v="1691"/>
    <n v="1.1999999999999999E-3"/>
    <n v="-2.5000000000000001E-2"/>
    <n v="2.0042"/>
    <n v="1.7110394929375941"/>
    <n v="19.899999999999999"/>
    <n v="0.3398000000000001"/>
  </r>
  <r>
    <s v="WB 6E C"/>
    <n v="2004"/>
    <n v="9"/>
    <n v="8"/>
    <x v="2"/>
    <n v="13"/>
    <n v="0.84358970065481675"/>
    <s v="WB-6E-C"/>
    <x v="3"/>
    <n v="1"/>
    <n v="0.53749999999999998"/>
    <n v="478.58"/>
    <n v="1.1999999999999999E-3"/>
    <n v="-2.5000000000000001E-2"/>
    <n v="0.5492959999999999"/>
    <n v="0.43785184795595061"/>
    <n v="19.899999999999999"/>
    <n v="-2.1953439999999995"/>
  </r>
  <r>
    <s v="WB 7E C"/>
    <n v="2004"/>
    <n v="9"/>
    <n v="8"/>
    <x v="3"/>
    <n v="9"/>
    <n v="0.90097950592885423"/>
    <s v="WB-7E-C"/>
    <x v="4"/>
    <m/>
    <m/>
    <m/>
    <n v="1.1999999999999999E-3"/>
    <n v="-2.5000000000000001E-2"/>
    <s v=""/>
    <s v=""/>
    <n v="19.899999999999999"/>
    <e v="#VALUE!"/>
  </r>
  <r>
    <s v="WB 8B C"/>
    <n v="2004"/>
    <n v="9"/>
    <n v="8"/>
    <x v="2"/>
    <n v="13"/>
    <n v="0.85318028328611917"/>
    <s v="WB-8B-C"/>
    <x v="5"/>
    <n v="1"/>
    <n v="0.53888888888888886"/>
    <n v="2090.3000000000002"/>
    <n v="1.1999999999999999E-3"/>
    <n v="-2.5000000000000001E-2"/>
    <n v="2.4833600000000002"/>
    <n v="2.0020272006583295"/>
    <n v="19.899999999999999"/>
    <n v="0.30740000000000034"/>
  </r>
  <r>
    <s v="TVA 2B C"/>
    <n v="2004"/>
    <n v="9"/>
    <n v="8"/>
    <x v="2"/>
    <n v="12"/>
    <n v="0.8766205217391303"/>
    <s v="TVA-2B-C"/>
    <x v="6"/>
    <n v="1"/>
    <n v="0.54027777777777775"/>
    <n v="1087.9000000000001"/>
    <n v="1.1999999999999999E-3"/>
    <n v="-2.5000000000000001E-2"/>
    <n v="1.2804800000000001"/>
    <n v="1.0606544405757594"/>
    <n v="19.899999999999999"/>
    <n v="0.17247199999999996"/>
  </r>
  <r>
    <s v="TVA 3B C"/>
    <n v="2004"/>
    <n v="9"/>
    <n v="8"/>
    <x v="0"/>
    <n v="13"/>
    <n v="0.84358970065481675"/>
    <s v="TVA-3B-C"/>
    <x v="7"/>
    <n v="1"/>
    <n v="0.54166666666666663"/>
    <n v="2125.4"/>
    <n v="1.1999999999999999E-3"/>
    <n v="-2.5000000000000001E-2"/>
    <n v="2.5254799999999999"/>
    <n v="2.013096918557197"/>
    <n v="19.899999999999999"/>
    <n v="-0.38775999999999966"/>
  </r>
  <r>
    <s v="TVA 4E C"/>
    <n v="2004"/>
    <n v="9"/>
    <n v="8"/>
    <x v="3"/>
    <n v="12"/>
    <n v="0.81648999999999938"/>
    <s v="TVA-4E-C"/>
    <x v="8"/>
    <m/>
    <m/>
    <m/>
    <n v="1.1999999999999999E-3"/>
    <n v="-2.5000000000000001E-2"/>
    <s v=""/>
    <s v=""/>
    <n v="19.899999999999999"/>
    <e v="#VALUE!"/>
  </r>
  <r>
    <s v="TVA 5B C"/>
    <n v="2004"/>
    <n v="9"/>
    <n v="8"/>
    <x v="1"/>
    <n v="13"/>
    <n v="0.90174231454005915"/>
    <s v="TVA-5B-C"/>
    <x v="9"/>
    <n v="1"/>
    <n v="0.54340277777777779"/>
    <n v="2369.8000000000002"/>
    <n v="1.1999999999999999E-3"/>
    <n v="-2.5000000000000001E-2"/>
    <n v="2.8187600000000002"/>
    <n v="2.401762342561002"/>
    <n v="19.899999999999999"/>
    <n v="2.6360000000000383E-2"/>
  </r>
  <r>
    <s v="TVA 6E C"/>
    <n v="2004"/>
    <n v="9"/>
    <n v="8"/>
    <x v="2"/>
    <n v="13"/>
    <n v="0.82377173394495395"/>
    <s v="TVA-6E-C"/>
    <x v="10"/>
    <n v="1"/>
    <n v="0.5444444444444444"/>
    <n v="1635.7"/>
    <n v="1.1999999999999999E-3"/>
    <n v="-2.5000000000000001E-2"/>
    <n v="1.93784"/>
    <n v="1.5083922202453077"/>
    <n v="19.899999999999999"/>
    <n v="0.25675999999999988"/>
  </r>
  <r>
    <s v="TVA 8E C"/>
    <n v="2004"/>
    <n v="9"/>
    <n v="8"/>
    <x v="1"/>
    <n v="13"/>
    <n v="0.8628167016205911"/>
    <s v="TVA-8E-C"/>
    <x v="11"/>
    <n v="1"/>
    <n v="0.54583333333333328"/>
    <n v="2245.8000000000002"/>
    <n v="1.1999999999999999E-3"/>
    <n v="-2.5000000000000001E-2"/>
    <n v="2.6699600000000001"/>
    <n v="2.1767711853648413"/>
    <n v="19.899999999999999"/>
    <n v="0.15800000000000036"/>
  </r>
  <r>
    <s v="WB 3E C"/>
    <n v="2004"/>
    <n v="9"/>
    <n v="9"/>
    <x v="4"/>
    <n v="8"/>
    <n v="0.87917959341723062"/>
    <s v="WB-3E-C"/>
    <x v="0"/>
    <m/>
    <m/>
    <m/>
    <n v="1.1999999999999999E-3"/>
    <n v="-4.2599999999999999E-2"/>
    <s v=""/>
    <s v=""/>
    <n v="19.899999999999999"/>
    <e v="#VALUE!"/>
  </r>
  <r>
    <s v="WB 4B C"/>
    <n v="2004"/>
    <n v="9"/>
    <n v="9"/>
    <x v="2"/>
    <n v="14"/>
    <n v="0.84883525375939861"/>
    <s v="WB-4B-C"/>
    <x v="1"/>
    <n v="1"/>
    <n v="0.62708333333333333"/>
    <n v="1067.0999999999999"/>
    <n v="1.1999999999999999E-3"/>
    <n v="-4.2599999999999999E-2"/>
    <n v="1.2379199999999999"/>
    <n v="0.99289990594535371"/>
    <n v="19.899999999999999"/>
    <n v="0.55444000000000004"/>
  </r>
  <r>
    <s v="WB 5B C"/>
    <n v="2004"/>
    <n v="9"/>
    <n v="9"/>
    <x v="2"/>
    <n v="14"/>
    <n v="0.90350278217821778"/>
    <s v="WB-5B-C"/>
    <x v="2"/>
    <n v="1"/>
    <n v="0.62847222222222221"/>
    <n v="2242.1999999999998"/>
    <n v="1.1999999999999999E-3"/>
    <n v="-4.2599999999999999E-2"/>
    <n v="2.6480399999999995"/>
    <n v="2.2607030330697864"/>
    <n v="19.899999999999999"/>
    <n v="0.64383999999999952"/>
  </r>
  <r>
    <s v="WB 6E C"/>
    <n v="2004"/>
    <n v="9"/>
    <n v="9"/>
    <x v="2"/>
    <n v="14"/>
    <n v="0.84358970065481675"/>
    <s v="WB-6E-C"/>
    <x v="3"/>
    <n v="1"/>
    <n v="0.62986111111111098"/>
    <n v="846.11"/>
    <n v="1.1999999999999999E-3"/>
    <n v="-4.2599999999999999E-2"/>
    <n v="0.97273199999999993"/>
    <n v="0.77537885541836782"/>
    <n v="19.899999999999999"/>
    <n v="0.42343600000000003"/>
  </r>
  <r>
    <s v="WB 7E C"/>
    <n v="2004"/>
    <n v="9"/>
    <n v="9"/>
    <x v="4"/>
    <n v="9"/>
    <n v="0.90097950592885423"/>
    <s v="WB-7E-C"/>
    <x v="4"/>
    <m/>
    <m/>
    <m/>
    <n v="1.1999999999999999E-3"/>
    <n v="-4.2599999999999999E-2"/>
    <s v=""/>
    <s v=""/>
    <n v="19.899999999999999"/>
    <e v="#VALUE!"/>
  </r>
  <r>
    <s v="WB 8B C"/>
    <n v="2004"/>
    <n v="9"/>
    <n v="9"/>
    <x v="3"/>
    <n v="13"/>
    <n v="0.85318028328611917"/>
    <s v="WB-8B-C"/>
    <x v="5"/>
    <m/>
    <m/>
    <m/>
    <n v="1.1999999999999999E-3"/>
    <n v="-4.2599999999999999E-2"/>
    <s v=""/>
    <s v=""/>
    <n v="19.899999999999999"/>
    <e v="#VALUE!"/>
  </r>
  <r>
    <s v="TVA 2B C"/>
    <n v="2004"/>
    <n v="9"/>
    <n v="9"/>
    <x v="5"/>
    <n v="13"/>
    <n v="0.8766205217391303"/>
    <s v="TVA-2B-C"/>
    <x v="6"/>
    <n v="1"/>
    <n v="0.63124999999999998"/>
    <n v="730.37"/>
    <n v="1.1999999999999999E-3"/>
    <n v="-4.2599999999999999E-2"/>
    <n v="0.83384399999999992"/>
    <n v="0.69069438128471616"/>
    <n v="19.899999999999999"/>
    <n v="-0.44663600000000014"/>
  </r>
  <r>
    <s v="TVA 3B C"/>
    <n v="2004"/>
    <n v="9"/>
    <n v="9"/>
    <x v="0"/>
    <n v="14"/>
    <n v="0.84358970065481675"/>
    <s v="TVA-3B-C"/>
    <x v="7"/>
    <n v="1"/>
    <n v="0.63263888888888886"/>
    <n v="2700.8"/>
    <n v="1.1999999999999999E-3"/>
    <n v="-4.2599999999999999E-2"/>
    <n v="3.1983599999999996"/>
    <n v="2.5494593742324616"/>
    <n v="19.899999999999999"/>
    <n v="0.6728799999999997"/>
  </r>
  <r>
    <s v="TVA 4E C"/>
    <n v="2004"/>
    <n v="9"/>
    <n v="9"/>
    <x v="4"/>
    <n v="12"/>
    <n v="0.81648999999999938"/>
    <s v="TVA-4E-C"/>
    <x v="8"/>
    <m/>
    <m/>
    <m/>
    <n v="1.1999999999999999E-3"/>
    <n v="-4.2599999999999999E-2"/>
    <s v=""/>
    <s v=""/>
    <n v="19.899999999999999"/>
    <e v="#VALUE!"/>
  </r>
  <r>
    <s v="TVA 5B C"/>
    <n v="2004"/>
    <n v="9"/>
    <n v="9"/>
    <x v="1"/>
    <n v="14"/>
    <n v="0.90174231454005915"/>
    <s v="TVA-5B-C"/>
    <x v="9"/>
    <n v="1"/>
    <n v="0.63402777777777775"/>
    <n v="2810.7"/>
    <n v="1.1999999999999999E-3"/>
    <n v="-4.2599999999999999E-2"/>
    <n v="3.3302399999999994"/>
    <n v="2.8375757509296107"/>
    <n v="19.899999999999999"/>
    <n v="0.51147999999999927"/>
  </r>
  <r>
    <s v="TVA 6E C"/>
    <n v="2004"/>
    <n v="9"/>
    <n v="9"/>
    <x v="2"/>
    <n v="14"/>
    <n v="0.82377173394495395"/>
    <s v="TVA-6E-C"/>
    <x v="10"/>
    <n v="1"/>
    <n v="0.63541666666666663"/>
    <n v="2213.1999999999998"/>
    <n v="1.1999999999999999E-3"/>
    <n v="-4.2599999999999999E-2"/>
    <n v="2.6132399999999993"/>
    <n v="2.0341157606581795"/>
    <n v="19.899999999999999"/>
    <n v="0.67539999999999933"/>
  </r>
  <r>
    <s v="TVA 8E C"/>
    <n v="2004"/>
    <n v="9"/>
    <n v="9"/>
    <x v="1"/>
    <n v="14"/>
    <n v="0.8628167016205911"/>
    <s v="TVA-8E-C"/>
    <x v="11"/>
    <n v="1"/>
    <n v="0.63680555555555551"/>
    <n v="2361.8000000000002"/>
    <n v="1.1999999999999999E-3"/>
    <n v="-4.2599999999999999E-2"/>
    <n v="2.7915599999999996"/>
    <n v="2.2759095155796625"/>
    <n v="19.899999999999999"/>
    <n v="0.12159999999999949"/>
  </r>
  <r>
    <s v="WB 3E C"/>
    <n v="2004"/>
    <n v="9"/>
    <n v="10"/>
    <x v="3"/>
    <n v="8"/>
    <n v="0.87917959341723062"/>
    <s v="WB-3E-C"/>
    <x v="0"/>
    <m/>
    <m/>
    <m/>
    <m/>
    <m/>
    <s v=""/>
    <s v=""/>
    <m/>
    <m/>
  </r>
  <r>
    <s v="WB 4B C"/>
    <n v="2004"/>
    <n v="9"/>
    <n v="10"/>
    <x v="3"/>
    <n v="14"/>
    <n v="0.84883525375939861"/>
    <s v="WB-4B-C"/>
    <x v="1"/>
    <m/>
    <m/>
    <m/>
    <m/>
    <m/>
    <s v=""/>
    <s v=""/>
    <m/>
    <m/>
  </r>
  <r>
    <s v="WB 5B C"/>
    <n v="2004"/>
    <n v="9"/>
    <n v="10"/>
    <x v="3"/>
    <n v="14"/>
    <n v="0.90350278217821778"/>
    <s v="WB-5B-C"/>
    <x v="2"/>
    <m/>
    <m/>
    <m/>
    <m/>
    <m/>
    <s v=""/>
    <s v=""/>
    <m/>
    <m/>
  </r>
  <r>
    <s v="WB 6E C"/>
    <n v="2004"/>
    <n v="9"/>
    <n v="10"/>
    <x v="3"/>
    <n v="14"/>
    <n v="0.84358970065481675"/>
    <s v="WB-6E-C"/>
    <x v="3"/>
    <m/>
    <m/>
    <m/>
    <m/>
    <m/>
    <s v=""/>
    <s v=""/>
    <m/>
    <m/>
  </r>
  <r>
    <s v="WB 7E C"/>
    <n v="2004"/>
    <n v="9"/>
    <n v="10"/>
    <x v="3"/>
    <n v="9"/>
    <n v="0.90097950592885423"/>
    <s v="WB-7E-C"/>
    <x v="4"/>
    <m/>
    <m/>
    <m/>
    <m/>
    <m/>
    <s v=""/>
    <s v=""/>
    <m/>
    <m/>
  </r>
  <r>
    <s v="WB 8B C"/>
    <n v="2004"/>
    <n v="9"/>
    <n v="10"/>
    <x v="3"/>
    <n v="13"/>
    <n v="0.85318028328611917"/>
    <s v="WB-8B-C"/>
    <x v="5"/>
    <m/>
    <m/>
    <m/>
    <m/>
    <m/>
    <s v=""/>
    <s v=""/>
    <m/>
    <m/>
  </r>
  <r>
    <s v="TVA 2B C"/>
    <n v="2004"/>
    <n v="9"/>
    <n v="10"/>
    <x v="3"/>
    <n v="13"/>
    <n v="0.8766205217391303"/>
    <s v="TVA-2B-C"/>
    <x v="6"/>
    <m/>
    <m/>
    <m/>
    <m/>
    <m/>
    <s v=""/>
    <s v=""/>
    <m/>
    <m/>
  </r>
  <r>
    <s v="TVA 3B C"/>
    <n v="2004"/>
    <n v="9"/>
    <n v="10"/>
    <x v="0"/>
    <n v="15"/>
    <n v="0.84358970065481675"/>
    <s v="TVA-3B-C"/>
    <x v="7"/>
    <n v="1"/>
    <n v="0.64444444444444449"/>
    <n v="2431.1999999999998"/>
    <n v="1.1999999999999999E-3"/>
    <n v="6.5000000000000002E-2"/>
    <n v="2.9824399999999995"/>
    <n v="2.3757250164387442"/>
    <n v="20.100000000000001"/>
    <n v="-0.21592000000000011"/>
  </r>
  <r>
    <s v="TVA 4E C"/>
    <n v="2004"/>
    <n v="9"/>
    <n v="10"/>
    <x v="3"/>
    <n v="12"/>
    <n v="0.81648999999999938"/>
    <s v="TVA-4E-C"/>
    <x v="8"/>
    <m/>
    <m/>
    <m/>
    <m/>
    <m/>
    <s v=""/>
    <s v=""/>
    <m/>
    <m/>
  </r>
  <r>
    <s v="TVA 5B C"/>
    <n v="2004"/>
    <n v="9"/>
    <n v="10"/>
    <x v="3"/>
    <n v="14"/>
    <n v="0.90174231454005915"/>
    <s v="TVA-5B-C"/>
    <x v="9"/>
    <m/>
    <m/>
    <m/>
    <m/>
    <m/>
    <s v=""/>
    <s v=""/>
    <m/>
    <m/>
  </r>
  <r>
    <s v="TVA 6E C"/>
    <n v="2004"/>
    <n v="9"/>
    <n v="10"/>
    <x v="3"/>
    <n v="14"/>
    <n v="0.82377173394495395"/>
    <s v="TVA-6E-C"/>
    <x v="10"/>
    <m/>
    <m/>
    <m/>
    <m/>
    <m/>
    <s v=""/>
    <s v=""/>
    <m/>
    <m/>
  </r>
  <r>
    <s v="TVA 8E C"/>
    <n v="2004"/>
    <n v="9"/>
    <n v="10"/>
    <x v="3"/>
    <n v="14"/>
    <n v="0.8628167016205911"/>
    <s v="TVA-8E-C"/>
    <x v="11"/>
    <m/>
    <m/>
    <m/>
    <m/>
    <m/>
    <s v="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O16" firstHeaderRow="1" firstDataRow="3" firstDataCol="1"/>
  <pivotFields count="18">
    <pivotField showAll="0"/>
    <pivotField showAll="0"/>
    <pivotField showAll="0"/>
    <pivotField showAll="0"/>
    <pivotField axis="axisCol" showAll="0">
      <items count="7">
        <item x="0"/>
        <item x="1"/>
        <item x="2"/>
        <item x="5"/>
        <item x="4"/>
        <item x="3"/>
        <item t="default"/>
      </items>
    </pivotField>
    <pivotField dataField="1" showAll="0" defaultSubtotal="0"/>
    <pivotField numFmtId="165" showAll="0" defaultSubtotal="0"/>
    <pivotField showAll="0" defaultSubtota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Max of CO2_mg" fld="15" subtotal="max" baseField="0" baseItem="0"/>
    <dataField name="Max of timeCmtv_d" fld="5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5" sqref="A5"/>
    </sheetView>
  </sheetViews>
  <sheetFormatPr baseColWidth="10" defaultRowHeight="15" x14ac:dyDescent="0"/>
  <sheetData>
    <row r="1" spans="1:1">
      <c r="A1" t="s">
        <v>81</v>
      </c>
    </row>
    <row r="2" spans="1:1">
      <c r="A2" t="s">
        <v>82</v>
      </c>
    </row>
    <row r="3" spans="1:1">
      <c r="A3" t="s">
        <v>69</v>
      </c>
    </row>
    <row r="4" spans="1:1">
      <c r="A4" t="s">
        <v>70</v>
      </c>
    </row>
    <row r="5" spans="1:1">
      <c r="A5" t="s">
        <v>168</v>
      </c>
    </row>
    <row r="6" spans="1:1">
      <c r="A6" t="s">
        <v>87</v>
      </c>
    </row>
    <row r="7" spans="1:1">
      <c r="A7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workbookViewId="0">
      <selection activeCell="D42" sqref="D42"/>
    </sheetView>
  </sheetViews>
  <sheetFormatPr baseColWidth="10" defaultRowHeight="15" x14ac:dyDescent="0"/>
  <sheetData>
    <row r="2" spans="2:7">
      <c r="B2" s="5" t="s">
        <v>47</v>
      </c>
      <c r="C2" s="5"/>
      <c r="D2" s="5"/>
      <c r="E2" s="6"/>
      <c r="F2" s="6"/>
      <c r="G2" s="6"/>
    </row>
    <row r="3" spans="2:7">
      <c r="B3" s="6"/>
      <c r="C3" s="6"/>
      <c r="D3" s="6"/>
      <c r="E3" s="6"/>
      <c r="F3" s="6"/>
      <c r="G3" s="6"/>
    </row>
    <row r="4" spans="2:7">
      <c r="B4" s="7" t="s">
        <v>48</v>
      </c>
      <c r="C4" s="8"/>
      <c r="D4" s="8"/>
      <c r="E4" s="8"/>
      <c r="F4" s="8"/>
      <c r="G4" s="8"/>
    </row>
    <row r="5" spans="2:7">
      <c r="B5" s="7" t="s">
        <v>49</v>
      </c>
      <c r="C5" s="8"/>
      <c r="D5" s="8"/>
      <c r="E5" s="8"/>
      <c r="F5" s="8"/>
      <c r="G5" s="8"/>
    </row>
    <row r="6" spans="2:7">
      <c r="B6" s="7" t="s">
        <v>50</v>
      </c>
      <c r="C6" s="8"/>
      <c r="D6" s="8"/>
      <c r="E6" s="8"/>
      <c r="F6" s="8"/>
      <c r="G6" s="8"/>
    </row>
    <row r="7" spans="2:7">
      <c r="B7" s="7"/>
      <c r="C7" s="8"/>
      <c r="D7" s="8"/>
      <c r="E7" s="8"/>
      <c r="F7" s="8"/>
      <c r="G7" s="8"/>
    </row>
    <row r="8" spans="2:7">
      <c r="B8" s="7" t="s">
        <v>51</v>
      </c>
      <c r="C8" s="9" t="s">
        <v>52</v>
      </c>
      <c r="D8" s="8"/>
      <c r="E8" s="8"/>
      <c r="F8" s="8"/>
      <c r="G8" s="8"/>
    </row>
    <row r="9" spans="2:7">
      <c r="B9" s="7" t="s">
        <v>53</v>
      </c>
      <c r="C9" s="8"/>
      <c r="D9" s="8"/>
      <c r="E9" s="8"/>
      <c r="F9" s="8"/>
      <c r="G9" s="8"/>
    </row>
    <row r="10" spans="2:7">
      <c r="B10" s="7" t="s">
        <v>54</v>
      </c>
      <c r="C10" s="8"/>
      <c r="D10" s="8"/>
      <c r="E10" s="8"/>
      <c r="F10" s="8"/>
      <c r="G10" s="8"/>
    </row>
    <row r="11" spans="2:7">
      <c r="B11" s="8"/>
      <c r="C11" s="8"/>
      <c r="D11" s="8"/>
      <c r="E11" s="8"/>
      <c r="F11" s="8"/>
      <c r="G11" s="8"/>
    </row>
    <row r="12" spans="2:7">
      <c r="B12" s="7" t="s">
        <v>55</v>
      </c>
      <c r="C12" s="8"/>
      <c r="D12" s="8"/>
      <c r="E12" s="8"/>
      <c r="F12" s="8"/>
      <c r="G12" s="8"/>
    </row>
    <row r="13" spans="2:7">
      <c r="B13" s="6"/>
      <c r="C13" s="6" t="s">
        <v>56</v>
      </c>
      <c r="E13" s="6"/>
      <c r="F13" s="6"/>
      <c r="G13" s="6"/>
    </row>
    <row r="14" spans="2:7">
      <c r="B14" s="6"/>
      <c r="C14" s="6"/>
      <c r="D14" s="5" t="s">
        <v>57</v>
      </c>
      <c r="E14" s="5" t="s">
        <v>58</v>
      </c>
      <c r="F14" s="5" t="s">
        <v>59</v>
      </c>
      <c r="G14" s="5" t="s">
        <v>60</v>
      </c>
    </row>
    <row r="15" spans="2:7">
      <c r="C15" t="s">
        <v>9</v>
      </c>
      <c r="D15">
        <v>745.2</v>
      </c>
      <c r="E15">
        <v>641.9</v>
      </c>
      <c r="F15" s="10">
        <f>(143.73*E15/(D15-E15))-13.95</f>
        <v>879.17959341723065</v>
      </c>
      <c r="G15" s="11">
        <f>10^-3*F15</f>
        <v>0.87917959341723062</v>
      </c>
    </row>
    <row r="16" spans="2:7">
      <c r="C16" t="s">
        <v>10</v>
      </c>
      <c r="D16">
        <v>745.1</v>
      </c>
      <c r="E16">
        <v>638.70000000000005</v>
      </c>
      <c r="F16" s="10">
        <f t="shared" ref="F16:F38" si="0">(143.73*E16/(D16-E16))-13.95</f>
        <v>848.8352537593986</v>
      </c>
      <c r="G16" s="11">
        <f t="shared" ref="G16:G38" si="1">10^-3*F16</f>
        <v>0.84883525375939861</v>
      </c>
    </row>
    <row r="17" spans="3:7">
      <c r="C17" t="s">
        <v>11</v>
      </c>
      <c r="D17">
        <v>745.7</v>
      </c>
      <c r="E17">
        <v>644.70000000000005</v>
      </c>
      <c r="F17" s="10">
        <f t="shared" si="0"/>
        <v>903.50278217821779</v>
      </c>
      <c r="G17" s="11">
        <f t="shared" si="1"/>
        <v>0.90350278217821778</v>
      </c>
    </row>
    <row r="18" spans="3:7">
      <c r="C18" t="s">
        <v>12</v>
      </c>
      <c r="D18">
        <v>744.7</v>
      </c>
      <c r="E18">
        <v>637.79999999999995</v>
      </c>
      <c r="F18" s="10">
        <f t="shared" si="0"/>
        <v>843.58970065481674</v>
      </c>
      <c r="G18" s="11">
        <f t="shared" si="1"/>
        <v>0.84358970065481675</v>
      </c>
    </row>
    <row r="19" spans="3:7">
      <c r="C19" t="s">
        <v>13</v>
      </c>
      <c r="D19">
        <v>745.4</v>
      </c>
      <c r="E19">
        <v>644.20000000000005</v>
      </c>
      <c r="F19" s="10">
        <f t="shared" si="0"/>
        <v>900.97950592885422</v>
      </c>
      <c r="G19" s="11">
        <f t="shared" si="1"/>
        <v>0.90097950592885423</v>
      </c>
    </row>
    <row r="20" spans="3:7">
      <c r="C20" t="s">
        <v>14</v>
      </c>
      <c r="D20">
        <v>744.8</v>
      </c>
      <c r="E20">
        <v>638.9</v>
      </c>
      <c r="F20" s="10">
        <f t="shared" si="0"/>
        <v>853.18028328611911</v>
      </c>
      <c r="G20" s="11">
        <f t="shared" si="1"/>
        <v>0.85318028328611917</v>
      </c>
    </row>
    <row r="21" spans="3:7">
      <c r="C21" t="s">
        <v>27</v>
      </c>
      <c r="D21">
        <v>745.4</v>
      </c>
      <c r="E21">
        <v>645.6</v>
      </c>
      <c r="F21" s="10">
        <f t="shared" si="0"/>
        <v>915.83044088176393</v>
      </c>
      <c r="G21" s="11">
        <f t="shared" si="1"/>
        <v>0.91583044088176391</v>
      </c>
    </row>
    <row r="22" spans="3:7">
      <c r="C22" t="s">
        <v>28</v>
      </c>
      <c r="D22">
        <v>745.4</v>
      </c>
      <c r="E22">
        <v>645.5</v>
      </c>
      <c r="F22" s="10">
        <f t="shared" si="0"/>
        <v>914.755855855856</v>
      </c>
      <c r="G22" s="11">
        <f t="shared" si="1"/>
        <v>0.91475585585585606</v>
      </c>
    </row>
    <row r="23" spans="3:7">
      <c r="C23" t="s">
        <v>29</v>
      </c>
      <c r="D23">
        <v>746</v>
      </c>
      <c r="E23">
        <v>650.29999999999995</v>
      </c>
      <c r="F23" s="10">
        <f t="shared" si="0"/>
        <v>962.72313479623767</v>
      </c>
      <c r="G23" s="11">
        <f t="shared" si="1"/>
        <v>0.96272313479623772</v>
      </c>
    </row>
    <row r="24" spans="3:7">
      <c r="C24" t="s">
        <v>30</v>
      </c>
      <c r="D24">
        <v>745.5</v>
      </c>
      <c r="E24">
        <v>645.70000000000005</v>
      </c>
      <c r="F24" s="10">
        <f t="shared" si="0"/>
        <v>915.97445891783605</v>
      </c>
      <c r="G24" s="11">
        <f t="shared" si="1"/>
        <v>0.91597445891783602</v>
      </c>
    </row>
    <row r="25" spans="3:7">
      <c r="C25" t="s">
        <v>31</v>
      </c>
      <c r="D25">
        <v>745.4</v>
      </c>
      <c r="E25">
        <v>646</v>
      </c>
      <c r="F25" s="10">
        <f t="shared" si="0"/>
        <v>920.15040241448696</v>
      </c>
      <c r="G25" s="11">
        <f t="shared" si="1"/>
        <v>0.92015040241448698</v>
      </c>
    </row>
    <row r="26" spans="3:7">
      <c r="C26" t="s">
        <v>32</v>
      </c>
      <c r="D26">
        <v>745.2</v>
      </c>
      <c r="E26">
        <v>644.20000000000005</v>
      </c>
      <c r="F26" s="10">
        <f t="shared" si="0"/>
        <v>902.79124752475241</v>
      </c>
      <c r="G26" s="11">
        <f t="shared" si="1"/>
        <v>0.90279124752475237</v>
      </c>
    </row>
    <row r="27" spans="3:7">
      <c r="C27" t="s">
        <v>15</v>
      </c>
      <c r="D27">
        <v>744.8</v>
      </c>
      <c r="E27">
        <v>641.29999999999995</v>
      </c>
      <c r="F27" s="10">
        <f t="shared" si="0"/>
        <v>876.62052173913025</v>
      </c>
      <c r="G27" s="11">
        <f t="shared" si="1"/>
        <v>0.8766205217391303</v>
      </c>
    </row>
    <row r="28" spans="3:7">
      <c r="C28" t="s">
        <v>16</v>
      </c>
      <c r="D28">
        <v>744.7</v>
      </c>
      <c r="E28">
        <v>637.79999999999995</v>
      </c>
      <c r="F28" s="10">
        <f t="shared" si="0"/>
        <v>843.58970065481674</v>
      </c>
      <c r="G28" s="11">
        <f t="shared" si="1"/>
        <v>0.84358970065481675</v>
      </c>
    </row>
    <row r="29" spans="3:7">
      <c r="C29" t="s">
        <v>17</v>
      </c>
      <c r="D29">
        <v>744.2</v>
      </c>
      <c r="E29">
        <v>634.4</v>
      </c>
      <c r="F29" s="10">
        <f t="shared" si="0"/>
        <v>816.48999999999933</v>
      </c>
      <c r="G29" s="11">
        <f t="shared" si="1"/>
        <v>0.81648999999999938</v>
      </c>
    </row>
    <row r="30" spans="3:7">
      <c r="C30" t="s">
        <v>18</v>
      </c>
      <c r="D30">
        <v>745.2</v>
      </c>
      <c r="E30">
        <v>644.1</v>
      </c>
      <c r="F30" s="10">
        <f t="shared" si="0"/>
        <v>901.74231454005917</v>
      </c>
      <c r="G30" s="11">
        <f t="shared" si="1"/>
        <v>0.90174231454005915</v>
      </c>
    </row>
    <row r="31" spans="3:7">
      <c r="C31" t="s">
        <v>19</v>
      </c>
      <c r="D31">
        <v>744.3</v>
      </c>
      <c r="E31">
        <v>635.29999999999995</v>
      </c>
      <c r="F31" s="10">
        <f t="shared" si="0"/>
        <v>823.77173394495389</v>
      </c>
      <c r="G31" s="11">
        <f t="shared" si="1"/>
        <v>0.82377173394495395</v>
      </c>
    </row>
    <row r="32" spans="3:7">
      <c r="C32" t="s">
        <v>20</v>
      </c>
      <c r="D32">
        <v>744.8</v>
      </c>
      <c r="E32">
        <v>639.9</v>
      </c>
      <c r="F32" s="10">
        <f t="shared" si="0"/>
        <v>862.81670162059106</v>
      </c>
      <c r="G32" s="11">
        <f t="shared" si="1"/>
        <v>0.8628167016205911</v>
      </c>
    </row>
    <row r="33" spans="3:7">
      <c r="C33" t="s">
        <v>33</v>
      </c>
      <c r="D33">
        <v>745.4</v>
      </c>
      <c r="E33" s="12">
        <v>645.20000000000005</v>
      </c>
      <c r="F33" s="10">
        <f t="shared" si="0"/>
        <v>911.54497005988082</v>
      </c>
      <c r="G33" s="11">
        <f t="shared" si="1"/>
        <v>0.91154497005988089</v>
      </c>
    </row>
    <row r="34" spans="3:7">
      <c r="C34" t="s">
        <v>34</v>
      </c>
      <c r="D34" s="12">
        <v>745.4</v>
      </c>
      <c r="E34" s="12">
        <v>644.5</v>
      </c>
      <c r="F34" s="10">
        <f t="shared" si="0"/>
        <v>904.12715559960373</v>
      </c>
      <c r="G34" s="11">
        <f t="shared" si="1"/>
        <v>0.90412715559960377</v>
      </c>
    </row>
    <row r="35" spans="3:7">
      <c r="C35" t="s">
        <v>35</v>
      </c>
      <c r="D35" s="12">
        <v>745.2</v>
      </c>
      <c r="E35" s="12">
        <v>643.79999999999995</v>
      </c>
      <c r="F35" s="10">
        <f t="shared" si="0"/>
        <v>898.60792899408182</v>
      </c>
      <c r="G35" s="11">
        <f t="shared" si="1"/>
        <v>0.89860792899408182</v>
      </c>
    </row>
    <row r="36" spans="3:7">
      <c r="C36" t="s">
        <v>36</v>
      </c>
      <c r="D36" s="12">
        <v>745.3</v>
      </c>
      <c r="E36" s="12">
        <v>645.1</v>
      </c>
      <c r="F36" s="10">
        <f t="shared" si="0"/>
        <v>911.40152694610833</v>
      </c>
      <c r="G36" s="11">
        <f t="shared" si="1"/>
        <v>0.91140152694610832</v>
      </c>
    </row>
    <row r="37" spans="3:7">
      <c r="C37" t="s">
        <v>37</v>
      </c>
      <c r="D37" s="12">
        <v>746</v>
      </c>
      <c r="E37" s="12">
        <v>650.20000000000005</v>
      </c>
      <c r="F37" s="10">
        <f t="shared" si="0"/>
        <v>961.55361169102332</v>
      </c>
      <c r="G37" s="11">
        <f t="shared" si="1"/>
        <v>0.96155361169102338</v>
      </c>
    </row>
    <row r="38" spans="3:7">
      <c r="C38" t="s">
        <v>38</v>
      </c>
      <c r="D38" s="12">
        <v>745.5</v>
      </c>
      <c r="E38" s="12">
        <v>645</v>
      </c>
      <c r="F38" s="10">
        <f t="shared" si="0"/>
        <v>908.49626865671632</v>
      </c>
      <c r="G38" s="11">
        <f t="shared" si="1"/>
        <v>0.90849626865671629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7"/>
  <sheetViews>
    <sheetView workbookViewId="0">
      <pane ySplit="1" topLeftCell="A2" activePane="bottomLeft" state="frozen"/>
      <selection pane="bottomLeft" activeCell="S2" sqref="S2"/>
    </sheetView>
  </sheetViews>
  <sheetFormatPr baseColWidth="10" defaultRowHeight="15" x14ac:dyDescent="0"/>
  <cols>
    <col min="7" max="8" width="10.83203125" style="11"/>
    <col min="11" max="11" width="12.1640625" bestFit="1" customWidth="1"/>
    <col min="16" max="16" width="10.83203125" style="14"/>
    <col min="18" max="18" width="10.83203125" style="1"/>
  </cols>
  <sheetData>
    <row r="1" spans="1:19">
      <c r="A1" t="s">
        <v>1</v>
      </c>
      <c r="B1" t="s">
        <v>3</v>
      </c>
      <c r="C1" t="s">
        <v>4</v>
      </c>
      <c r="D1" t="s">
        <v>5</v>
      </c>
      <c r="E1" t="s">
        <v>23</v>
      </c>
      <c r="F1" t="s">
        <v>77</v>
      </c>
      <c r="G1" s="11" t="s">
        <v>61</v>
      </c>
      <c r="H1" s="11" t="s">
        <v>75</v>
      </c>
      <c r="I1" t="s">
        <v>24</v>
      </c>
      <c r="J1" t="s">
        <v>2</v>
      </c>
      <c r="K1" t="s">
        <v>21</v>
      </c>
      <c r="L1" t="s">
        <v>25</v>
      </c>
      <c r="M1" t="s">
        <v>7</v>
      </c>
      <c r="N1" t="s">
        <v>8</v>
      </c>
      <c r="O1" t="s">
        <v>6</v>
      </c>
      <c r="P1" s="14" t="s">
        <v>46</v>
      </c>
      <c r="Q1" t="s">
        <v>22</v>
      </c>
      <c r="R1" s="1" t="s">
        <v>39</v>
      </c>
      <c r="S1" t="s">
        <v>83</v>
      </c>
    </row>
    <row r="2" spans="1:19">
      <c r="A2" t="str">
        <f>IF(LEFT(H2,1)="W","WB "&amp;LEFT(RIGHT(H2,4),2)&amp;" C","TVA "&amp;LEFT(RIGHT(H2,4),2)&amp;" C")</f>
        <v>WB 3E C</v>
      </c>
      <c r="B2">
        <v>2004</v>
      </c>
      <c r="C2">
        <v>8</v>
      </c>
      <c r="D2">
        <v>27</v>
      </c>
      <c r="E2">
        <v>1</v>
      </c>
      <c r="F2">
        <v>1</v>
      </c>
      <c r="G2" s="11">
        <f>VLOOKUP(I2,jarInfo!$C$15:$G$32,5,FALSE)</f>
        <v>0.87917959341723062</v>
      </c>
      <c r="H2" s="11" t="str">
        <f>IF(RIGHT(I2,1)=" ",LEFT(I2,LEN(I2)-1),I2)</f>
        <v>WB-3E-C</v>
      </c>
      <c r="I2" t="s">
        <v>9</v>
      </c>
      <c r="J2">
        <v>3</v>
      </c>
      <c r="K2">
        <v>0.68055555555555547</v>
      </c>
      <c r="L2">
        <v>2123.9</v>
      </c>
      <c r="M2">
        <v>1.1999999999999999E-3</v>
      </c>
      <c r="N2">
        <v>4.1999999999999997E-3</v>
      </c>
      <c r="O2">
        <f>IF(L2="","",(L2*M2+N2)/J2)</f>
        <v>0.85096000000000005</v>
      </c>
      <c r="P2" s="14">
        <f>(O2*G2/(IF(Q2="",constants!$F$2+constants!$A$2,timeSeries!Q2+constants!$A$2)*constants!$E$2))*(1/constants!$D$2)*10^3</f>
        <v>0.7052475916441947</v>
      </c>
    </row>
    <row r="3" spans="1:19">
      <c r="A3" t="str">
        <f t="shared" ref="A3:A66" si="0">IF(LEFT(H3,1)="W","WB "&amp;LEFT(RIGHT(H3,4),2)&amp;" C","TVA "&amp;LEFT(RIGHT(H3,4),2)&amp;" C")</f>
        <v>WB 4B C</v>
      </c>
      <c r="B3">
        <v>2004</v>
      </c>
      <c r="C3">
        <v>8</v>
      </c>
      <c r="D3">
        <v>27</v>
      </c>
      <c r="E3">
        <v>1</v>
      </c>
      <c r="F3">
        <v>1</v>
      </c>
      <c r="G3" s="11">
        <f>VLOOKUP(I3,jarInfo!$C$15:$G$32,5,FALSE)</f>
        <v>0.84883525375939861</v>
      </c>
      <c r="H3" s="11" t="str">
        <f t="shared" ref="H3:H66" si="1">IF(RIGHT(I3,1)=" ",LEFT(I3,LEN(I3)-1),I3)</f>
        <v>WB-4B-C</v>
      </c>
      <c r="I3" t="s">
        <v>10</v>
      </c>
      <c r="J3">
        <v>2</v>
      </c>
      <c r="K3">
        <v>0.68194444444444446</v>
      </c>
      <c r="L3">
        <v>2216.4</v>
      </c>
      <c r="M3">
        <v>1.1999999999999999E-3</v>
      </c>
      <c r="N3">
        <v>4.1999999999999997E-3</v>
      </c>
      <c r="O3">
        <f t="shared" ref="O3:O66" si="2">IF(L3="","",(L3*M3+N3)/J3)</f>
        <v>1.3319399999999999</v>
      </c>
      <c r="P3" s="14">
        <f>(O3*G3/(IF(Q3="",constants!$F$2+constants!$A$2,timeSeries!Q3+constants!$A$2)*constants!$E$2))*(1/constants!$D$2)*10^3</f>
        <v>1.065768638099893</v>
      </c>
    </row>
    <row r="4" spans="1:19">
      <c r="A4" t="str">
        <f t="shared" si="0"/>
        <v>WB 5B C</v>
      </c>
      <c r="B4">
        <v>2004</v>
      </c>
      <c r="C4">
        <v>8</v>
      </c>
      <c r="D4">
        <v>27</v>
      </c>
      <c r="E4">
        <v>1</v>
      </c>
      <c r="F4">
        <v>1</v>
      </c>
      <c r="G4" s="11">
        <f>VLOOKUP(I4,jarInfo!$C$15:$G$32,5,FALSE)</f>
        <v>0.90350278217821778</v>
      </c>
      <c r="H4" s="11" t="str">
        <f t="shared" si="1"/>
        <v>WB-5B-C</v>
      </c>
      <c r="I4" t="s">
        <v>11</v>
      </c>
      <c r="J4">
        <v>2</v>
      </c>
      <c r="K4">
        <v>0.68333333333333324</v>
      </c>
      <c r="L4">
        <v>2457.8000000000002</v>
      </c>
      <c r="M4">
        <v>1.1999999999999999E-3</v>
      </c>
      <c r="N4">
        <v>4.1999999999999997E-3</v>
      </c>
      <c r="O4">
        <f t="shared" si="2"/>
        <v>1.47678</v>
      </c>
      <c r="P4" s="14">
        <f>(O4*G4/(IF(Q4="",constants!$F$2+constants!$A$2,timeSeries!Q4+constants!$A$2)*constants!$E$2))*(1/constants!$D$2)*10^3</f>
        <v>1.2577669036031087</v>
      </c>
    </row>
    <row r="5" spans="1:19">
      <c r="A5" t="str">
        <f t="shared" si="0"/>
        <v>WB 6E C</v>
      </c>
      <c r="B5">
        <v>2004</v>
      </c>
      <c r="C5">
        <v>8</v>
      </c>
      <c r="D5">
        <v>27</v>
      </c>
      <c r="E5">
        <v>1</v>
      </c>
      <c r="F5">
        <v>1</v>
      </c>
      <c r="G5" s="11">
        <f>VLOOKUP(I5,jarInfo!$C$15:$G$32,5,FALSE)</f>
        <v>0.84358970065481675</v>
      </c>
      <c r="H5" s="11" t="str">
        <f t="shared" si="1"/>
        <v>WB-6E-C</v>
      </c>
      <c r="I5" t="s">
        <v>12</v>
      </c>
      <c r="J5">
        <v>2</v>
      </c>
      <c r="K5">
        <v>0.68472222222222223</v>
      </c>
      <c r="L5">
        <v>2044.9</v>
      </c>
      <c r="M5">
        <v>1.1999999999999999E-3</v>
      </c>
      <c r="N5">
        <v>4.1999999999999997E-3</v>
      </c>
      <c r="O5">
        <f t="shared" si="2"/>
        <v>1.2290399999999999</v>
      </c>
      <c r="P5" s="14">
        <f>(O5*G5/(IF(Q5="",constants!$F$2+constants!$A$2,timeSeries!Q5+constants!$A$2)*constants!$E$2))*(1/constants!$D$2)*10^3</f>
        <v>0.97735458062236158</v>
      </c>
    </row>
    <row r="6" spans="1:19">
      <c r="A6" t="str">
        <f t="shared" si="0"/>
        <v>WB 7E C</v>
      </c>
      <c r="B6">
        <v>2004</v>
      </c>
      <c r="C6">
        <v>8</v>
      </c>
      <c r="D6">
        <v>27</v>
      </c>
      <c r="E6">
        <v>1</v>
      </c>
      <c r="F6">
        <v>1</v>
      </c>
      <c r="G6" s="11">
        <f>VLOOKUP(I6,jarInfo!$C$15:$G$32,5,FALSE)</f>
        <v>0.90097950592885423</v>
      </c>
      <c r="H6" s="11" t="str">
        <f t="shared" si="1"/>
        <v>WB-7E-C</v>
      </c>
      <c r="I6" t="s">
        <v>13</v>
      </c>
      <c r="J6">
        <v>2</v>
      </c>
      <c r="K6">
        <v>0.68611111111111101</v>
      </c>
      <c r="L6">
        <v>2320.6999999999998</v>
      </c>
      <c r="M6">
        <v>1.1999999999999999E-3</v>
      </c>
      <c r="N6">
        <v>4.1999999999999997E-3</v>
      </c>
      <c r="O6">
        <f t="shared" si="2"/>
        <v>1.3945199999999998</v>
      </c>
      <c r="P6" s="14">
        <f>(O6*G6/(IF(Q6="",constants!$F$2+constants!$A$2,timeSeries!Q6+constants!$A$2)*constants!$E$2))*(1/constants!$D$2)*10^3</f>
        <v>1.1843894385666762</v>
      </c>
    </row>
    <row r="7" spans="1:19">
      <c r="A7" t="str">
        <f t="shared" si="0"/>
        <v>WB 8B C</v>
      </c>
      <c r="B7">
        <v>2004</v>
      </c>
      <c r="C7">
        <v>8</v>
      </c>
      <c r="D7">
        <v>27</v>
      </c>
      <c r="E7">
        <v>1</v>
      </c>
      <c r="F7">
        <v>1</v>
      </c>
      <c r="G7" s="11">
        <f>VLOOKUP(I7,jarInfo!$C$15:$G$32,5,FALSE)</f>
        <v>0.85318028328611917</v>
      </c>
      <c r="H7" s="11" t="str">
        <f t="shared" si="1"/>
        <v>WB-8B-C</v>
      </c>
      <c r="I7" t="s">
        <v>14</v>
      </c>
      <c r="J7">
        <v>3</v>
      </c>
      <c r="K7">
        <v>0.6875</v>
      </c>
      <c r="L7">
        <v>2611.6999999999998</v>
      </c>
      <c r="M7">
        <v>1.1999999999999999E-3</v>
      </c>
      <c r="N7">
        <v>4.1999999999999997E-3</v>
      </c>
      <c r="O7">
        <f t="shared" si="2"/>
        <v>1.0460799999999999</v>
      </c>
      <c r="P7" s="14">
        <f>(O7*G7/(IF(Q7="",constants!$F$2+constants!$A$2,timeSeries!Q7+constants!$A$2)*constants!$E$2))*(1/constants!$D$2)*10^3</f>
        <v>0.84131876522875526</v>
      </c>
    </row>
    <row r="8" spans="1:19">
      <c r="A8" t="str">
        <f t="shared" si="0"/>
        <v>TVA 2B C</v>
      </c>
      <c r="B8">
        <v>2004</v>
      </c>
      <c r="C8">
        <v>8</v>
      </c>
      <c r="D8">
        <v>27</v>
      </c>
      <c r="E8">
        <v>1</v>
      </c>
      <c r="F8">
        <v>1</v>
      </c>
      <c r="G8" s="11">
        <f>VLOOKUP(I8,jarInfo!$C$15:$G$32,5,FALSE)</f>
        <v>0.8766205217391303</v>
      </c>
      <c r="H8" s="11" t="str">
        <f t="shared" si="1"/>
        <v>TVA-2B-C</v>
      </c>
      <c r="I8" t="s">
        <v>15</v>
      </c>
      <c r="J8">
        <v>2</v>
      </c>
      <c r="K8">
        <v>0.68888888888888899</v>
      </c>
      <c r="L8">
        <v>1573</v>
      </c>
      <c r="M8">
        <v>1.1999999999999999E-3</v>
      </c>
      <c r="N8">
        <v>4.1999999999999997E-3</v>
      </c>
      <c r="O8">
        <f t="shared" si="2"/>
        <v>0.94589999999999996</v>
      </c>
      <c r="P8" s="14">
        <f>(O8*G8/(IF(Q8="",constants!$F$2+constants!$A$2,timeSeries!Q8+constants!$A$2)*constants!$E$2))*(1/constants!$D$2)*10^3</f>
        <v>0.78164890735557679</v>
      </c>
    </row>
    <row r="9" spans="1:19">
      <c r="A9" t="str">
        <f t="shared" si="0"/>
        <v>TVA 3B C</v>
      </c>
      <c r="B9">
        <v>2004</v>
      </c>
      <c r="C9">
        <v>8</v>
      </c>
      <c r="D9">
        <v>27</v>
      </c>
      <c r="E9">
        <v>1</v>
      </c>
      <c r="F9">
        <v>1</v>
      </c>
      <c r="G9" s="11">
        <f>VLOOKUP(I9,jarInfo!$C$15:$G$32,5,FALSE)</f>
        <v>0.84358970065481675</v>
      </c>
      <c r="H9" s="11" t="str">
        <f t="shared" si="1"/>
        <v>TVA-3B-C</v>
      </c>
      <c r="I9" t="s">
        <v>16</v>
      </c>
      <c r="J9">
        <v>2</v>
      </c>
      <c r="K9">
        <v>0.69027777777777777</v>
      </c>
      <c r="L9">
        <v>1127.9000000000001</v>
      </c>
      <c r="M9">
        <v>1.1999999999999999E-3</v>
      </c>
      <c r="N9">
        <v>4.1999999999999997E-3</v>
      </c>
      <c r="O9">
        <f t="shared" si="2"/>
        <v>0.67884</v>
      </c>
      <c r="P9" s="14">
        <f>(O9*G9/(IF(Q9="",constants!$F$2+constants!$A$2,timeSeries!Q9+constants!$A$2)*constants!$E$2))*(1/constants!$D$2)*10^3</f>
        <v>0.53982570421604181</v>
      </c>
    </row>
    <row r="10" spans="1:19">
      <c r="A10" t="str">
        <f t="shared" si="0"/>
        <v>TVA 4E C</v>
      </c>
      <c r="B10">
        <v>2004</v>
      </c>
      <c r="C10">
        <v>8</v>
      </c>
      <c r="D10">
        <v>27</v>
      </c>
      <c r="E10">
        <v>1</v>
      </c>
      <c r="F10">
        <v>1</v>
      </c>
      <c r="G10" s="11">
        <f>VLOOKUP(I10,jarInfo!$C$15:$G$32,5,FALSE)</f>
        <v>0.81648999999999938</v>
      </c>
      <c r="H10" s="11" t="str">
        <f t="shared" si="1"/>
        <v>TVA-4E-C</v>
      </c>
      <c r="I10" t="s">
        <v>17</v>
      </c>
      <c r="J10">
        <v>2</v>
      </c>
      <c r="K10">
        <v>0.69166666666666698</v>
      </c>
      <c r="L10">
        <v>2809</v>
      </c>
      <c r="M10">
        <v>1.1999999999999999E-3</v>
      </c>
      <c r="N10">
        <v>4.1999999999999997E-3</v>
      </c>
      <c r="O10">
        <f t="shared" si="2"/>
        <v>1.6874999999999998</v>
      </c>
      <c r="P10" s="14">
        <f>(O10*G10/(IF(Q10="",constants!$F$2+constants!$A$2,timeSeries!Q10+constants!$A$2)*constants!$E$2))*(1/constants!$D$2)*10^3</f>
        <v>1.2988216460737805</v>
      </c>
    </row>
    <row r="11" spans="1:19">
      <c r="A11" t="str">
        <f t="shared" si="0"/>
        <v>TVA 5B C</v>
      </c>
      <c r="B11">
        <v>2004</v>
      </c>
      <c r="C11">
        <v>8</v>
      </c>
      <c r="D11">
        <v>27</v>
      </c>
      <c r="E11">
        <v>1</v>
      </c>
      <c r="F11">
        <v>1</v>
      </c>
      <c r="G11" s="11">
        <f>VLOOKUP(I11,jarInfo!$C$15:$G$32,5,FALSE)</f>
        <v>0.90174231454005915</v>
      </c>
      <c r="H11" s="11" t="str">
        <f t="shared" si="1"/>
        <v>TVA-5B-C</v>
      </c>
      <c r="I11" t="s">
        <v>18</v>
      </c>
      <c r="J11">
        <v>2</v>
      </c>
      <c r="K11">
        <v>0.69305555555555498</v>
      </c>
      <c r="L11">
        <v>2000.1</v>
      </c>
      <c r="M11">
        <v>1.1999999999999999E-3</v>
      </c>
      <c r="N11">
        <v>4.1999999999999997E-3</v>
      </c>
      <c r="O11">
        <f t="shared" si="2"/>
        <v>1.2021599999999999</v>
      </c>
      <c r="P11" s="14">
        <f>(O11*G11/(IF(Q11="",constants!$F$2+constants!$A$2,timeSeries!Q11+constants!$A$2)*constants!$E$2))*(1/constants!$D$2)*10^3</f>
        <v>1.0218792705948208</v>
      </c>
    </row>
    <row r="12" spans="1:19">
      <c r="A12" t="str">
        <f t="shared" si="0"/>
        <v>TVA 6E C</v>
      </c>
      <c r="B12">
        <v>2004</v>
      </c>
      <c r="C12">
        <v>8</v>
      </c>
      <c r="D12">
        <v>27</v>
      </c>
      <c r="E12">
        <v>1</v>
      </c>
      <c r="F12">
        <v>1</v>
      </c>
      <c r="G12" s="11">
        <f>VLOOKUP(I12,jarInfo!$C$15:$G$32,5,FALSE)</f>
        <v>0.82377173394495395</v>
      </c>
      <c r="H12" s="11" t="str">
        <f t="shared" si="1"/>
        <v>TVA-6E-C</v>
      </c>
      <c r="I12" t="s">
        <v>19</v>
      </c>
      <c r="J12">
        <v>2</v>
      </c>
      <c r="K12">
        <v>0.69444444444444398</v>
      </c>
      <c r="L12">
        <v>2440.6999999999998</v>
      </c>
      <c r="M12">
        <v>1.1999999999999999E-3</v>
      </c>
      <c r="N12">
        <v>4.1999999999999997E-3</v>
      </c>
      <c r="O12">
        <f t="shared" si="2"/>
        <v>1.4665199999999998</v>
      </c>
      <c r="P12" s="14">
        <f>(O12*G12/(IF(Q12="",constants!$F$2+constants!$A$2,timeSeries!Q12+constants!$A$2)*constants!$E$2))*(1/constants!$D$2)*10^3</f>
        <v>1.1388059890441995</v>
      </c>
    </row>
    <row r="13" spans="1:19">
      <c r="A13" t="str">
        <f t="shared" si="0"/>
        <v>TVA 8E C</v>
      </c>
      <c r="B13">
        <v>2004</v>
      </c>
      <c r="C13">
        <v>8</v>
      </c>
      <c r="D13">
        <v>27</v>
      </c>
      <c r="E13">
        <v>1</v>
      </c>
      <c r="F13">
        <v>1</v>
      </c>
      <c r="G13" s="11">
        <f>VLOOKUP(I13,jarInfo!$C$15:$G$32,5,FALSE)</f>
        <v>0.8628167016205911</v>
      </c>
      <c r="H13" s="11" t="str">
        <f t="shared" si="1"/>
        <v>TVA-8E-C</v>
      </c>
      <c r="I13" t="s">
        <v>20</v>
      </c>
      <c r="J13">
        <v>2</v>
      </c>
      <c r="K13">
        <v>0.69583333333333297</v>
      </c>
      <c r="L13">
        <v>2023.3</v>
      </c>
      <c r="M13">
        <v>1.1999999999999999E-3</v>
      </c>
      <c r="N13">
        <v>4.1999999999999997E-3</v>
      </c>
      <c r="O13">
        <f t="shared" si="2"/>
        <v>1.2160799999999998</v>
      </c>
      <c r="P13" s="14">
        <f>(O13*G13/(IF(Q13="",constants!$F$2+constants!$A$2,timeSeries!Q13+constants!$A$2)*constants!$E$2))*(1/constants!$D$2)*10^3</f>
        <v>0.989089418167868</v>
      </c>
    </row>
    <row r="14" spans="1:19">
      <c r="A14" t="str">
        <f t="shared" si="0"/>
        <v>WB 3E C</v>
      </c>
      <c r="B14">
        <v>2004</v>
      </c>
      <c r="C14">
        <v>8</v>
      </c>
      <c r="D14">
        <v>28</v>
      </c>
      <c r="E14">
        <f t="shared" ref="E14:E45" si="3">IF(R14&lt;-1,E2+1,E2)</f>
        <v>1</v>
      </c>
      <c r="F14">
        <f>F2+1</f>
        <v>2</v>
      </c>
      <c r="G14" s="11">
        <f>VLOOKUP(I14,jarInfo!$C$15:$G$32,5,FALSE)</f>
        <v>0.87917959341723062</v>
      </c>
      <c r="H14" s="11" t="str">
        <f t="shared" si="1"/>
        <v>WB-3E-C</v>
      </c>
      <c r="I14" t="s">
        <v>9</v>
      </c>
      <c r="J14">
        <v>2</v>
      </c>
      <c r="K14">
        <v>0.68055555555555547</v>
      </c>
      <c r="L14">
        <v>2398.6999999999998</v>
      </c>
      <c r="M14">
        <v>1.2999999999999999E-3</v>
      </c>
      <c r="N14">
        <v>7.4200000000000002E-2</v>
      </c>
      <c r="O14">
        <f t="shared" si="2"/>
        <v>1.5962549999999998</v>
      </c>
      <c r="P14" s="14">
        <f>(O14*G14/(IF(Q14="",constants!$F$2+constants!$A$2,timeSeries!Q14+constants!$A$2)*constants!$E$2))*(1/constants!$D$2)*10^3</f>
        <v>1.3229235150888452</v>
      </c>
      <c r="R14" s="1">
        <f>O14-O2</f>
        <v>0.74529499999999971</v>
      </c>
    </row>
    <row r="15" spans="1:19">
      <c r="A15" t="str">
        <f t="shared" si="0"/>
        <v>WB 4B C</v>
      </c>
      <c r="B15">
        <v>2004</v>
      </c>
      <c r="C15">
        <v>8</v>
      </c>
      <c r="D15">
        <v>28</v>
      </c>
      <c r="E15">
        <f t="shared" si="3"/>
        <v>1</v>
      </c>
      <c r="F15">
        <f t="shared" ref="F15:F73" si="4">F3+1</f>
        <v>2</v>
      </c>
      <c r="G15" s="11">
        <f>VLOOKUP(I15,jarInfo!$C$15:$G$32,5,FALSE)</f>
        <v>0.84883525375939861</v>
      </c>
      <c r="H15" s="11" t="str">
        <f t="shared" si="1"/>
        <v>WB-4B-C</v>
      </c>
      <c r="I15" t="s">
        <v>10</v>
      </c>
      <c r="J15">
        <v>2</v>
      </c>
      <c r="K15">
        <v>0.68194444444444446</v>
      </c>
      <c r="L15">
        <v>3796.1</v>
      </c>
      <c r="M15">
        <v>1.2999999999999999E-3</v>
      </c>
      <c r="N15">
        <v>7.4200000000000002E-2</v>
      </c>
      <c r="O15">
        <f t="shared" si="2"/>
        <v>2.5045649999999999</v>
      </c>
      <c r="P15" s="14">
        <f>(O15*G15/(IF(Q15="",constants!$F$2+constants!$A$2,timeSeries!Q15+constants!$A$2)*constants!$E$2))*(1/constants!$D$2)*10^3</f>
        <v>2.0040593638472139</v>
      </c>
      <c r="R15" s="1">
        <f t="shared" ref="R15:R78" si="5">O15-O3</f>
        <v>1.172625</v>
      </c>
    </row>
    <row r="16" spans="1:19">
      <c r="A16" t="str">
        <f t="shared" si="0"/>
        <v>WB 5B C</v>
      </c>
      <c r="B16">
        <v>2004</v>
      </c>
      <c r="C16">
        <v>8</v>
      </c>
      <c r="D16">
        <v>28</v>
      </c>
      <c r="E16">
        <f t="shared" si="3"/>
        <v>1</v>
      </c>
      <c r="F16">
        <f t="shared" si="4"/>
        <v>2</v>
      </c>
      <c r="G16" s="11">
        <f>VLOOKUP(I16,jarInfo!$C$15:$G$32,5,FALSE)</f>
        <v>0.90350278217821778</v>
      </c>
      <c r="H16" s="11" t="str">
        <f t="shared" si="1"/>
        <v>WB-5B-C</v>
      </c>
      <c r="I16" t="s">
        <v>11</v>
      </c>
      <c r="J16">
        <v>2</v>
      </c>
      <c r="K16">
        <v>0.68333333333333324</v>
      </c>
      <c r="L16">
        <v>4302.3</v>
      </c>
      <c r="M16">
        <v>1.2999999999999999E-3</v>
      </c>
      <c r="N16">
        <v>7.4200000000000002E-2</v>
      </c>
      <c r="O16">
        <f t="shared" si="2"/>
        <v>2.8335950000000003</v>
      </c>
      <c r="P16" s="14">
        <f>(O16*G16/(IF(Q16="",constants!$F$2+constants!$A$2,timeSeries!Q16+constants!$A$2)*constants!$E$2))*(1/constants!$D$2)*10^3</f>
        <v>2.4133601546711434</v>
      </c>
      <c r="R16" s="1">
        <f t="shared" si="5"/>
        <v>1.3568150000000003</v>
      </c>
    </row>
    <row r="17" spans="1:18">
      <c r="A17" t="str">
        <f t="shared" si="0"/>
        <v>WB 6E C</v>
      </c>
      <c r="B17">
        <v>2004</v>
      </c>
      <c r="C17">
        <v>8</v>
      </c>
      <c r="D17">
        <v>28</v>
      </c>
      <c r="E17">
        <f t="shared" si="3"/>
        <v>1</v>
      </c>
      <c r="F17">
        <f t="shared" si="4"/>
        <v>2</v>
      </c>
      <c r="G17" s="11">
        <f>VLOOKUP(I17,jarInfo!$C$15:$G$32,5,FALSE)</f>
        <v>0.84358970065481675</v>
      </c>
      <c r="H17" s="11" t="str">
        <f t="shared" si="1"/>
        <v>WB-6E-C</v>
      </c>
      <c r="I17" t="s">
        <v>12</v>
      </c>
      <c r="J17">
        <v>2</v>
      </c>
      <c r="K17">
        <v>0.68472222222222223</v>
      </c>
      <c r="L17">
        <v>3357</v>
      </c>
      <c r="M17">
        <v>1.2999999999999999E-3</v>
      </c>
      <c r="N17">
        <v>7.4200000000000002E-2</v>
      </c>
      <c r="O17">
        <f t="shared" si="2"/>
        <v>2.21915</v>
      </c>
      <c r="P17" s="14">
        <f>(O17*G17/(IF(Q17="",constants!$F$2+constants!$A$2,timeSeries!Q17+constants!$A$2)*constants!$E$2))*(1/constants!$D$2)*10^3</f>
        <v>1.7647077536842686</v>
      </c>
      <c r="R17" s="1">
        <f t="shared" si="5"/>
        <v>0.99011000000000005</v>
      </c>
    </row>
    <row r="18" spans="1:18">
      <c r="A18" t="str">
        <f t="shared" si="0"/>
        <v>WB 7E C</v>
      </c>
      <c r="B18">
        <v>2004</v>
      </c>
      <c r="C18">
        <v>8</v>
      </c>
      <c r="D18">
        <v>28</v>
      </c>
      <c r="E18">
        <f t="shared" si="3"/>
        <v>1</v>
      </c>
      <c r="F18">
        <f t="shared" si="4"/>
        <v>2</v>
      </c>
      <c r="G18" s="11">
        <f>VLOOKUP(I18,jarInfo!$C$15:$G$32,5,FALSE)</f>
        <v>0.90097950592885423</v>
      </c>
      <c r="H18" s="11" t="str">
        <f t="shared" si="1"/>
        <v>WB-7E-C</v>
      </c>
      <c r="I18" t="s">
        <v>13</v>
      </c>
      <c r="J18">
        <v>2</v>
      </c>
      <c r="K18">
        <v>0.68611111111111101</v>
      </c>
      <c r="L18">
        <v>4020.4</v>
      </c>
      <c r="M18">
        <v>1.2999999999999999E-3</v>
      </c>
      <c r="N18">
        <v>7.4200000000000002E-2</v>
      </c>
      <c r="O18">
        <f t="shared" si="2"/>
        <v>2.65036</v>
      </c>
      <c r="P18" s="14">
        <f>(O18*G18/(IF(Q18="",constants!$F$2+constants!$A$2,timeSeries!Q18+constants!$A$2)*constants!$E$2))*(1/constants!$D$2)*10^3</f>
        <v>2.2509956059429603</v>
      </c>
      <c r="R18" s="1">
        <f t="shared" si="5"/>
        <v>1.2558400000000003</v>
      </c>
    </row>
    <row r="19" spans="1:18">
      <c r="A19" t="str">
        <f t="shared" si="0"/>
        <v>WB 8B C</v>
      </c>
      <c r="B19">
        <v>2004</v>
      </c>
      <c r="C19">
        <v>8</v>
      </c>
      <c r="D19">
        <v>28</v>
      </c>
      <c r="E19">
        <f t="shared" si="3"/>
        <v>1</v>
      </c>
      <c r="F19">
        <f t="shared" si="4"/>
        <v>2</v>
      </c>
      <c r="G19" s="11">
        <f>VLOOKUP(I19,jarInfo!$C$15:$G$32,5,FALSE)</f>
        <v>0.85318028328611917</v>
      </c>
      <c r="H19" s="11" t="str">
        <f t="shared" si="1"/>
        <v>WB-8B-C</v>
      </c>
      <c r="I19" t="s">
        <v>14</v>
      </c>
      <c r="J19">
        <v>2</v>
      </c>
      <c r="K19">
        <v>0.6875</v>
      </c>
      <c r="L19">
        <v>2955</v>
      </c>
      <c r="M19">
        <v>1.2999999999999999E-3</v>
      </c>
      <c r="N19">
        <v>7.4200000000000002E-2</v>
      </c>
      <c r="O19">
        <f t="shared" si="2"/>
        <v>1.9578499999999999</v>
      </c>
      <c r="P19" s="14">
        <f>(O19*G19/(IF(Q19="",constants!$F$2+constants!$A$2,timeSeries!Q19+constants!$A$2)*constants!$E$2))*(1/constants!$D$2)*10^3</f>
        <v>1.5746175670150644</v>
      </c>
      <c r="R19" s="1">
        <f t="shared" si="5"/>
        <v>0.91176999999999997</v>
      </c>
    </row>
    <row r="20" spans="1:18">
      <c r="A20" t="str">
        <f t="shared" si="0"/>
        <v>TVA 2B C</v>
      </c>
      <c r="B20">
        <v>2004</v>
      </c>
      <c r="C20">
        <v>8</v>
      </c>
      <c r="D20">
        <v>28</v>
      </c>
      <c r="E20">
        <f t="shared" si="3"/>
        <v>1</v>
      </c>
      <c r="F20">
        <f t="shared" si="4"/>
        <v>2</v>
      </c>
      <c r="G20" s="11">
        <f>VLOOKUP(I20,jarInfo!$C$15:$G$32,5,FALSE)</f>
        <v>0.8766205217391303</v>
      </c>
      <c r="H20" s="11" t="str">
        <f t="shared" si="1"/>
        <v>TVA-2B-C</v>
      </c>
      <c r="I20" t="s">
        <v>15</v>
      </c>
      <c r="J20">
        <v>2</v>
      </c>
      <c r="K20">
        <v>0.68888888888888899</v>
      </c>
      <c r="L20">
        <v>2864.3</v>
      </c>
      <c r="M20">
        <v>1.2999999999999999E-3</v>
      </c>
      <c r="N20">
        <v>7.4200000000000002E-2</v>
      </c>
      <c r="O20">
        <f t="shared" si="2"/>
        <v>1.898895</v>
      </c>
      <c r="P20" s="14">
        <f>(O20*G20/(IF(Q20="",constants!$F$2+constants!$A$2,timeSeries!Q20+constants!$A$2)*constants!$E$2))*(1/constants!$D$2)*10^3</f>
        <v>1.5691608012823428</v>
      </c>
      <c r="R20" s="1">
        <f t="shared" si="5"/>
        <v>0.95299500000000004</v>
      </c>
    </row>
    <row r="21" spans="1:18">
      <c r="A21" t="str">
        <f t="shared" si="0"/>
        <v>TVA 3B C</v>
      </c>
      <c r="B21">
        <v>2004</v>
      </c>
      <c r="C21">
        <v>8</v>
      </c>
      <c r="D21">
        <v>28</v>
      </c>
      <c r="E21">
        <f t="shared" si="3"/>
        <v>1</v>
      </c>
      <c r="F21">
        <f t="shared" si="4"/>
        <v>2</v>
      </c>
      <c r="G21" s="11">
        <f>VLOOKUP(I21,jarInfo!$C$15:$G$32,5,FALSE)</f>
        <v>0.84358970065481675</v>
      </c>
      <c r="H21" s="11" t="str">
        <f t="shared" si="1"/>
        <v>TVA-3B-C</v>
      </c>
      <c r="I21" t="s">
        <v>16</v>
      </c>
      <c r="J21">
        <v>2</v>
      </c>
      <c r="K21">
        <v>0.69027777777777777</v>
      </c>
      <c r="L21">
        <v>1836.5</v>
      </c>
      <c r="M21">
        <v>1.2999999999999999E-3</v>
      </c>
      <c r="N21">
        <v>7.4200000000000002E-2</v>
      </c>
      <c r="O21">
        <f t="shared" si="2"/>
        <v>1.2308249999999998</v>
      </c>
      <c r="P21" s="14">
        <f>(O21*G21/(IF(Q21="",constants!$F$2+constants!$A$2,timeSeries!Q21+constants!$A$2)*constants!$E$2))*(1/constants!$D$2)*10^3</f>
        <v>0.97877404453436656</v>
      </c>
      <c r="R21" s="1">
        <f t="shared" si="5"/>
        <v>0.55198499999999984</v>
      </c>
    </row>
    <row r="22" spans="1:18">
      <c r="A22" t="str">
        <f t="shared" si="0"/>
        <v>TVA 4E C</v>
      </c>
      <c r="B22">
        <v>2004</v>
      </c>
      <c r="C22">
        <v>8</v>
      </c>
      <c r="D22">
        <v>28</v>
      </c>
      <c r="E22">
        <f t="shared" si="3"/>
        <v>1</v>
      </c>
      <c r="F22">
        <f t="shared" si="4"/>
        <v>2</v>
      </c>
      <c r="G22" s="11">
        <f>VLOOKUP(I22,jarInfo!$C$15:$G$32,5,FALSE)</f>
        <v>0.81648999999999938</v>
      </c>
      <c r="H22" s="11" t="str">
        <f t="shared" si="1"/>
        <v>TVA-4E-C</v>
      </c>
      <c r="I22" t="s">
        <v>17</v>
      </c>
      <c r="J22">
        <v>2</v>
      </c>
      <c r="K22">
        <v>0.69166666666666698</v>
      </c>
      <c r="L22">
        <v>4985.7</v>
      </c>
      <c r="M22">
        <v>1.2999999999999999E-3</v>
      </c>
      <c r="N22">
        <v>7.4200000000000002E-2</v>
      </c>
      <c r="O22">
        <f t="shared" si="2"/>
        <v>3.2778049999999999</v>
      </c>
      <c r="P22" s="14">
        <f>(O22*G22/(IF(Q22="",constants!$F$2+constants!$A$2,timeSeries!Q22+constants!$A$2)*constants!$E$2))*(1/constants!$D$2)*10^3</f>
        <v>2.5228350136941442</v>
      </c>
      <c r="R22" s="1">
        <f t="shared" si="5"/>
        <v>1.5903050000000001</v>
      </c>
    </row>
    <row r="23" spans="1:18">
      <c r="A23" t="str">
        <f t="shared" si="0"/>
        <v>TVA 5B C</v>
      </c>
      <c r="B23">
        <v>2004</v>
      </c>
      <c r="C23">
        <v>8</v>
      </c>
      <c r="D23">
        <v>28</v>
      </c>
      <c r="E23">
        <f t="shared" si="3"/>
        <v>1</v>
      </c>
      <c r="F23">
        <f t="shared" si="4"/>
        <v>2</v>
      </c>
      <c r="G23" s="11">
        <f>VLOOKUP(I23,jarInfo!$C$15:$G$32,5,FALSE)</f>
        <v>0.90174231454005915</v>
      </c>
      <c r="H23" s="11" t="str">
        <f t="shared" si="1"/>
        <v>TVA-5B-C</v>
      </c>
      <c r="I23" t="s">
        <v>18</v>
      </c>
      <c r="J23">
        <v>2</v>
      </c>
      <c r="K23">
        <v>0.69305555555555498</v>
      </c>
      <c r="L23">
        <v>3378.8</v>
      </c>
      <c r="M23">
        <v>1.2999999999999999E-3</v>
      </c>
      <c r="N23">
        <v>7.4200000000000002E-2</v>
      </c>
      <c r="O23">
        <f t="shared" si="2"/>
        <v>2.23332</v>
      </c>
      <c r="P23" s="14">
        <f>(O23*G23/(IF(Q23="",constants!$F$2+constants!$A$2,timeSeries!Q23+constants!$A$2)*constants!$E$2))*(1/constants!$D$2)*10^3</f>
        <v>1.8984023862088448</v>
      </c>
      <c r="R23" s="1">
        <f t="shared" si="5"/>
        <v>1.0311600000000001</v>
      </c>
    </row>
    <row r="24" spans="1:18">
      <c r="A24" t="str">
        <f t="shared" si="0"/>
        <v>TVA 6E C</v>
      </c>
      <c r="B24">
        <v>2004</v>
      </c>
      <c r="C24">
        <v>8</v>
      </c>
      <c r="D24">
        <v>28</v>
      </c>
      <c r="E24">
        <f t="shared" si="3"/>
        <v>1</v>
      </c>
      <c r="F24">
        <f t="shared" si="4"/>
        <v>2</v>
      </c>
      <c r="G24" s="11">
        <f>VLOOKUP(I24,jarInfo!$C$15:$G$32,5,FALSE)</f>
        <v>0.82377173394495395</v>
      </c>
      <c r="H24" s="11" t="str">
        <f t="shared" si="1"/>
        <v>TVA-6E-C</v>
      </c>
      <c r="I24" t="s">
        <v>19</v>
      </c>
      <c r="J24">
        <v>2</v>
      </c>
      <c r="K24">
        <v>0.69444444444444398</v>
      </c>
      <c r="L24">
        <v>4136.1000000000004</v>
      </c>
      <c r="M24">
        <v>1.2999999999999999E-3</v>
      </c>
      <c r="N24">
        <v>7.4200000000000002E-2</v>
      </c>
      <c r="O24">
        <f t="shared" si="2"/>
        <v>2.7255650000000005</v>
      </c>
      <c r="P24" s="14">
        <f>(O24*G24/(IF(Q24="",constants!$F$2+constants!$A$2,timeSeries!Q24+constants!$A$2)*constants!$E$2))*(1/constants!$D$2)*10^3</f>
        <v>2.1165001128721426</v>
      </c>
      <c r="R24" s="1">
        <f t="shared" si="5"/>
        <v>1.2590450000000006</v>
      </c>
    </row>
    <row r="25" spans="1:18">
      <c r="A25" t="str">
        <f t="shared" si="0"/>
        <v>TVA 8E C</v>
      </c>
      <c r="B25">
        <v>2004</v>
      </c>
      <c r="C25">
        <v>8</v>
      </c>
      <c r="D25">
        <v>28</v>
      </c>
      <c r="E25">
        <f t="shared" si="3"/>
        <v>1</v>
      </c>
      <c r="F25">
        <f t="shared" si="4"/>
        <v>2</v>
      </c>
      <c r="G25" s="11">
        <f>VLOOKUP(I25,jarInfo!$C$15:$G$32,5,FALSE)</f>
        <v>0.8628167016205911</v>
      </c>
      <c r="H25" s="11" t="str">
        <f t="shared" si="1"/>
        <v>TVA-8E-C</v>
      </c>
      <c r="I25" t="s">
        <v>20</v>
      </c>
      <c r="J25">
        <v>2</v>
      </c>
      <c r="K25">
        <v>0.69583333333333297</v>
      </c>
      <c r="L25">
        <v>3413.9</v>
      </c>
      <c r="M25">
        <v>1.2999999999999999E-3</v>
      </c>
      <c r="N25">
        <v>7.4200000000000002E-2</v>
      </c>
      <c r="O25">
        <f t="shared" si="2"/>
        <v>2.256135</v>
      </c>
      <c r="P25" s="14">
        <f>(O25*G25/(IF(Q25="",constants!$F$2+constants!$A$2,timeSeries!Q25+constants!$A$2)*constants!$E$2))*(1/constants!$D$2)*10^3</f>
        <v>1.8350102414793132</v>
      </c>
      <c r="R25" s="1">
        <f t="shared" si="5"/>
        <v>1.0400550000000002</v>
      </c>
    </row>
    <row r="26" spans="1:18">
      <c r="A26" t="str">
        <f t="shared" si="0"/>
        <v>WB 3E C</v>
      </c>
      <c r="B26">
        <v>2004</v>
      </c>
      <c r="C26">
        <v>8</v>
      </c>
      <c r="D26">
        <v>29</v>
      </c>
      <c r="E26">
        <f t="shared" si="3"/>
        <v>1</v>
      </c>
      <c r="F26">
        <f>F14+1</f>
        <v>3</v>
      </c>
      <c r="G26" s="11">
        <f>VLOOKUP(I26,jarInfo!$C$15:$G$32,5,FALSE)</f>
        <v>0.87917959341723062</v>
      </c>
      <c r="H26" s="11" t="str">
        <f t="shared" si="1"/>
        <v>WB-3E-C</v>
      </c>
      <c r="I26" t="s">
        <v>9</v>
      </c>
      <c r="J26">
        <v>2</v>
      </c>
      <c r="K26">
        <v>0.69305555555555554</v>
      </c>
      <c r="L26">
        <v>3236.2</v>
      </c>
      <c r="M26">
        <v>1.4E-3</v>
      </c>
      <c r="N26">
        <v>-0.41570000000000001</v>
      </c>
      <c r="O26">
        <f t="shared" si="2"/>
        <v>2.0574899999999996</v>
      </c>
      <c r="P26" s="14">
        <f>(O26*G26/(IF(Q26="",constants!$F$2+constants!$A$2,timeSeries!Q26+constants!$A$2)*constants!$E$2))*(1/constants!$D$2)*10^3</f>
        <v>1.7051798760599952</v>
      </c>
      <c r="R26" s="1">
        <f>O26-O14</f>
        <v>0.46123499999999984</v>
      </c>
    </row>
    <row r="27" spans="1:18">
      <c r="A27" t="str">
        <f t="shared" si="0"/>
        <v>WB 4B C</v>
      </c>
      <c r="B27">
        <v>2004</v>
      </c>
      <c r="C27">
        <v>8</v>
      </c>
      <c r="D27">
        <v>29</v>
      </c>
      <c r="E27">
        <f t="shared" si="3"/>
        <v>1</v>
      </c>
      <c r="F27">
        <f t="shared" si="4"/>
        <v>3</v>
      </c>
      <c r="G27" s="11">
        <f>VLOOKUP(I27,jarInfo!$C$15:$G$32,5,FALSE)</f>
        <v>0.84883525375939861</v>
      </c>
      <c r="H27" s="11" t="str">
        <f t="shared" si="1"/>
        <v>WB-4B-C</v>
      </c>
      <c r="I27" t="s">
        <v>10</v>
      </c>
      <c r="J27">
        <v>2</v>
      </c>
      <c r="K27">
        <v>0.69444444444444453</v>
      </c>
      <c r="L27">
        <v>4968.3999999999996</v>
      </c>
      <c r="M27">
        <v>1.4E-3</v>
      </c>
      <c r="N27">
        <v>-0.41570000000000001</v>
      </c>
      <c r="O27">
        <f t="shared" si="2"/>
        <v>3.2700299999999998</v>
      </c>
      <c r="P27" s="14">
        <f>(O27*G27/(IF(Q27="",constants!$F$2+constants!$A$2,timeSeries!Q27+constants!$A$2)*constants!$E$2))*(1/constants!$D$2)*10^3</f>
        <v>2.6165558656139107</v>
      </c>
      <c r="R27" s="1">
        <f t="shared" si="5"/>
        <v>0.76546499999999984</v>
      </c>
    </row>
    <row r="28" spans="1:18">
      <c r="A28" t="str">
        <f t="shared" si="0"/>
        <v>WB 5B C</v>
      </c>
      <c r="B28">
        <v>2004</v>
      </c>
      <c r="C28">
        <v>8</v>
      </c>
      <c r="D28">
        <v>29</v>
      </c>
      <c r="E28">
        <f t="shared" si="3"/>
        <v>1</v>
      </c>
      <c r="F28">
        <f t="shared" si="4"/>
        <v>3</v>
      </c>
      <c r="G28" s="11">
        <f>VLOOKUP(I28,jarInfo!$C$15:$G$32,5,FALSE)</f>
        <v>0.90350278217821778</v>
      </c>
      <c r="H28" s="11" t="str">
        <f t="shared" si="1"/>
        <v>WB-5B-C</v>
      </c>
      <c r="I28" t="s">
        <v>11</v>
      </c>
      <c r="J28">
        <v>1</v>
      </c>
      <c r="K28">
        <v>0.69583333333333397</v>
      </c>
      <c r="L28">
        <v>2724.6</v>
      </c>
      <c r="M28">
        <v>1.4E-3</v>
      </c>
      <c r="N28">
        <v>-0.41570000000000001</v>
      </c>
      <c r="O28">
        <f t="shared" si="2"/>
        <v>3.3987399999999997</v>
      </c>
      <c r="P28" s="14">
        <f>(O28*G28/(IF(Q28="",constants!$F$2+constants!$A$2,timeSeries!Q28+constants!$A$2)*constants!$E$2))*(1/constants!$D$2)*10^3</f>
        <v>2.8946916168637373</v>
      </c>
      <c r="R28" s="1">
        <f t="shared" si="5"/>
        <v>0.56514499999999934</v>
      </c>
    </row>
    <row r="29" spans="1:18">
      <c r="A29" t="str">
        <f t="shared" si="0"/>
        <v>WB 6E C</v>
      </c>
      <c r="B29">
        <v>2004</v>
      </c>
      <c r="C29">
        <v>8</v>
      </c>
      <c r="D29">
        <v>29</v>
      </c>
      <c r="E29">
        <f t="shared" si="3"/>
        <v>1</v>
      </c>
      <c r="F29">
        <f t="shared" si="4"/>
        <v>3</v>
      </c>
      <c r="G29" s="11">
        <f>VLOOKUP(I29,jarInfo!$C$15:$G$32,5,FALSE)</f>
        <v>0.84358970065481675</v>
      </c>
      <c r="H29" s="11" t="str">
        <f t="shared" si="1"/>
        <v>WB-6E-C</v>
      </c>
      <c r="I29" t="s">
        <v>12</v>
      </c>
      <c r="J29">
        <v>1</v>
      </c>
      <c r="K29">
        <v>0.69722222222222296</v>
      </c>
      <c r="L29">
        <v>2255</v>
      </c>
      <c r="M29">
        <v>1.4E-3</v>
      </c>
      <c r="N29">
        <v>-0.41570000000000001</v>
      </c>
      <c r="O29">
        <f t="shared" si="2"/>
        <v>2.7412999999999998</v>
      </c>
      <c r="P29" s="14">
        <f>(O29*G29/(IF(Q29="",constants!$F$2+constants!$A$2,timeSeries!Q29+constants!$A$2)*constants!$E$2))*(1/constants!$D$2)*10^3</f>
        <v>2.1799307686162206</v>
      </c>
      <c r="R29" s="1">
        <f t="shared" si="5"/>
        <v>0.52214999999999989</v>
      </c>
    </row>
    <row r="30" spans="1:18">
      <c r="A30" t="str">
        <f t="shared" si="0"/>
        <v>WB 7E C</v>
      </c>
      <c r="B30">
        <v>2004</v>
      </c>
      <c r="C30">
        <v>8</v>
      </c>
      <c r="D30">
        <v>29</v>
      </c>
      <c r="E30">
        <f t="shared" si="3"/>
        <v>1</v>
      </c>
      <c r="F30">
        <f t="shared" si="4"/>
        <v>3</v>
      </c>
      <c r="G30" s="11">
        <f>VLOOKUP(I30,jarInfo!$C$15:$G$32,5,FALSE)</f>
        <v>0.90097950592885423</v>
      </c>
      <c r="H30" s="11" t="str">
        <f t="shared" si="1"/>
        <v>WB-7E-C</v>
      </c>
      <c r="I30" t="s">
        <v>13</v>
      </c>
      <c r="J30">
        <v>1</v>
      </c>
      <c r="K30">
        <v>0.69861111111111196</v>
      </c>
      <c r="L30">
        <v>2951.8</v>
      </c>
      <c r="M30">
        <v>1.4E-3</v>
      </c>
      <c r="N30">
        <v>-0.41570000000000001</v>
      </c>
      <c r="O30">
        <f t="shared" si="2"/>
        <v>3.7168200000000002</v>
      </c>
      <c r="P30" s="14">
        <f>(O30*G30/(IF(Q30="",constants!$F$2+constants!$A$2,timeSeries!Q30+constants!$A$2)*constants!$E$2))*(1/constants!$D$2)*10^3</f>
        <v>3.1567581340198738</v>
      </c>
      <c r="R30" s="1">
        <f t="shared" si="5"/>
        <v>1.0664600000000002</v>
      </c>
    </row>
    <row r="31" spans="1:18">
      <c r="A31" t="str">
        <f t="shared" si="0"/>
        <v>WB 8B C</v>
      </c>
      <c r="B31">
        <v>2004</v>
      </c>
      <c r="C31">
        <v>8</v>
      </c>
      <c r="D31">
        <v>29</v>
      </c>
      <c r="E31">
        <f t="shared" si="3"/>
        <v>1</v>
      </c>
      <c r="F31">
        <f t="shared" si="4"/>
        <v>3</v>
      </c>
      <c r="G31" s="11">
        <f>VLOOKUP(I31,jarInfo!$C$15:$G$32,5,FALSE)</f>
        <v>0.85318028328611917</v>
      </c>
      <c r="H31" s="11" t="str">
        <f t="shared" si="1"/>
        <v>WB-8B-C</v>
      </c>
      <c r="I31" t="s">
        <v>14</v>
      </c>
      <c r="J31">
        <v>1</v>
      </c>
      <c r="K31">
        <v>0.70000000000000095</v>
      </c>
      <c r="L31">
        <v>2150.8000000000002</v>
      </c>
      <c r="M31">
        <v>1.4E-3</v>
      </c>
      <c r="N31">
        <v>-0.41570000000000001</v>
      </c>
      <c r="O31">
        <f t="shared" si="2"/>
        <v>2.5954199999999998</v>
      </c>
      <c r="P31" s="14">
        <f>(O31*G31/(IF(Q31="",constants!$F$2+constants!$A$2,timeSeries!Q31+constants!$A$2)*constants!$E$2))*(1/constants!$D$2)*10^3</f>
        <v>2.0873886793075256</v>
      </c>
      <c r="R31" s="1">
        <f t="shared" si="5"/>
        <v>0.63756999999999997</v>
      </c>
    </row>
    <row r="32" spans="1:18">
      <c r="A32" t="str">
        <f t="shared" si="0"/>
        <v>TVA 2B C</v>
      </c>
      <c r="B32">
        <v>2004</v>
      </c>
      <c r="C32">
        <v>8</v>
      </c>
      <c r="D32">
        <v>29</v>
      </c>
      <c r="E32">
        <f t="shared" si="3"/>
        <v>1</v>
      </c>
      <c r="F32">
        <f t="shared" si="4"/>
        <v>3</v>
      </c>
      <c r="G32" s="11">
        <f>VLOOKUP(I32,jarInfo!$C$15:$G$32,5,FALSE)</f>
        <v>0.8766205217391303</v>
      </c>
      <c r="H32" s="11" t="str">
        <f t="shared" si="1"/>
        <v>TVA-2B-C</v>
      </c>
      <c r="I32" t="s">
        <v>15</v>
      </c>
      <c r="J32">
        <v>1</v>
      </c>
      <c r="K32">
        <v>0.70138888888888995</v>
      </c>
      <c r="L32">
        <v>1948.2</v>
      </c>
      <c r="M32">
        <v>1.4E-3</v>
      </c>
      <c r="N32">
        <v>-0.41570000000000001</v>
      </c>
      <c r="O32">
        <f t="shared" si="2"/>
        <v>2.3117799999999997</v>
      </c>
      <c r="P32" s="14">
        <f>(O32*G32/(IF(Q32="",constants!$F$2+constants!$A$2,timeSeries!Q32+constants!$A$2)*constants!$E$2))*(1/constants!$D$2)*10^3</f>
        <v>1.9103502601189084</v>
      </c>
      <c r="R32" s="1">
        <f t="shared" si="5"/>
        <v>0.41288499999999972</v>
      </c>
    </row>
    <row r="33" spans="1:18">
      <c r="A33" t="str">
        <f t="shared" si="0"/>
        <v>TVA 3B C</v>
      </c>
      <c r="B33">
        <v>2004</v>
      </c>
      <c r="C33">
        <v>8</v>
      </c>
      <c r="D33">
        <v>29</v>
      </c>
      <c r="E33">
        <f t="shared" si="3"/>
        <v>1</v>
      </c>
      <c r="F33">
        <f t="shared" si="4"/>
        <v>3</v>
      </c>
      <c r="G33" s="11">
        <f>VLOOKUP(I33,jarInfo!$C$15:$G$32,5,FALSE)</f>
        <v>0.84358970065481675</v>
      </c>
      <c r="H33" s="11" t="str">
        <f t="shared" si="1"/>
        <v>TVA-3B-C</v>
      </c>
      <c r="I33" t="s">
        <v>16</v>
      </c>
      <c r="J33">
        <v>1</v>
      </c>
      <c r="K33">
        <v>0.70277777777777894</v>
      </c>
      <c r="L33">
        <v>1153</v>
      </c>
      <c r="M33">
        <v>1.4E-3</v>
      </c>
      <c r="N33">
        <v>-0.41570000000000001</v>
      </c>
      <c r="O33">
        <f t="shared" si="2"/>
        <v>1.1985000000000001</v>
      </c>
      <c r="P33" s="14">
        <f>(O33*G33/(IF(Q33="",constants!$F$2+constants!$A$2,timeSeries!Q33+constants!$A$2)*constants!$E$2))*(1/constants!$D$2)*10^3</f>
        <v>0.95306862663208725</v>
      </c>
      <c r="R33" s="1">
        <f t="shared" si="5"/>
        <v>-3.2324999999999715E-2</v>
      </c>
    </row>
    <row r="34" spans="1:18">
      <c r="A34" t="str">
        <f t="shared" si="0"/>
        <v>TVA 4E C</v>
      </c>
      <c r="B34">
        <v>2004</v>
      </c>
      <c r="C34">
        <v>8</v>
      </c>
      <c r="D34">
        <v>29</v>
      </c>
      <c r="E34">
        <f t="shared" si="3"/>
        <v>1</v>
      </c>
      <c r="F34">
        <f t="shared" si="4"/>
        <v>3</v>
      </c>
      <c r="G34" s="11">
        <f>VLOOKUP(I34,jarInfo!$C$15:$G$32,5,FALSE)</f>
        <v>0.81648999999999938</v>
      </c>
      <c r="H34" s="11" t="str">
        <f t="shared" si="1"/>
        <v>TVA-4E-C</v>
      </c>
      <c r="I34" t="s">
        <v>17</v>
      </c>
      <c r="J34">
        <v>1</v>
      </c>
      <c r="K34">
        <v>0.70416666666666705</v>
      </c>
      <c r="L34">
        <v>3209.2</v>
      </c>
      <c r="M34">
        <v>1.4E-3</v>
      </c>
      <c r="N34">
        <v>-0.41570000000000001</v>
      </c>
      <c r="O34">
        <f t="shared" si="2"/>
        <v>4.0771799999999994</v>
      </c>
      <c r="P34" s="14">
        <f>(O34*G34/(IF(Q34="",constants!$F$2+constants!$A$2,timeSeries!Q34+constants!$A$2)*constants!$E$2))*(1/constants!$D$2)*10^3</f>
        <v>3.1380916378898345</v>
      </c>
      <c r="R34" s="1">
        <f t="shared" si="5"/>
        <v>0.7993749999999995</v>
      </c>
    </row>
    <row r="35" spans="1:18">
      <c r="A35" t="str">
        <f t="shared" si="0"/>
        <v>TVA 5B C</v>
      </c>
      <c r="B35">
        <v>2004</v>
      </c>
      <c r="C35">
        <v>8</v>
      </c>
      <c r="D35">
        <v>29</v>
      </c>
      <c r="E35">
        <f t="shared" si="3"/>
        <v>1</v>
      </c>
      <c r="F35">
        <f t="shared" si="4"/>
        <v>3</v>
      </c>
      <c r="G35" s="11">
        <f>VLOOKUP(I35,jarInfo!$C$15:$G$32,5,FALSE)</f>
        <v>0.90174231454005915</v>
      </c>
      <c r="H35" s="11" t="str">
        <f t="shared" si="1"/>
        <v>TVA-5B-C</v>
      </c>
      <c r="I35" t="s">
        <v>18</v>
      </c>
      <c r="J35">
        <v>1</v>
      </c>
      <c r="K35">
        <v>0.70694444444444504</v>
      </c>
      <c r="L35">
        <v>2269.4</v>
      </c>
      <c r="M35">
        <v>1.4E-3</v>
      </c>
      <c r="N35">
        <v>-0.41570000000000001</v>
      </c>
      <c r="O35">
        <f t="shared" si="2"/>
        <v>2.76146</v>
      </c>
      <c r="P35" s="14">
        <f>(O35*G35/(IF(Q35="",constants!$F$2+constants!$A$2,timeSeries!Q35+constants!$A$2)*constants!$E$2))*(1/constants!$D$2)*10^3</f>
        <v>2.347340396100996</v>
      </c>
      <c r="R35" s="1">
        <f t="shared" si="5"/>
        <v>0.52814000000000005</v>
      </c>
    </row>
    <row r="36" spans="1:18">
      <c r="A36" t="str">
        <f t="shared" si="0"/>
        <v>TVA 6E C</v>
      </c>
      <c r="B36">
        <v>2004</v>
      </c>
      <c r="C36">
        <v>8</v>
      </c>
      <c r="D36">
        <v>29</v>
      </c>
      <c r="E36">
        <f t="shared" si="3"/>
        <v>1</v>
      </c>
      <c r="F36">
        <f t="shared" si="4"/>
        <v>3</v>
      </c>
      <c r="G36" s="11">
        <f>VLOOKUP(I36,jarInfo!$C$15:$G$32,5,FALSE)</f>
        <v>0.82377173394495395</v>
      </c>
      <c r="H36" s="11" t="str">
        <f t="shared" si="1"/>
        <v>TVA-6E-C</v>
      </c>
      <c r="I36" t="s">
        <v>19</v>
      </c>
      <c r="J36">
        <v>1</v>
      </c>
      <c r="K36">
        <v>0.70833333333333404</v>
      </c>
      <c r="L36">
        <v>2680.2</v>
      </c>
      <c r="M36">
        <v>1.4E-3</v>
      </c>
      <c r="N36">
        <v>-0.41570000000000001</v>
      </c>
      <c r="O36">
        <f t="shared" si="2"/>
        <v>3.3365799999999997</v>
      </c>
      <c r="P36" s="14">
        <f>(O36*G36/(IF(Q36="",constants!$F$2+constants!$A$2,timeSeries!Q36+constants!$A$2)*constants!$E$2))*(1/constants!$D$2)*10^3</f>
        <v>2.5909754295373366</v>
      </c>
      <c r="R36" s="1">
        <f t="shared" si="5"/>
        <v>0.6110149999999992</v>
      </c>
    </row>
    <row r="37" spans="1:18">
      <c r="A37" t="str">
        <f t="shared" si="0"/>
        <v>TVA 8E C</v>
      </c>
      <c r="B37">
        <v>2004</v>
      </c>
      <c r="C37">
        <v>8</v>
      </c>
      <c r="D37">
        <v>29</v>
      </c>
      <c r="E37">
        <f t="shared" si="3"/>
        <v>1</v>
      </c>
      <c r="F37">
        <f t="shared" si="4"/>
        <v>3</v>
      </c>
      <c r="G37" s="11">
        <f>VLOOKUP(I37,jarInfo!$C$15:$G$32,5,FALSE)</f>
        <v>0.8628167016205911</v>
      </c>
      <c r="H37" s="11" t="str">
        <f t="shared" si="1"/>
        <v>TVA-8E-C</v>
      </c>
      <c r="I37" t="s">
        <v>20</v>
      </c>
      <c r="J37">
        <v>1</v>
      </c>
      <c r="K37">
        <v>0.70972222222222303</v>
      </c>
      <c r="L37">
        <v>2285.6</v>
      </c>
      <c r="M37">
        <v>1.4E-3</v>
      </c>
      <c r="N37">
        <v>-0.41570000000000001</v>
      </c>
      <c r="O37">
        <f t="shared" si="2"/>
        <v>2.7841399999999998</v>
      </c>
      <c r="P37" s="14">
        <f>(O37*G37/(IF(Q37="",constants!$F$2+constants!$A$2,timeSeries!Q37+constants!$A$2)*constants!$E$2))*(1/constants!$D$2)*10^3</f>
        <v>2.264459092081021</v>
      </c>
      <c r="R37" s="1">
        <f t="shared" si="5"/>
        <v>0.52800499999999984</v>
      </c>
    </row>
    <row r="38" spans="1:18">
      <c r="A38" t="str">
        <f t="shared" si="0"/>
        <v>WB 3E C</v>
      </c>
      <c r="B38">
        <v>2004</v>
      </c>
      <c r="C38">
        <v>8</v>
      </c>
      <c r="D38">
        <v>30</v>
      </c>
      <c r="E38">
        <f t="shared" si="3"/>
        <v>1</v>
      </c>
      <c r="F38">
        <f>F26+1</f>
        <v>4</v>
      </c>
      <c r="G38" s="11">
        <f>VLOOKUP(I38,jarInfo!$C$15:$G$32,5,FALSE)</f>
        <v>0.87917959341723062</v>
      </c>
      <c r="H38" s="11" t="str">
        <f t="shared" si="1"/>
        <v>WB-3E-C</v>
      </c>
      <c r="I38" t="s">
        <v>9</v>
      </c>
      <c r="J38">
        <v>1</v>
      </c>
      <c r="K38">
        <v>0.69305555555555554</v>
      </c>
      <c r="L38">
        <v>2208</v>
      </c>
      <c r="M38">
        <v>1.1999999999999999E-3</v>
      </c>
      <c r="N38">
        <v>7.5899999999999995E-2</v>
      </c>
      <c r="O38">
        <f t="shared" si="2"/>
        <v>2.7254999999999998</v>
      </c>
      <c r="P38" s="14">
        <f>(O38*G38/(IF(Q38="",constants!$F$2+constants!$A$2,timeSeries!Q38+constants!$A$2)*constants!$E$2))*(1/constants!$D$2)*10^3</f>
        <v>2.2488442279881253</v>
      </c>
      <c r="Q38">
        <f>AVERAGE(21.7,22.1)</f>
        <v>21.9</v>
      </c>
      <c r="R38" s="1">
        <f t="shared" si="5"/>
        <v>0.66801000000000021</v>
      </c>
    </row>
    <row r="39" spans="1:18">
      <c r="A39" t="str">
        <f t="shared" si="0"/>
        <v>WB 4B C</v>
      </c>
      <c r="B39">
        <v>2004</v>
      </c>
      <c r="C39">
        <v>8</v>
      </c>
      <c r="D39">
        <v>30</v>
      </c>
      <c r="E39">
        <f t="shared" si="3"/>
        <v>1</v>
      </c>
      <c r="F39">
        <f t="shared" si="4"/>
        <v>4</v>
      </c>
      <c r="G39" s="11">
        <f>VLOOKUP(I39,jarInfo!$C$15:$G$32,5,FALSE)</f>
        <v>0.84883525375939861</v>
      </c>
      <c r="H39" s="11" t="str">
        <f t="shared" si="1"/>
        <v>WB-4B-C</v>
      </c>
      <c r="I39" t="s">
        <v>10</v>
      </c>
      <c r="J39">
        <v>1</v>
      </c>
      <c r="K39">
        <v>0.69444444444444453</v>
      </c>
      <c r="L39">
        <v>3019.6</v>
      </c>
      <c r="M39">
        <v>1.1999999999999999E-3</v>
      </c>
      <c r="N39">
        <v>7.5899999999999995E-2</v>
      </c>
      <c r="O39">
        <f t="shared" si="2"/>
        <v>3.6994199999999995</v>
      </c>
      <c r="P39" s="14">
        <f>(O39*G39/(IF(Q39="",constants!$F$2+constants!$A$2,timeSeries!Q39+constants!$A$2)*constants!$E$2))*(1/constants!$D$2)*10^3</f>
        <v>2.9470848299695938</v>
      </c>
      <c r="Q39">
        <f t="shared" ref="Q39:Q49" si="6">AVERAGE(21.7,22.1)</f>
        <v>21.9</v>
      </c>
      <c r="R39" s="1">
        <f t="shared" si="5"/>
        <v>0.42938999999999972</v>
      </c>
    </row>
    <row r="40" spans="1:18">
      <c r="A40" t="str">
        <f t="shared" si="0"/>
        <v>WB 5B C</v>
      </c>
      <c r="B40">
        <v>2004</v>
      </c>
      <c r="C40">
        <v>8</v>
      </c>
      <c r="D40">
        <v>30</v>
      </c>
      <c r="E40">
        <f t="shared" si="3"/>
        <v>1</v>
      </c>
      <c r="F40">
        <f t="shared" si="4"/>
        <v>4</v>
      </c>
      <c r="G40" s="11">
        <f>VLOOKUP(I40,jarInfo!$C$15:$G$32,5,FALSE)</f>
        <v>0.90350278217821778</v>
      </c>
      <c r="H40" s="11" t="str">
        <f t="shared" si="1"/>
        <v>WB-5B-C</v>
      </c>
      <c r="I40" t="s">
        <v>11</v>
      </c>
      <c r="J40">
        <v>1</v>
      </c>
      <c r="K40">
        <v>0.69583333333333397</v>
      </c>
      <c r="L40">
        <v>3451.4</v>
      </c>
      <c r="M40">
        <v>1.1999999999999999E-3</v>
      </c>
      <c r="N40">
        <v>7.5899999999999995E-2</v>
      </c>
      <c r="O40">
        <f t="shared" si="2"/>
        <v>4.2175799999999999</v>
      </c>
      <c r="P40" s="14">
        <f>(O40*G40/(IF(Q40="",constants!$F$2+constants!$A$2,timeSeries!Q40+constants!$A$2)*constants!$E$2))*(1/constants!$D$2)*10^3</f>
        <v>3.5762544548195714</v>
      </c>
      <c r="Q40">
        <f t="shared" si="6"/>
        <v>21.9</v>
      </c>
      <c r="R40" s="1">
        <f t="shared" si="5"/>
        <v>0.81884000000000023</v>
      </c>
    </row>
    <row r="41" spans="1:18">
      <c r="A41" t="str">
        <f t="shared" si="0"/>
        <v>WB 6E C</v>
      </c>
      <c r="B41">
        <v>2004</v>
      </c>
      <c r="C41">
        <v>8</v>
      </c>
      <c r="D41">
        <v>30</v>
      </c>
      <c r="E41">
        <f t="shared" si="3"/>
        <v>1</v>
      </c>
      <c r="F41">
        <f t="shared" si="4"/>
        <v>4</v>
      </c>
      <c r="G41" s="11">
        <f>VLOOKUP(I41,jarInfo!$C$15:$G$32,5,FALSE)</f>
        <v>0.84358970065481675</v>
      </c>
      <c r="H41" s="11" t="str">
        <f t="shared" si="1"/>
        <v>WB-6E-C</v>
      </c>
      <c r="I41" t="s">
        <v>12</v>
      </c>
      <c r="J41">
        <v>1</v>
      </c>
      <c r="K41">
        <v>0.69722222222222296</v>
      </c>
      <c r="L41">
        <v>2780.8</v>
      </c>
      <c r="M41">
        <v>1.1999999999999999E-3</v>
      </c>
      <c r="N41">
        <v>7.5899999999999995E-2</v>
      </c>
      <c r="O41">
        <f t="shared" si="2"/>
        <v>3.4128599999999998</v>
      </c>
      <c r="P41" s="14">
        <f>(O41*G41/(IF(Q41="",constants!$F$2+constants!$A$2,timeSeries!Q41+constants!$A$2)*constants!$E$2))*(1/constants!$D$2)*10^3</f>
        <v>2.7019999121555562</v>
      </c>
      <c r="Q41">
        <f t="shared" si="6"/>
        <v>21.9</v>
      </c>
      <c r="R41" s="1">
        <f t="shared" si="5"/>
        <v>0.67155999999999993</v>
      </c>
    </row>
    <row r="42" spans="1:18">
      <c r="A42" t="str">
        <f t="shared" si="0"/>
        <v>WB 7E C</v>
      </c>
      <c r="B42">
        <v>2004</v>
      </c>
      <c r="C42">
        <v>8</v>
      </c>
      <c r="D42">
        <v>30</v>
      </c>
      <c r="E42">
        <f t="shared" si="3"/>
        <v>1</v>
      </c>
      <c r="F42">
        <f t="shared" si="4"/>
        <v>4</v>
      </c>
      <c r="G42" s="11">
        <f>VLOOKUP(I42,jarInfo!$C$15:$G$32,5,FALSE)</f>
        <v>0.90097950592885423</v>
      </c>
      <c r="H42" s="11" t="str">
        <f t="shared" si="1"/>
        <v>WB-7E-C</v>
      </c>
      <c r="I42" t="s">
        <v>13</v>
      </c>
      <c r="J42">
        <v>1</v>
      </c>
      <c r="K42">
        <v>0.69861111111111196</v>
      </c>
      <c r="L42">
        <v>3379.3</v>
      </c>
      <c r="M42">
        <v>1.1999999999999999E-3</v>
      </c>
      <c r="N42">
        <v>7.5899999999999995E-2</v>
      </c>
      <c r="O42">
        <f t="shared" si="2"/>
        <v>4.1310599999999997</v>
      </c>
      <c r="P42" s="14">
        <f>(O42*G42/(IF(Q42="",constants!$F$2+constants!$A$2,timeSeries!Q42+constants!$A$2)*constants!$E$2))*(1/constants!$D$2)*10^3</f>
        <v>3.4931079217158678</v>
      </c>
      <c r="Q42">
        <f t="shared" si="6"/>
        <v>21.9</v>
      </c>
      <c r="R42" s="1">
        <f t="shared" si="5"/>
        <v>0.4142399999999995</v>
      </c>
    </row>
    <row r="43" spans="1:18">
      <c r="A43" t="str">
        <f t="shared" si="0"/>
        <v>WB 8B C</v>
      </c>
      <c r="B43">
        <v>2004</v>
      </c>
      <c r="C43">
        <v>8</v>
      </c>
      <c r="D43">
        <v>30</v>
      </c>
      <c r="E43">
        <f t="shared" si="3"/>
        <v>1</v>
      </c>
      <c r="F43">
        <f t="shared" si="4"/>
        <v>4</v>
      </c>
      <c r="G43" s="11">
        <f>VLOOKUP(I43,jarInfo!$C$15:$G$32,5,FALSE)</f>
        <v>0.85318028328611917</v>
      </c>
      <c r="H43" s="11" t="str">
        <f t="shared" si="1"/>
        <v>WB-8B-C</v>
      </c>
      <c r="I43" t="s">
        <v>14</v>
      </c>
      <c r="J43">
        <v>1</v>
      </c>
      <c r="K43">
        <v>0.70000000000000095</v>
      </c>
      <c r="L43">
        <v>2327.1999999999998</v>
      </c>
      <c r="M43">
        <v>1.1999999999999999E-3</v>
      </c>
      <c r="N43">
        <v>7.5899999999999995E-2</v>
      </c>
      <c r="O43">
        <f t="shared" si="2"/>
        <v>2.8685399999999994</v>
      </c>
      <c r="P43" s="14">
        <f>(O43*G43/(IF(Q43="",constants!$F$2+constants!$A$2,timeSeries!Q43+constants!$A$2)*constants!$E$2))*(1/constants!$D$2)*10^3</f>
        <v>2.2968747270290732</v>
      </c>
      <c r="Q43">
        <f t="shared" si="6"/>
        <v>21.9</v>
      </c>
      <c r="R43" s="1">
        <f t="shared" si="5"/>
        <v>0.27311999999999959</v>
      </c>
    </row>
    <row r="44" spans="1:18">
      <c r="A44" t="str">
        <f t="shared" si="0"/>
        <v>TVA 2B C</v>
      </c>
      <c r="B44">
        <v>2004</v>
      </c>
      <c r="C44">
        <v>8</v>
      </c>
      <c r="D44">
        <v>30</v>
      </c>
      <c r="E44">
        <f t="shared" si="3"/>
        <v>1</v>
      </c>
      <c r="F44">
        <f t="shared" si="4"/>
        <v>4</v>
      </c>
      <c r="G44" s="11">
        <f>VLOOKUP(I44,jarInfo!$C$15:$G$32,5,FALSE)</f>
        <v>0.8766205217391303</v>
      </c>
      <c r="H44" s="11" t="str">
        <f t="shared" si="1"/>
        <v>TVA-2B-C</v>
      </c>
      <c r="I44" t="s">
        <v>15</v>
      </c>
      <c r="J44">
        <v>1</v>
      </c>
      <c r="K44">
        <v>0.70138888888888995</v>
      </c>
      <c r="L44">
        <v>2552.9</v>
      </c>
      <c r="M44">
        <v>1.1999999999999999E-3</v>
      </c>
      <c r="N44">
        <v>7.5899999999999995E-2</v>
      </c>
      <c r="O44">
        <f t="shared" si="2"/>
        <v>3.1393799999999996</v>
      </c>
      <c r="P44" s="14">
        <f>(O44*G44/(IF(Q44="",constants!$F$2+constants!$A$2,timeSeries!Q44+constants!$A$2)*constants!$E$2))*(1/constants!$D$2)*10^3</f>
        <v>2.582801969617365</v>
      </c>
      <c r="Q44">
        <f t="shared" si="6"/>
        <v>21.9</v>
      </c>
      <c r="R44" s="1">
        <f t="shared" si="5"/>
        <v>0.82759999999999989</v>
      </c>
    </row>
    <row r="45" spans="1:18">
      <c r="A45" t="str">
        <f t="shared" si="0"/>
        <v>TVA 3B C</v>
      </c>
      <c r="B45">
        <v>2004</v>
      </c>
      <c r="C45">
        <v>8</v>
      </c>
      <c r="D45">
        <v>30</v>
      </c>
      <c r="E45">
        <f t="shared" si="3"/>
        <v>1</v>
      </c>
      <c r="F45">
        <f t="shared" si="4"/>
        <v>4</v>
      </c>
      <c r="G45" s="11">
        <f>VLOOKUP(I45,jarInfo!$C$15:$G$32,5,FALSE)</f>
        <v>0.84358970065481675</v>
      </c>
      <c r="H45" s="11" t="str">
        <f t="shared" si="1"/>
        <v>TVA-3B-C</v>
      </c>
      <c r="I45" t="s">
        <v>16</v>
      </c>
      <c r="J45">
        <v>1</v>
      </c>
      <c r="K45">
        <v>0.70277777777777894</v>
      </c>
      <c r="L45">
        <v>1400.5</v>
      </c>
      <c r="M45">
        <v>1.1999999999999999E-3</v>
      </c>
      <c r="N45">
        <v>7.5899999999999995E-2</v>
      </c>
      <c r="O45">
        <f t="shared" si="2"/>
        <v>1.7565</v>
      </c>
      <c r="P45" s="14">
        <f>(O45*G45/(IF(Q45="",constants!$F$2+constants!$A$2,timeSeries!Q45+constants!$A$2)*constants!$E$2))*(1/constants!$D$2)*10^3</f>
        <v>1.390640942113428</v>
      </c>
      <c r="Q45">
        <f t="shared" si="6"/>
        <v>21.9</v>
      </c>
      <c r="R45" s="1">
        <f t="shared" si="5"/>
        <v>0.55799999999999983</v>
      </c>
    </row>
    <row r="46" spans="1:18">
      <c r="A46" t="str">
        <f t="shared" si="0"/>
        <v>TVA 4E C</v>
      </c>
      <c r="B46">
        <v>2004</v>
      </c>
      <c r="C46">
        <v>8</v>
      </c>
      <c r="D46">
        <v>30</v>
      </c>
      <c r="E46">
        <f t="shared" ref="E46:E77" si="7">IF(R46&lt;-1,E34+1,E34)</f>
        <v>2</v>
      </c>
      <c r="F46">
        <f t="shared" si="4"/>
        <v>4</v>
      </c>
      <c r="G46" s="11">
        <f>VLOOKUP(I46,jarInfo!$C$15:$G$32,5,FALSE)</f>
        <v>0.81648999999999938</v>
      </c>
      <c r="H46" s="11" t="str">
        <f t="shared" si="1"/>
        <v>TVA-4E-C</v>
      </c>
      <c r="I46" t="s">
        <v>17</v>
      </c>
      <c r="J46">
        <v>1</v>
      </c>
      <c r="K46">
        <v>0.70416666666666705</v>
      </c>
      <c r="L46">
        <v>1249.8</v>
      </c>
      <c r="M46">
        <v>1.1999999999999999E-3</v>
      </c>
      <c r="N46">
        <v>7.5899999999999995E-2</v>
      </c>
      <c r="O46">
        <f t="shared" si="2"/>
        <v>1.5756599999999998</v>
      </c>
      <c r="P46" s="14">
        <f>(O46*G46/(IF(Q46="",constants!$F$2+constants!$A$2,timeSeries!Q46+constants!$A$2)*constants!$E$2))*(1/constants!$D$2)*10^3</f>
        <v>1.2073938755092117</v>
      </c>
      <c r="Q46">
        <f t="shared" si="6"/>
        <v>21.9</v>
      </c>
      <c r="R46" s="1">
        <f t="shared" si="5"/>
        <v>-2.5015199999999993</v>
      </c>
    </row>
    <row r="47" spans="1:18">
      <c r="A47" t="str">
        <f t="shared" si="0"/>
        <v>TVA 5B C</v>
      </c>
      <c r="B47">
        <v>2004</v>
      </c>
      <c r="C47">
        <v>8</v>
      </c>
      <c r="D47">
        <v>30</v>
      </c>
      <c r="E47">
        <f t="shared" si="7"/>
        <v>1</v>
      </c>
      <c r="F47">
        <f t="shared" si="4"/>
        <v>4</v>
      </c>
      <c r="G47" s="11">
        <f>VLOOKUP(I47,jarInfo!$C$15:$G$32,5,FALSE)</f>
        <v>0.90174231454005915</v>
      </c>
      <c r="H47" s="11" t="str">
        <f t="shared" si="1"/>
        <v>TVA-5B-C</v>
      </c>
      <c r="I47" t="s">
        <v>18</v>
      </c>
      <c r="J47">
        <v>1</v>
      </c>
      <c r="K47">
        <v>0.70555555555555605</v>
      </c>
      <c r="L47">
        <v>2763.1</v>
      </c>
      <c r="M47">
        <v>1.1999999999999999E-3</v>
      </c>
      <c r="N47">
        <v>7.5899999999999995E-2</v>
      </c>
      <c r="O47">
        <f t="shared" si="2"/>
        <v>3.3916199999999996</v>
      </c>
      <c r="P47" s="14">
        <f>(O47*G47/(IF(Q47="",constants!$F$2+constants!$A$2,timeSeries!Q47+constants!$A$2)*constants!$E$2))*(1/constants!$D$2)*10^3</f>
        <v>2.8702863494386435</v>
      </c>
      <c r="Q47">
        <f t="shared" si="6"/>
        <v>21.9</v>
      </c>
      <c r="R47" s="1">
        <f t="shared" si="5"/>
        <v>0.63015999999999961</v>
      </c>
    </row>
    <row r="48" spans="1:18">
      <c r="A48" t="str">
        <f t="shared" si="0"/>
        <v>TVA 6E C</v>
      </c>
      <c r="B48">
        <v>2004</v>
      </c>
      <c r="C48">
        <v>8</v>
      </c>
      <c r="D48">
        <v>30</v>
      </c>
      <c r="E48">
        <f t="shared" si="7"/>
        <v>1</v>
      </c>
      <c r="F48">
        <f t="shared" si="4"/>
        <v>4</v>
      </c>
      <c r="G48" s="11">
        <f>VLOOKUP(I48,jarInfo!$C$15:$G$32,5,FALSE)</f>
        <v>0.82377173394495395</v>
      </c>
      <c r="H48" s="11" t="str">
        <f t="shared" si="1"/>
        <v>TVA-6E-C</v>
      </c>
      <c r="I48" t="s">
        <v>19</v>
      </c>
      <c r="J48">
        <v>1</v>
      </c>
      <c r="K48">
        <v>0.70694444444444504</v>
      </c>
      <c r="L48">
        <v>3301.5</v>
      </c>
      <c r="M48">
        <v>1.1999999999999999E-3</v>
      </c>
      <c r="N48">
        <v>7.5899999999999995E-2</v>
      </c>
      <c r="O48">
        <f t="shared" si="2"/>
        <v>4.0377000000000001</v>
      </c>
      <c r="P48" s="14">
        <f>(O48*G48/(IF(Q48="",constants!$F$2+constants!$A$2,timeSeries!Q48+constants!$A$2)*constants!$E$2))*(1/constants!$D$2)*10^3</f>
        <v>3.1215947541732914</v>
      </c>
      <c r="Q48">
        <f t="shared" si="6"/>
        <v>21.9</v>
      </c>
      <c r="R48" s="1">
        <f t="shared" si="5"/>
        <v>0.70112000000000041</v>
      </c>
    </row>
    <row r="49" spans="1:18">
      <c r="A49" t="str">
        <f t="shared" si="0"/>
        <v>TVA 8E C</v>
      </c>
      <c r="B49">
        <v>2004</v>
      </c>
      <c r="C49">
        <v>8</v>
      </c>
      <c r="D49">
        <v>30</v>
      </c>
      <c r="E49">
        <f t="shared" si="7"/>
        <v>1</v>
      </c>
      <c r="F49">
        <f t="shared" si="4"/>
        <v>4</v>
      </c>
      <c r="G49" s="11">
        <f>VLOOKUP(I49,jarInfo!$C$15:$G$32,5,FALSE)</f>
        <v>0.8628167016205911</v>
      </c>
      <c r="H49" s="11" t="str">
        <f t="shared" si="1"/>
        <v>TVA-8E-C</v>
      </c>
      <c r="I49" t="s">
        <v>20</v>
      </c>
      <c r="J49">
        <v>1</v>
      </c>
      <c r="K49">
        <v>0.70833333333333404</v>
      </c>
      <c r="L49">
        <v>2499.1</v>
      </c>
      <c r="M49">
        <v>1.1999999999999999E-3</v>
      </c>
      <c r="N49">
        <v>7.5899999999999995E-2</v>
      </c>
      <c r="O49">
        <f t="shared" si="2"/>
        <v>3.0748199999999994</v>
      </c>
      <c r="P49" s="14">
        <f>(O49*G49/(IF(Q49="",constants!$F$2+constants!$A$2,timeSeries!Q49+constants!$A$2)*constants!$E$2))*(1/constants!$D$2)*10^3</f>
        <v>2.4898536971819216</v>
      </c>
      <c r="Q49">
        <f t="shared" si="6"/>
        <v>21.9</v>
      </c>
      <c r="R49" s="1">
        <f t="shared" si="5"/>
        <v>0.29067999999999961</v>
      </c>
    </row>
    <row r="50" spans="1:18">
      <c r="A50" t="str">
        <f t="shared" si="0"/>
        <v>WB 3E C</v>
      </c>
      <c r="B50">
        <v>2004</v>
      </c>
      <c r="C50">
        <v>8</v>
      </c>
      <c r="D50">
        <v>31</v>
      </c>
      <c r="E50">
        <f t="shared" si="7"/>
        <v>1</v>
      </c>
      <c r="F50">
        <f>F38+1</f>
        <v>5</v>
      </c>
      <c r="G50" s="11">
        <f>VLOOKUP(I50,jarInfo!$C$15:$G$32,5,FALSE)</f>
        <v>0.87917959341723062</v>
      </c>
      <c r="H50" s="11" t="str">
        <f t="shared" si="1"/>
        <v>WB-3E-C</v>
      </c>
      <c r="I50" t="s">
        <v>9</v>
      </c>
      <c r="J50">
        <v>1</v>
      </c>
      <c r="K50">
        <v>0.6958333333333333</v>
      </c>
      <c r="L50">
        <v>2223.1999999999998</v>
      </c>
      <c r="M50">
        <v>1.2999999999999999E-3</v>
      </c>
      <c r="N50">
        <v>0.19</v>
      </c>
      <c r="O50">
        <f t="shared" si="2"/>
        <v>3.0801599999999998</v>
      </c>
      <c r="P50" s="14">
        <f>(O50*G50/(IF(Q50="",constants!$F$2+constants!$A$2,timeSeries!Q50+constants!$A$2)*constants!$E$2))*(1/constants!$D$2)*10^3</f>
        <v>2.5530736888791012</v>
      </c>
      <c r="Q50">
        <f>AVERAGE(20.42,20.7)</f>
        <v>20.560000000000002</v>
      </c>
      <c r="R50" s="1">
        <f t="shared" si="5"/>
        <v>0.35465999999999998</v>
      </c>
    </row>
    <row r="51" spans="1:18">
      <c r="A51" t="str">
        <f t="shared" si="0"/>
        <v>WB 4B C</v>
      </c>
      <c r="B51">
        <v>2004</v>
      </c>
      <c r="C51">
        <v>8</v>
      </c>
      <c r="D51">
        <v>31</v>
      </c>
      <c r="E51">
        <f t="shared" si="7"/>
        <v>1</v>
      </c>
      <c r="F51">
        <f t="shared" si="4"/>
        <v>5</v>
      </c>
      <c r="G51" s="11">
        <f>VLOOKUP(I51,jarInfo!$C$15:$G$32,5,FALSE)</f>
        <v>0.84883525375939861</v>
      </c>
      <c r="H51" s="11" t="str">
        <f t="shared" si="1"/>
        <v>WB-4B-C</v>
      </c>
      <c r="I51" t="s">
        <v>10</v>
      </c>
      <c r="J51">
        <v>1</v>
      </c>
      <c r="K51">
        <v>0.6972222222222223</v>
      </c>
      <c r="L51">
        <v>3842.9</v>
      </c>
      <c r="M51">
        <v>1.2999999999999999E-3</v>
      </c>
      <c r="N51">
        <v>0.19</v>
      </c>
      <c r="O51">
        <f t="shared" si="2"/>
        <v>5.1857700000000007</v>
      </c>
      <c r="P51" s="14">
        <f>(O51*G51/(IF(Q51="",constants!$F$2+constants!$A$2,timeSeries!Q51+constants!$A$2)*constants!$E$2))*(1/constants!$D$2)*10^3</f>
        <v>4.150009906795769</v>
      </c>
      <c r="Q51">
        <f t="shared" ref="Q51:Q61" si="8">AVERAGE(20.42,20.7)</f>
        <v>20.560000000000002</v>
      </c>
      <c r="R51" s="1">
        <f t="shared" si="5"/>
        <v>1.4863500000000012</v>
      </c>
    </row>
    <row r="52" spans="1:18">
      <c r="A52" t="str">
        <f t="shared" si="0"/>
        <v>WB 5B C</v>
      </c>
      <c r="B52">
        <v>2004</v>
      </c>
      <c r="C52">
        <v>8</v>
      </c>
      <c r="D52">
        <v>31</v>
      </c>
      <c r="E52">
        <f t="shared" si="7"/>
        <v>2</v>
      </c>
      <c r="F52">
        <f t="shared" si="4"/>
        <v>5</v>
      </c>
      <c r="G52" s="11">
        <f>VLOOKUP(I52,jarInfo!$C$15:$G$32,5,FALSE)</f>
        <v>0.90350278217821778</v>
      </c>
      <c r="H52" s="11" t="str">
        <f t="shared" si="1"/>
        <v>WB-5B-C</v>
      </c>
      <c r="I52" t="s">
        <v>11</v>
      </c>
      <c r="J52">
        <v>1</v>
      </c>
      <c r="K52">
        <v>0.69861111111111107</v>
      </c>
      <c r="L52">
        <v>993.8</v>
      </c>
      <c r="M52">
        <v>1.2999999999999999E-3</v>
      </c>
      <c r="N52">
        <v>0.19</v>
      </c>
      <c r="O52">
        <f t="shared" si="2"/>
        <v>1.4819399999999998</v>
      </c>
      <c r="P52" s="14">
        <f>(O52*G52/(IF(Q52="",constants!$F$2+constants!$A$2,timeSeries!Q52+constants!$A$2)*constants!$E$2))*(1/constants!$D$2)*10^3</f>
        <v>1.2623290852230673</v>
      </c>
      <c r="Q52">
        <f t="shared" si="8"/>
        <v>20.560000000000002</v>
      </c>
      <c r="R52" s="1">
        <f t="shared" si="5"/>
        <v>-2.7356400000000001</v>
      </c>
    </row>
    <row r="53" spans="1:18">
      <c r="A53" t="str">
        <f t="shared" si="0"/>
        <v>WB 6E C</v>
      </c>
      <c r="B53">
        <v>2004</v>
      </c>
      <c r="C53">
        <v>8</v>
      </c>
      <c r="D53">
        <v>31</v>
      </c>
      <c r="E53">
        <f t="shared" si="7"/>
        <v>1</v>
      </c>
      <c r="F53">
        <f t="shared" si="4"/>
        <v>5</v>
      </c>
      <c r="G53" s="11">
        <f>VLOOKUP(I53,jarInfo!$C$15:$G$32,5,FALSE)</f>
        <v>0.84358970065481675</v>
      </c>
      <c r="H53" s="11" t="str">
        <f t="shared" si="1"/>
        <v>WB-6E-C</v>
      </c>
      <c r="I53" t="s">
        <v>12</v>
      </c>
      <c r="J53">
        <v>1</v>
      </c>
      <c r="K53">
        <v>0.70000000000000007</v>
      </c>
      <c r="L53">
        <v>3382.4</v>
      </c>
      <c r="M53">
        <v>1.2999999999999999E-3</v>
      </c>
      <c r="N53">
        <v>0.19</v>
      </c>
      <c r="O53">
        <f t="shared" si="2"/>
        <v>4.5871200000000005</v>
      </c>
      <c r="P53" s="14">
        <f>(O53*G53/(IF(Q53="",constants!$F$2+constants!$A$2,timeSeries!Q53+constants!$A$2)*constants!$E$2))*(1/constants!$D$2)*10^3</f>
        <v>3.6482437275723343</v>
      </c>
      <c r="Q53">
        <f t="shared" si="8"/>
        <v>20.560000000000002</v>
      </c>
      <c r="R53" s="1">
        <f t="shared" si="5"/>
        <v>1.1742600000000007</v>
      </c>
    </row>
    <row r="54" spans="1:18">
      <c r="A54" t="str">
        <f t="shared" si="0"/>
        <v>WB 7E C</v>
      </c>
      <c r="B54">
        <v>2004</v>
      </c>
      <c r="C54">
        <v>8</v>
      </c>
      <c r="D54">
        <v>31</v>
      </c>
      <c r="E54">
        <f t="shared" si="7"/>
        <v>2</v>
      </c>
      <c r="F54">
        <f t="shared" si="4"/>
        <v>5</v>
      </c>
      <c r="G54" s="11">
        <f>VLOOKUP(I54,jarInfo!$C$15:$G$32,5,FALSE)</f>
        <v>0.90097950592885423</v>
      </c>
      <c r="H54" s="11" t="str">
        <f t="shared" si="1"/>
        <v>WB-7E-C</v>
      </c>
      <c r="I54" t="s">
        <v>13</v>
      </c>
      <c r="J54">
        <v>1</v>
      </c>
      <c r="K54">
        <v>0.70138888888888884</v>
      </c>
      <c r="L54">
        <v>1081</v>
      </c>
      <c r="M54">
        <v>1.2999999999999999E-3</v>
      </c>
      <c r="N54">
        <v>0.19</v>
      </c>
      <c r="O54">
        <f t="shared" si="2"/>
        <v>1.5952999999999999</v>
      </c>
      <c r="P54" s="14">
        <f>(O54*G54/(IF(Q54="",constants!$F$2+constants!$A$2,timeSeries!Q54+constants!$A$2)*constants!$E$2))*(1/constants!$D$2)*10^3</f>
        <v>1.3550950278585447</v>
      </c>
      <c r="Q54">
        <f t="shared" si="8"/>
        <v>20.560000000000002</v>
      </c>
      <c r="R54" s="1">
        <f t="shared" si="5"/>
        <v>-2.5357599999999998</v>
      </c>
    </row>
    <row r="55" spans="1:18">
      <c r="A55" t="str">
        <f t="shared" si="0"/>
        <v>WB 8B C</v>
      </c>
      <c r="B55">
        <v>2004</v>
      </c>
      <c r="C55">
        <v>8</v>
      </c>
      <c r="D55">
        <v>31</v>
      </c>
      <c r="E55">
        <f t="shared" si="7"/>
        <v>1</v>
      </c>
      <c r="F55">
        <f t="shared" si="4"/>
        <v>5</v>
      </c>
      <c r="G55" s="11">
        <f>VLOOKUP(I55,jarInfo!$C$15:$G$32,5,FALSE)</f>
        <v>0.85318028328611917</v>
      </c>
      <c r="H55" s="11" t="str">
        <f t="shared" si="1"/>
        <v>WB-8B-C</v>
      </c>
      <c r="I55" t="s">
        <v>14</v>
      </c>
      <c r="J55">
        <v>1</v>
      </c>
      <c r="K55">
        <v>0.70277777777777783</v>
      </c>
      <c r="L55">
        <v>2722.6</v>
      </c>
      <c r="M55">
        <v>1.2999999999999999E-3</v>
      </c>
      <c r="N55">
        <v>0.19</v>
      </c>
      <c r="O55">
        <f t="shared" si="2"/>
        <v>3.7293799999999995</v>
      </c>
      <c r="P55" s="14">
        <f>(O55*G55/(IF(Q55="",constants!$F$2+constants!$A$2,timeSeries!Q55+constants!$A$2)*constants!$E$2))*(1/constants!$D$2)*10^3</f>
        <v>2.9997835695184385</v>
      </c>
      <c r="Q55">
        <f t="shared" si="8"/>
        <v>20.560000000000002</v>
      </c>
      <c r="R55" s="1">
        <f t="shared" si="5"/>
        <v>0.86084000000000005</v>
      </c>
    </row>
    <row r="56" spans="1:18">
      <c r="A56" t="str">
        <f t="shared" si="0"/>
        <v>TVA 2B C</v>
      </c>
      <c r="B56">
        <v>2004</v>
      </c>
      <c r="C56">
        <v>8</v>
      </c>
      <c r="D56">
        <v>31</v>
      </c>
      <c r="E56">
        <f t="shared" si="7"/>
        <v>1</v>
      </c>
      <c r="F56">
        <f t="shared" si="4"/>
        <v>5</v>
      </c>
      <c r="G56" s="11">
        <f>VLOOKUP(I56,jarInfo!$C$15:$G$32,5,FALSE)</f>
        <v>0.8766205217391303</v>
      </c>
      <c r="H56" s="11" t="str">
        <f t="shared" si="1"/>
        <v>TVA-2B-C</v>
      </c>
      <c r="I56" t="s">
        <v>15</v>
      </c>
      <c r="J56">
        <v>1</v>
      </c>
      <c r="K56">
        <v>0.70416666666666661</v>
      </c>
      <c r="L56">
        <v>2885</v>
      </c>
      <c r="M56">
        <v>1.2999999999999999E-3</v>
      </c>
      <c r="N56">
        <v>0.19</v>
      </c>
      <c r="O56">
        <f t="shared" si="2"/>
        <v>3.9404999999999997</v>
      </c>
      <c r="P56" s="14">
        <f>(O56*G56/(IF(Q56="",constants!$F$2+constants!$A$2,timeSeries!Q56+constants!$A$2)*constants!$E$2))*(1/constants!$D$2)*10^3</f>
        <v>3.2566826410460306</v>
      </c>
      <c r="Q56">
        <f t="shared" si="8"/>
        <v>20.560000000000002</v>
      </c>
      <c r="R56" s="1">
        <f t="shared" si="5"/>
        <v>0.80112000000000005</v>
      </c>
    </row>
    <row r="57" spans="1:18">
      <c r="A57" t="str">
        <f t="shared" si="0"/>
        <v>TVA 3B C</v>
      </c>
      <c r="B57">
        <v>2004</v>
      </c>
      <c r="C57">
        <v>8</v>
      </c>
      <c r="D57">
        <v>31</v>
      </c>
      <c r="E57">
        <f t="shared" si="7"/>
        <v>1</v>
      </c>
      <c r="F57">
        <f t="shared" si="4"/>
        <v>5</v>
      </c>
      <c r="G57" s="11">
        <f>VLOOKUP(I57,jarInfo!$C$15:$G$32,5,FALSE)</f>
        <v>0.84358970065481675</v>
      </c>
      <c r="H57" s="11" t="str">
        <f t="shared" si="1"/>
        <v>TVA-3B-C</v>
      </c>
      <c r="I57" t="s">
        <v>16</v>
      </c>
      <c r="J57">
        <v>1</v>
      </c>
      <c r="K57">
        <v>0.7055555555555556</v>
      </c>
      <c r="L57">
        <v>1568.5</v>
      </c>
      <c r="M57">
        <v>1.2999999999999999E-3</v>
      </c>
      <c r="N57">
        <v>0.19</v>
      </c>
      <c r="O57">
        <f t="shared" si="2"/>
        <v>2.22905</v>
      </c>
      <c r="P57" s="14">
        <f>(O57*G57/(IF(Q57="",constants!$F$2+constants!$A$2,timeSeries!Q57+constants!$A$2)*constants!$E$2))*(1/constants!$D$2)*10^3</f>
        <v>1.7728155533199721</v>
      </c>
      <c r="Q57">
        <f t="shared" si="8"/>
        <v>20.560000000000002</v>
      </c>
      <c r="R57" s="1">
        <f t="shared" si="5"/>
        <v>0.47255000000000003</v>
      </c>
    </row>
    <row r="58" spans="1:18">
      <c r="A58" t="str">
        <f t="shared" si="0"/>
        <v>TVA 4E C</v>
      </c>
      <c r="B58">
        <v>2004</v>
      </c>
      <c r="C58">
        <v>8</v>
      </c>
      <c r="D58">
        <v>31</v>
      </c>
      <c r="E58">
        <f t="shared" si="7"/>
        <v>2</v>
      </c>
      <c r="F58">
        <f t="shared" si="4"/>
        <v>5</v>
      </c>
      <c r="G58" s="11">
        <f>VLOOKUP(I58,jarInfo!$C$15:$G$32,5,FALSE)</f>
        <v>0.81648999999999938</v>
      </c>
      <c r="H58" s="11" t="str">
        <f t="shared" si="1"/>
        <v>TVA-4E-C</v>
      </c>
      <c r="I58" t="s">
        <v>17</v>
      </c>
      <c r="J58">
        <v>1</v>
      </c>
      <c r="K58">
        <v>0.70694444444444438</v>
      </c>
      <c r="L58">
        <v>2132</v>
      </c>
      <c r="M58">
        <v>1.2999999999999999E-3</v>
      </c>
      <c r="N58">
        <v>0.19</v>
      </c>
      <c r="O58">
        <f t="shared" si="2"/>
        <v>2.9615999999999998</v>
      </c>
      <c r="P58" s="14">
        <f>(O58*G58/(IF(Q58="",constants!$F$2+constants!$A$2,timeSeries!Q58+constants!$A$2)*constants!$E$2))*(1/constants!$D$2)*10^3</f>
        <v>2.2797632347155701</v>
      </c>
      <c r="Q58">
        <f t="shared" si="8"/>
        <v>20.560000000000002</v>
      </c>
      <c r="R58" s="1">
        <f t="shared" si="5"/>
        <v>1.3859399999999999</v>
      </c>
    </row>
    <row r="59" spans="1:18">
      <c r="A59" t="str">
        <f t="shared" si="0"/>
        <v>TVA 5B C</v>
      </c>
      <c r="B59">
        <v>2004</v>
      </c>
      <c r="C59">
        <v>8</v>
      </c>
      <c r="D59">
        <v>31</v>
      </c>
      <c r="E59">
        <f t="shared" si="7"/>
        <v>1</v>
      </c>
      <c r="F59">
        <f t="shared" si="4"/>
        <v>5</v>
      </c>
      <c r="G59" s="11">
        <f>VLOOKUP(I59,jarInfo!$C$15:$G$32,5,FALSE)</f>
        <v>0.90174231454005915</v>
      </c>
      <c r="H59" s="11" t="str">
        <f t="shared" si="1"/>
        <v>TVA-5B-C</v>
      </c>
      <c r="I59" t="s">
        <v>18</v>
      </c>
      <c r="J59">
        <v>1</v>
      </c>
      <c r="K59">
        <v>0.70833333333333337</v>
      </c>
      <c r="L59">
        <v>3400.1</v>
      </c>
      <c r="M59">
        <v>1.2999999999999999E-3</v>
      </c>
      <c r="N59">
        <v>0.19</v>
      </c>
      <c r="O59">
        <f t="shared" si="2"/>
        <v>4.6101299999999998</v>
      </c>
      <c r="P59" s="14">
        <f>(O59*G59/(IF(Q59="",constants!$F$2+constants!$A$2,timeSeries!Q59+constants!$A$2)*constants!$E$2))*(1/constants!$D$2)*10^3</f>
        <v>3.9192962846802195</v>
      </c>
      <c r="Q59">
        <f t="shared" si="8"/>
        <v>20.560000000000002</v>
      </c>
      <c r="R59" s="1">
        <f t="shared" si="5"/>
        <v>1.2185100000000002</v>
      </c>
    </row>
    <row r="60" spans="1:18">
      <c r="A60" t="str">
        <f t="shared" si="0"/>
        <v>TVA 6E C</v>
      </c>
      <c r="B60">
        <v>2004</v>
      </c>
      <c r="C60">
        <v>8</v>
      </c>
      <c r="D60">
        <v>31</v>
      </c>
      <c r="E60">
        <f t="shared" si="7"/>
        <v>2</v>
      </c>
      <c r="F60">
        <f t="shared" si="4"/>
        <v>5</v>
      </c>
      <c r="G60" s="11">
        <f>VLOOKUP(I60,jarInfo!$C$15:$G$32,5,FALSE)</f>
        <v>0.82377173394495395</v>
      </c>
      <c r="H60" s="11" t="str">
        <f t="shared" si="1"/>
        <v>TVA-6E-C</v>
      </c>
      <c r="I60" t="s">
        <v>19</v>
      </c>
      <c r="J60">
        <v>1</v>
      </c>
      <c r="K60">
        <v>0.70972222222222225</v>
      </c>
      <c r="L60">
        <v>992.57</v>
      </c>
      <c r="M60">
        <v>1.2999999999999999E-3</v>
      </c>
      <c r="N60">
        <v>0.19</v>
      </c>
      <c r="O60">
        <f t="shared" si="2"/>
        <v>1.4803409999999999</v>
      </c>
      <c r="P60" s="14">
        <f>(O60*G60/(IF(Q60="",constants!$F$2+constants!$A$2,timeSeries!Q60+constants!$A$2)*constants!$E$2))*(1/constants!$D$2)*10^3</f>
        <v>1.1496909896765242</v>
      </c>
      <c r="Q60">
        <f t="shared" si="8"/>
        <v>20.560000000000002</v>
      </c>
      <c r="R60" s="1">
        <f t="shared" si="5"/>
        <v>-2.5573589999999999</v>
      </c>
    </row>
    <row r="61" spans="1:18">
      <c r="A61" t="str">
        <f t="shared" si="0"/>
        <v>TVA 8E C</v>
      </c>
      <c r="B61">
        <v>2004</v>
      </c>
      <c r="C61">
        <v>8</v>
      </c>
      <c r="D61">
        <v>31</v>
      </c>
      <c r="E61">
        <f t="shared" si="7"/>
        <v>1</v>
      </c>
      <c r="F61">
        <f t="shared" si="4"/>
        <v>5</v>
      </c>
      <c r="G61" s="11">
        <f>VLOOKUP(I61,jarInfo!$C$15:$G$32,5,FALSE)</f>
        <v>0.8628167016205911</v>
      </c>
      <c r="H61" s="11" t="str">
        <f t="shared" si="1"/>
        <v>TVA-8E-C</v>
      </c>
      <c r="I61" t="s">
        <v>20</v>
      </c>
      <c r="J61">
        <v>1</v>
      </c>
      <c r="K61">
        <v>0.71111111111111114</v>
      </c>
      <c r="L61">
        <v>3149.7</v>
      </c>
      <c r="M61">
        <v>1.2999999999999999E-3</v>
      </c>
      <c r="N61">
        <v>0.19</v>
      </c>
      <c r="O61">
        <f t="shared" si="2"/>
        <v>4.2846099999999998</v>
      </c>
      <c r="P61" s="14">
        <f>(O61*G61/(IF(Q61="",constants!$F$2+constants!$A$2,timeSeries!Q61+constants!$A$2)*constants!$E$2))*(1/constants!$D$2)*10^3</f>
        <v>3.4853172389828453</v>
      </c>
      <c r="Q61">
        <f t="shared" si="8"/>
        <v>20.560000000000002</v>
      </c>
      <c r="R61" s="1">
        <f t="shared" si="5"/>
        <v>1.2097900000000004</v>
      </c>
    </row>
    <row r="62" spans="1:18">
      <c r="A62" t="str">
        <f t="shared" si="0"/>
        <v>WB 3E C</v>
      </c>
      <c r="B62">
        <v>2004</v>
      </c>
      <c r="C62">
        <v>9</v>
      </c>
      <c r="D62">
        <v>1</v>
      </c>
      <c r="E62">
        <f t="shared" si="7"/>
        <v>1</v>
      </c>
      <c r="F62">
        <f>F50+1</f>
        <v>6</v>
      </c>
      <c r="G62" s="11">
        <f>VLOOKUP(I62,jarInfo!$C$15:$G$32,5,FALSE)</f>
        <v>0.87917959341723062</v>
      </c>
      <c r="H62" s="11" t="str">
        <f t="shared" si="1"/>
        <v>WB-3E-C</v>
      </c>
      <c r="I62" t="s">
        <v>9</v>
      </c>
      <c r="J62">
        <v>1</v>
      </c>
      <c r="K62">
        <v>0.70347222222222217</v>
      </c>
      <c r="L62">
        <v>2544.4</v>
      </c>
      <c r="M62">
        <v>1.1999999999999999E-3</v>
      </c>
      <c r="N62">
        <v>8.3799999999999999E-2</v>
      </c>
      <c r="O62">
        <f t="shared" si="2"/>
        <v>3.1370800000000001</v>
      </c>
      <c r="P62" s="14">
        <f>(O62*G62/(IF(Q62="",constants!$F$2+constants!$A$2,timeSeries!Q62+constants!$A$2)*constants!$E$2))*(1/constants!$D$2)*10^3</f>
        <v>2.587567054502693</v>
      </c>
      <c r="Q62">
        <f>AVERAGE(22.2,21.8)</f>
        <v>22</v>
      </c>
      <c r="R62" s="1">
        <f t="shared" si="5"/>
        <v>5.6920000000000304E-2</v>
      </c>
    </row>
    <row r="63" spans="1:18">
      <c r="A63" t="str">
        <f t="shared" si="0"/>
        <v>WB 4B C</v>
      </c>
      <c r="B63">
        <v>2004</v>
      </c>
      <c r="C63">
        <v>9</v>
      </c>
      <c r="D63">
        <v>1</v>
      </c>
      <c r="E63">
        <f t="shared" si="7"/>
        <v>1</v>
      </c>
      <c r="F63">
        <f t="shared" si="4"/>
        <v>6</v>
      </c>
      <c r="G63" s="11">
        <f>VLOOKUP(I63,jarInfo!$C$15:$G$32,5,FALSE)</f>
        <v>0.84883525375939861</v>
      </c>
      <c r="H63" s="11" t="str">
        <f t="shared" si="1"/>
        <v>WB-4B-C</v>
      </c>
      <c r="I63" t="s">
        <v>10</v>
      </c>
      <c r="J63">
        <v>1</v>
      </c>
      <c r="K63">
        <v>0.70486111111111116</v>
      </c>
      <c r="L63">
        <v>4139.1000000000004</v>
      </c>
      <c r="M63">
        <v>1.1999999999999999E-3</v>
      </c>
      <c r="N63">
        <v>8.3799999999999999E-2</v>
      </c>
      <c r="O63">
        <f t="shared" si="2"/>
        <v>5.0507200000000001</v>
      </c>
      <c r="P63" s="14">
        <f>(O63*G63/(IF(Q63="",constants!$F$2+constants!$A$2,timeSeries!Q63+constants!$A$2)*constants!$E$2))*(1/constants!$D$2)*10^3</f>
        <v>4.0222135166681063</v>
      </c>
      <c r="Q63">
        <f t="shared" ref="Q63:Q73" si="9">AVERAGE(22.2,21.8)</f>
        <v>22</v>
      </c>
      <c r="R63" s="1">
        <f t="shared" si="5"/>
        <v>-0.13505000000000056</v>
      </c>
    </row>
    <row r="64" spans="1:18">
      <c r="A64" t="str">
        <f t="shared" si="0"/>
        <v>WB 5B C</v>
      </c>
      <c r="B64">
        <v>2004</v>
      </c>
      <c r="C64">
        <v>9</v>
      </c>
      <c r="D64">
        <v>1</v>
      </c>
      <c r="E64">
        <f t="shared" si="7"/>
        <v>2</v>
      </c>
      <c r="F64">
        <f t="shared" si="4"/>
        <v>6</v>
      </c>
      <c r="G64" s="11">
        <f>VLOOKUP(I64,jarInfo!$C$15:$G$32,5,FALSE)</f>
        <v>0.90350278217821778</v>
      </c>
      <c r="H64" s="11" t="str">
        <f t="shared" si="1"/>
        <v>WB-5B-C</v>
      </c>
      <c r="I64" t="s">
        <v>11</v>
      </c>
      <c r="J64">
        <v>1</v>
      </c>
      <c r="K64">
        <v>0.70625000000000004</v>
      </c>
      <c r="L64">
        <v>1674</v>
      </c>
      <c r="M64">
        <v>1.1999999999999999E-3</v>
      </c>
      <c r="N64">
        <v>8.3799999999999999E-2</v>
      </c>
      <c r="O64">
        <f t="shared" si="2"/>
        <v>2.0926</v>
      </c>
      <c r="P64" s="14">
        <f>(O64*G64/(IF(Q64="",constants!$F$2+constants!$A$2,timeSeries!Q64+constants!$A$2)*constants!$E$2))*(1/constants!$D$2)*10^3</f>
        <v>1.7737978945519852</v>
      </c>
      <c r="Q64">
        <f t="shared" si="9"/>
        <v>22</v>
      </c>
      <c r="R64" s="1">
        <f t="shared" si="5"/>
        <v>0.6106600000000002</v>
      </c>
    </row>
    <row r="65" spans="1:18">
      <c r="A65" t="str">
        <f t="shared" si="0"/>
        <v>WB 6E C</v>
      </c>
      <c r="B65">
        <v>2004</v>
      </c>
      <c r="C65">
        <v>9</v>
      </c>
      <c r="D65">
        <v>1</v>
      </c>
      <c r="E65">
        <f t="shared" si="7"/>
        <v>1</v>
      </c>
      <c r="F65">
        <f t="shared" si="4"/>
        <v>6</v>
      </c>
      <c r="G65" s="11">
        <f>VLOOKUP(I65,jarInfo!$C$15:$G$32,5,FALSE)</f>
        <v>0.84358970065481675</v>
      </c>
      <c r="H65" s="11" t="str">
        <f t="shared" si="1"/>
        <v>WB-6E-C</v>
      </c>
      <c r="I65" t="s">
        <v>12</v>
      </c>
      <c r="J65">
        <v>1</v>
      </c>
      <c r="K65">
        <v>0.70763888888888904</v>
      </c>
      <c r="L65">
        <v>3477.3</v>
      </c>
      <c r="M65">
        <v>1.1999999999999999E-3</v>
      </c>
      <c r="N65">
        <v>8.3799999999999999E-2</v>
      </c>
      <c r="O65">
        <f t="shared" si="2"/>
        <v>4.2565600000000003</v>
      </c>
      <c r="P65" s="14">
        <f>(O65*G65/(IF(Q65="",constants!$F$2+constants!$A$2,timeSeries!Q65+constants!$A$2)*constants!$E$2))*(1/constants!$D$2)*10^3</f>
        <v>3.3688249758925313</v>
      </c>
      <c r="Q65">
        <f t="shared" si="9"/>
        <v>22</v>
      </c>
      <c r="R65" s="1">
        <f t="shared" si="5"/>
        <v>-0.33056000000000019</v>
      </c>
    </row>
    <row r="66" spans="1:18">
      <c r="A66" t="str">
        <f t="shared" si="0"/>
        <v>WB 7E C</v>
      </c>
      <c r="B66">
        <v>2004</v>
      </c>
      <c r="C66">
        <v>9</v>
      </c>
      <c r="D66">
        <v>1</v>
      </c>
      <c r="E66">
        <f t="shared" si="7"/>
        <v>2</v>
      </c>
      <c r="F66">
        <f t="shared" si="4"/>
        <v>6</v>
      </c>
      <c r="G66" s="11">
        <f>VLOOKUP(I66,jarInfo!$C$15:$G$32,5,FALSE)</f>
        <v>0.90097950592885423</v>
      </c>
      <c r="H66" s="11" t="str">
        <f t="shared" si="1"/>
        <v>WB-7E-C</v>
      </c>
      <c r="I66" t="s">
        <v>13</v>
      </c>
      <c r="J66">
        <v>1</v>
      </c>
      <c r="K66">
        <v>0.70902777777777803</v>
      </c>
      <c r="L66">
        <v>1732.3</v>
      </c>
      <c r="M66">
        <v>1.1999999999999999E-3</v>
      </c>
      <c r="N66">
        <v>8.3799999999999999E-2</v>
      </c>
      <c r="O66">
        <f t="shared" si="2"/>
        <v>2.16256</v>
      </c>
      <c r="P66" s="14">
        <f>(O66*G66/(IF(Q66="",constants!$F$2+constants!$A$2,timeSeries!Q66+constants!$A$2)*constants!$E$2))*(1/constants!$D$2)*10^3</f>
        <v>1.8279802452166787</v>
      </c>
      <c r="Q66">
        <f t="shared" si="9"/>
        <v>22</v>
      </c>
      <c r="R66" s="1">
        <f t="shared" si="5"/>
        <v>0.5672600000000001</v>
      </c>
    </row>
    <row r="67" spans="1:18">
      <c r="A67" t="str">
        <f t="shared" ref="A67:A130" si="10">IF(LEFT(H67,1)="W","WB "&amp;LEFT(RIGHT(H67,4),2)&amp;" C","TVA "&amp;LEFT(RIGHT(H67,4),2)&amp;" C")</f>
        <v>WB 8B C</v>
      </c>
      <c r="B67">
        <v>2004</v>
      </c>
      <c r="C67">
        <v>9</v>
      </c>
      <c r="D67">
        <v>1</v>
      </c>
      <c r="E67">
        <f t="shared" si="7"/>
        <v>1</v>
      </c>
      <c r="F67">
        <f t="shared" si="4"/>
        <v>6</v>
      </c>
      <c r="G67" s="11">
        <f>VLOOKUP(I67,jarInfo!$C$15:$G$32,5,FALSE)</f>
        <v>0.85318028328611917</v>
      </c>
      <c r="H67" s="11" t="str">
        <f t="shared" ref="H67:H130" si="11">IF(RIGHT(I67,1)=" ",LEFT(I67,LEN(I67)-1),I67)</f>
        <v>WB-8B-C</v>
      </c>
      <c r="I67" t="s">
        <v>14</v>
      </c>
      <c r="J67">
        <v>1</v>
      </c>
      <c r="K67">
        <v>0.71041666666666703</v>
      </c>
      <c r="L67">
        <v>2875.8</v>
      </c>
      <c r="M67">
        <v>1.1999999999999999E-3</v>
      </c>
      <c r="N67">
        <v>8.3799999999999999E-2</v>
      </c>
      <c r="O67">
        <f t="shared" ref="O67:O130" si="12">IF(L67="","",(L67*M67+N67)/J67)</f>
        <v>3.5347599999999999</v>
      </c>
      <c r="P67" s="14">
        <f>(O67*G67/(IF(Q67="",constants!$F$2+constants!$A$2,timeSeries!Q67+constants!$A$2)*constants!$E$2))*(1/constants!$D$2)*10^3</f>
        <v>2.8293662068545045</v>
      </c>
      <c r="Q67">
        <f t="shared" si="9"/>
        <v>22</v>
      </c>
      <c r="R67" s="1">
        <f t="shared" si="5"/>
        <v>-0.19461999999999957</v>
      </c>
    </row>
    <row r="68" spans="1:18">
      <c r="A68" t="str">
        <f t="shared" si="10"/>
        <v>TVA 2B C</v>
      </c>
      <c r="B68">
        <v>2004</v>
      </c>
      <c r="C68">
        <v>9</v>
      </c>
      <c r="D68">
        <v>1</v>
      </c>
      <c r="E68">
        <f t="shared" si="7"/>
        <v>1</v>
      </c>
      <c r="F68">
        <f t="shared" si="4"/>
        <v>6</v>
      </c>
      <c r="G68" s="11">
        <f>VLOOKUP(I68,jarInfo!$C$15:$G$32,5,FALSE)</f>
        <v>0.8766205217391303</v>
      </c>
      <c r="H68" s="11" t="str">
        <f t="shared" si="11"/>
        <v>TVA-2B-C</v>
      </c>
      <c r="I68" t="s">
        <v>15</v>
      </c>
      <c r="J68">
        <v>1</v>
      </c>
      <c r="K68">
        <v>0.71180555555555602</v>
      </c>
      <c r="L68">
        <v>3068.3</v>
      </c>
      <c r="M68">
        <v>1.1999999999999999E-3</v>
      </c>
      <c r="N68">
        <v>8.3799999999999999E-2</v>
      </c>
      <c r="O68">
        <f t="shared" si="12"/>
        <v>3.7657599999999998</v>
      </c>
      <c r="P68" s="14">
        <f>(O68*G68/(IF(Q68="",constants!$F$2+constants!$A$2,timeSeries!Q68+constants!$A$2)*constants!$E$2))*(1/constants!$D$2)*10^3</f>
        <v>3.0970819077562379</v>
      </c>
      <c r="Q68">
        <f t="shared" si="9"/>
        <v>22</v>
      </c>
      <c r="R68" s="1">
        <f t="shared" si="5"/>
        <v>-0.1747399999999999</v>
      </c>
    </row>
    <row r="69" spans="1:18">
      <c r="A69" t="str">
        <f t="shared" si="10"/>
        <v>TVA 3B C</v>
      </c>
      <c r="B69">
        <v>2004</v>
      </c>
      <c r="C69">
        <v>9</v>
      </c>
      <c r="D69">
        <v>1</v>
      </c>
      <c r="E69">
        <f t="shared" si="7"/>
        <v>1</v>
      </c>
      <c r="F69">
        <f t="shared" si="4"/>
        <v>6</v>
      </c>
      <c r="G69" s="11">
        <f>VLOOKUP(I69,jarInfo!$C$15:$G$32,5,FALSE)</f>
        <v>0.84358970065481675</v>
      </c>
      <c r="H69" s="11" t="str">
        <f t="shared" si="11"/>
        <v>TVA-3B-C</v>
      </c>
      <c r="I69" t="s">
        <v>16</v>
      </c>
      <c r="J69">
        <v>1</v>
      </c>
      <c r="K69">
        <v>0.71319444444444502</v>
      </c>
      <c r="L69">
        <v>1784.2</v>
      </c>
      <c r="M69">
        <v>1.1999999999999999E-3</v>
      </c>
      <c r="N69">
        <v>8.3799999999999999E-2</v>
      </c>
      <c r="O69">
        <f t="shared" si="12"/>
        <v>2.2248399999999999</v>
      </c>
      <c r="P69" s="14">
        <f>(O69*G69/(IF(Q69="",constants!$F$2+constants!$A$2,timeSeries!Q69+constants!$A$2)*constants!$E$2))*(1/constants!$D$2)*10^3</f>
        <v>1.7608342321886075</v>
      </c>
      <c r="Q69">
        <f t="shared" si="9"/>
        <v>22</v>
      </c>
      <c r="R69" s="1">
        <f t="shared" si="5"/>
        <v>-4.210000000000047E-3</v>
      </c>
    </row>
    <row r="70" spans="1:18">
      <c r="A70" t="str">
        <f t="shared" si="10"/>
        <v>TVA 4E C</v>
      </c>
      <c r="B70">
        <v>2004</v>
      </c>
      <c r="C70">
        <v>9</v>
      </c>
      <c r="D70">
        <v>1</v>
      </c>
      <c r="E70">
        <f t="shared" si="7"/>
        <v>2</v>
      </c>
      <c r="F70">
        <f t="shared" si="4"/>
        <v>6</v>
      </c>
      <c r="G70" s="11">
        <f>VLOOKUP(I70,jarInfo!$C$15:$G$32,5,FALSE)</f>
        <v>0.81648999999999938</v>
      </c>
      <c r="H70" s="11" t="str">
        <f t="shared" si="11"/>
        <v>TVA-4E-C</v>
      </c>
      <c r="I70" t="s">
        <v>17</v>
      </c>
      <c r="J70">
        <v>1</v>
      </c>
      <c r="K70">
        <v>0.71458333333333401</v>
      </c>
      <c r="L70">
        <v>2884.6</v>
      </c>
      <c r="M70">
        <v>1.1999999999999999E-3</v>
      </c>
      <c r="N70">
        <v>8.3799999999999999E-2</v>
      </c>
      <c r="O70">
        <f t="shared" si="12"/>
        <v>3.5453199999999998</v>
      </c>
      <c r="P70" s="14">
        <f>(O70*G70/(IF(Q70="",constants!$F$2+constants!$A$2,timeSeries!Q70+constants!$A$2)*constants!$E$2))*(1/constants!$D$2)*10^3</f>
        <v>2.7157809058521249</v>
      </c>
      <c r="Q70">
        <f t="shared" si="9"/>
        <v>22</v>
      </c>
      <c r="R70" s="1">
        <f t="shared" si="5"/>
        <v>0.58372000000000002</v>
      </c>
    </row>
    <row r="71" spans="1:18">
      <c r="A71" t="str">
        <f t="shared" si="10"/>
        <v>TVA 5B C</v>
      </c>
      <c r="B71">
        <v>2004</v>
      </c>
      <c r="C71">
        <v>9</v>
      </c>
      <c r="D71">
        <v>1</v>
      </c>
      <c r="E71">
        <f t="shared" si="7"/>
        <v>1</v>
      </c>
      <c r="F71">
        <f t="shared" si="4"/>
        <v>6</v>
      </c>
      <c r="G71" s="11">
        <f>VLOOKUP(I71,jarInfo!$C$15:$G$32,5,FALSE)</f>
        <v>0.90174231454005915</v>
      </c>
      <c r="H71" s="11" t="str">
        <f t="shared" si="11"/>
        <v>TVA-5B-C</v>
      </c>
      <c r="I71" t="s">
        <v>18</v>
      </c>
      <c r="J71">
        <v>1</v>
      </c>
      <c r="K71">
        <v>0.71597222222222301</v>
      </c>
      <c r="L71">
        <v>3539.7</v>
      </c>
      <c r="M71">
        <v>1.1999999999999999E-3</v>
      </c>
      <c r="N71">
        <v>8.3799999999999999E-2</v>
      </c>
      <c r="O71">
        <f t="shared" si="12"/>
        <v>4.3314399999999997</v>
      </c>
      <c r="P71" s="14">
        <f>(O71*G71/(IF(Q71="",constants!$F$2+constants!$A$2,timeSeries!Q71+constants!$A$2)*constants!$E$2))*(1/constants!$D$2)*10^3</f>
        <v>3.6644025125381585</v>
      </c>
      <c r="Q71">
        <f t="shared" si="9"/>
        <v>22</v>
      </c>
      <c r="R71" s="1">
        <f t="shared" si="5"/>
        <v>-0.2786900000000001</v>
      </c>
    </row>
    <row r="72" spans="1:18">
      <c r="A72" t="str">
        <f t="shared" si="10"/>
        <v>TVA 6E C</v>
      </c>
      <c r="B72">
        <v>2004</v>
      </c>
      <c r="C72">
        <v>9</v>
      </c>
      <c r="D72">
        <v>1</v>
      </c>
      <c r="E72">
        <f t="shared" si="7"/>
        <v>2</v>
      </c>
      <c r="F72">
        <f t="shared" si="4"/>
        <v>6</v>
      </c>
      <c r="G72" s="11">
        <f>VLOOKUP(I72,jarInfo!$C$15:$G$32,5,FALSE)</f>
        <v>0.82377173394495395</v>
      </c>
      <c r="H72" s="11" t="str">
        <f t="shared" si="11"/>
        <v>TVA-6E-C</v>
      </c>
      <c r="I72" t="s">
        <v>19</v>
      </c>
      <c r="J72">
        <v>1</v>
      </c>
      <c r="K72">
        <v>0.717361111111112</v>
      </c>
      <c r="L72">
        <v>1386.4</v>
      </c>
      <c r="M72">
        <v>1.1999999999999999E-3</v>
      </c>
      <c r="N72">
        <v>8.3799999999999999E-2</v>
      </c>
      <c r="O72">
        <f t="shared" si="12"/>
        <v>1.7474800000000001</v>
      </c>
      <c r="P72" s="14">
        <f>(O72*G72/(IF(Q72="",constants!$F$2+constants!$A$2,timeSeries!Q72+constants!$A$2)*constants!$E$2))*(1/constants!$D$2)*10^3</f>
        <v>1.3505402119680325</v>
      </c>
      <c r="Q72">
        <f t="shared" si="9"/>
        <v>22</v>
      </c>
      <c r="R72" s="1">
        <f t="shared" si="5"/>
        <v>0.26713900000000024</v>
      </c>
    </row>
    <row r="73" spans="1:18">
      <c r="A73" t="str">
        <f t="shared" si="10"/>
        <v>TVA 8E C</v>
      </c>
      <c r="B73">
        <v>2004</v>
      </c>
      <c r="C73">
        <v>9</v>
      </c>
      <c r="D73">
        <v>1</v>
      </c>
      <c r="E73">
        <f t="shared" si="7"/>
        <v>1</v>
      </c>
      <c r="F73">
        <f t="shared" si="4"/>
        <v>6</v>
      </c>
      <c r="G73" s="11">
        <f>VLOOKUP(I73,jarInfo!$C$15:$G$32,5,FALSE)</f>
        <v>0.8628167016205911</v>
      </c>
      <c r="H73" s="11" t="str">
        <f t="shared" si="11"/>
        <v>TVA-8E-C</v>
      </c>
      <c r="I73" t="s">
        <v>20</v>
      </c>
      <c r="J73">
        <v>1</v>
      </c>
      <c r="K73">
        <v>0.718750000000001</v>
      </c>
      <c r="L73">
        <v>3195.8</v>
      </c>
      <c r="M73">
        <v>1.1999999999999999E-3</v>
      </c>
      <c r="N73">
        <v>8.3799999999999999E-2</v>
      </c>
      <c r="O73">
        <f t="shared" si="12"/>
        <v>3.9187599999999998</v>
      </c>
      <c r="P73" s="14">
        <f>(O73*G73/(IF(Q73="",constants!$F$2+constants!$A$2,timeSeries!Q73+constants!$A$2)*constants!$E$2))*(1/constants!$D$2)*10^3</f>
        <v>3.1721639805013089</v>
      </c>
      <c r="Q73">
        <f t="shared" si="9"/>
        <v>22</v>
      </c>
      <c r="R73" s="1">
        <f t="shared" si="5"/>
        <v>-0.36585000000000001</v>
      </c>
    </row>
    <row r="74" spans="1:18">
      <c r="A74" t="str">
        <f t="shared" si="10"/>
        <v>WB 3E C</v>
      </c>
      <c r="B74">
        <v>2004</v>
      </c>
      <c r="C74">
        <v>9</v>
      </c>
      <c r="D74">
        <v>2</v>
      </c>
      <c r="E74">
        <f t="shared" si="7"/>
        <v>1</v>
      </c>
      <c r="F74">
        <f>F62+D74-D62</f>
        <v>7</v>
      </c>
      <c r="G74" s="11">
        <f>VLOOKUP(I74,jarInfo!$C$15:$G$32,5,FALSE)</f>
        <v>0.87917959341723062</v>
      </c>
      <c r="H74" s="11" t="str">
        <f t="shared" si="11"/>
        <v>WB-3E-C</v>
      </c>
      <c r="I74" t="s">
        <v>9</v>
      </c>
      <c r="J74">
        <v>1</v>
      </c>
      <c r="K74">
        <v>0.70347222222222217</v>
      </c>
      <c r="L74">
        <v>2872.3</v>
      </c>
      <c r="M74">
        <v>1.2999999999999999E-3</v>
      </c>
      <c r="N74">
        <v>-1.5900000000000001E-2</v>
      </c>
      <c r="O74">
        <f t="shared" si="12"/>
        <v>3.7180900000000001</v>
      </c>
      <c r="P74" s="14">
        <f>(O74*G74/(IF(Q74="",constants!$F$2+constants!$A$2,timeSeries!Q74+constants!$A$2)*constants!$E$2))*(1/constants!$D$2)*10^3</f>
        <v>3.0839391637672495</v>
      </c>
      <c r="Q74">
        <f>AVERAGE(20.02,20.7)</f>
        <v>20.36</v>
      </c>
      <c r="R74" s="1">
        <f t="shared" si="5"/>
        <v>0.58101000000000003</v>
      </c>
    </row>
    <row r="75" spans="1:18">
      <c r="A75" t="str">
        <f t="shared" si="10"/>
        <v>WB 4B C</v>
      </c>
      <c r="B75">
        <v>2004</v>
      </c>
      <c r="C75">
        <v>9</v>
      </c>
      <c r="D75">
        <v>2</v>
      </c>
      <c r="E75">
        <f t="shared" si="7"/>
        <v>2</v>
      </c>
      <c r="F75">
        <f t="shared" ref="F75:F97" si="13">F63+D75-D63</f>
        <v>7</v>
      </c>
      <c r="G75" s="11">
        <f>VLOOKUP(I75,jarInfo!$C$15:$G$32,5,FALSE)</f>
        <v>0.84883525375939861</v>
      </c>
      <c r="H75" s="11" t="str">
        <f t="shared" si="11"/>
        <v>WB-4B-C</v>
      </c>
      <c r="I75" t="s">
        <v>10</v>
      </c>
      <c r="J75">
        <v>1</v>
      </c>
      <c r="K75">
        <v>0.70486111111111116</v>
      </c>
      <c r="L75">
        <v>604.70000000000005</v>
      </c>
      <c r="M75">
        <v>1.2999999999999999E-3</v>
      </c>
      <c r="N75">
        <v>-1.5900000000000001E-2</v>
      </c>
      <c r="O75">
        <f t="shared" si="12"/>
        <v>0.77020999999999995</v>
      </c>
      <c r="P75" s="14">
        <f>(O75*G75/(IF(Q75="",constants!$F$2+constants!$A$2,timeSeries!Q75+constants!$A$2)*constants!$E$2))*(1/constants!$D$2)*10^3</f>
        <v>0.61679503100745592</v>
      </c>
      <c r="Q75">
        <f t="shared" ref="Q75:Q85" si="14">AVERAGE(20.02,20.7)</f>
        <v>20.36</v>
      </c>
      <c r="R75" s="1">
        <f t="shared" si="5"/>
        <v>-4.2805100000000005</v>
      </c>
    </row>
    <row r="76" spans="1:18">
      <c r="A76" t="str">
        <f t="shared" si="10"/>
        <v>WB 5B C</v>
      </c>
      <c r="B76">
        <v>2004</v>
      </c>
      <c r="C76">
        <v>9</v>
      </c>
      <c r="D76">
        <v>2</v>
      </c>
      <c r="E76">
        <f t="shared" si="7"/>
        <v>2</v>
      </c>
      <c r="F76">
        <f t="shared" si="13"/>
        <v>7</v>
      </c>
      <c r="G76" s="11">
        <f>VLOOKUP(I76,jarInfo!$C$15:$G$32,5,FALSE)</f>
        <v>0.90350278217821778</v>
      </c>
      <c r="H76" s="11" t="str">
        <f t="shared" si="11"/>
        <v>WB-5B-C</v>
      </c>
      <c r="I76" t="s">
        <v>11</v>
      </c>
      <c r="J76">
        <v>1</v>
      </c>
      <c r="K76">
        <v>0.70625000000000004</v>
      </c>
      <c r="L76">
        <v>2328</v>
      </c>
      <c r="M76">
        <v>1.2999999999999999E-3</v>
      </c>
      <c r="N76">
        <v>-1.5900000000000001E-2</v>
      </c>
      <c r="O76">
        <f t="shared" si="12"/>
        <v>3.0105</v>
      </c>
      <c r="P76" s="14">
        <f>(O76*G76/(IF(Q76="",constants!$F$2+constants!$A$2,timeSeries!Q76+constants!$A$2)*constants!$E$2))*(1/constants!$D$2)*10^3</f>
        <v>2.5661168639513829</v>
      </c>
      <c r="Q76">
        <f t="shared" si="14"/>
        <v>20.36</v>
      </c>
      <c r="R76" s="1">
        <f t="shared" si="5"/>
        <v>0.91789999999999994</v>
      </c>
    </row>
    <row r="77" spans="1:18">
      <c r="A77" t="str">
        <f t="shared" si="10"/>
        <v>WB 6E C</v>
      </c>
      <c r="B77">
        <v>2004</v>
      </c>
      <c r="C77">
        <v>9</v>
      </c>
      <c r="D77">
        <v>2</v>
      </c>
      <c r="E77">
        <f t="shared" si="7"/>
        <v>2</v>
      </c>
      <c r="F77">
        <f t="shared" si="13"/>
        <v>7</v>
      </c>
      <c r="G77" s="11">
        <f>VLOOKUP(I77,jarInfo!$C$15:$G$32,5,FALSE)</f>
        <v>0.84358970065481675</v>
      </c>
      <c r="H77" s="11" t="str">
        <f t="shared" si="11"/>
        <v>WB-6E-C</v>
      </c>
      <c r="I77" t="s">
        <v>12</v>
      </c>
      <c r="J77">
        <v>1</v>
      </c>
      <c r="K77">
        <v>0.70763888888888904</v>
      </c>
      <c r="L77">
        <v>649.30999999999995</v>
      </c>
      <c r="M77">
        <v>1.2999999999999999E-3</v>
      </c>
      <c r="N77">
        <v>-1.5900000000000001E-2</v>
      </c>
      <c r="O77">
        <f t="shared" si="12"/>
        <v>0.82820299999999991</v>
      </c>
      <c r="P77" s="14">
        <f>(O77*G77/(IF(Q77="",constants!$F$2+constants!$A$2,timeSeries!Q77+constants!$A$2)*constants!$E$2))*(1/constants!$D$2)*10^3</f>
        <v>0.65913803525355885</v>
      </c>
      <c r="Q77">
        <f t="shared" si="14"/>
        <v>20.36</v>
      </c>
      <c r="R77" s="1">
        <f t="shared" si="5"/>
        <v>-3.4283570000000005</v>
      </c>
    </row>
    <row r="78" spans="1:18">
      <c r="A78" t="str">
        <f t="shared" si="10"/>
        <v>WB 7E C</v>
      </c>
      <c r="B78">
        <v>2004</v>
      </c>
      <c r="C78">
        <v>9</v>
      </c>
      <c r="D78">
        <v>2</v>
      </c>
      <c r="E78">
        <f t="shared" ref="E78:E97" si="15">IF(R78&lt;-1,E66+1,E66)</f>
        <v>2</v>
      </c>
      <c r="F78">
        <f t="shared" si="13"/>
        <v>7</v>
      </c>
      <c r="G78" s="11">
        <f>VLOOKUP(I78,jarInfo!$C$15:$G$32,5,FALSE)</f>
        <v>0.90097950592885423</v>
      </c>
      <c r="H78" s="11" t="str">
        <f t="shared" si="11"/>
        <v>WB-7E-C</v>
      </c>
      <c r="I78" t="s">
        <v>13</v>
      </c>
      <c r="J78">
        <v>1</v>
      </c>
      <c r="K78">
        <v>0.70902777777777803</v>
      </c>
      <c r="L78">
        <v>2157.1999999999998</v>
      </c>
      <c r="M78">
        <v>1.2999999999999999E-3</v>
      </c>
      <c r="N78">
        <v>-1.5900000000000001E-2</v>
      </c>
      <c r="O78">
        <f t="shared" si="12"/>
        <v>2.7884599999999997</v>
      </c>
      <c r="P78" s="14">
        <f>(O78*G78/(IF(Q78="",constants!$F$2+constants!$A$2,timeSeries!Q78+constants!$A$2)*constants!$E$2))*(1/constants!$D$2)*10^3</f>
        <v>2.3702144224429156</v>
      </c>
      <c r="Q78">
        <f t="shared" si="14"/>
        <v>20.36</v>
      </c>
      <c r="R78" s="1">
        <f t="shared" si="5"/>
        <v>0.62589999999999968</v>
      </c>
    </row>
    <row r="79" spans="1:18">
      <c r="A79" t="str">
        <f t="shared" si="10"/>
        <v>WB 8B C</v>
      </c>
      <c r="B79">
        <v>2004</v>
      </c>
      <c r="C79">
        <v>9</v>
      </c>
      <c r="D79">
        <v>2</v>
      </c>
      <c r="E79">
        <f t="shared" si="15"/>
        <v>2</v>
      </c>
      <c r="F79">
        <f t="shared" si="13"/>
        <v>7</v>
      </c>
      <c r="G79" s="11">
        <f>VLOOKUP(I79,jarInfo!$C$15:$G$32,5,FALSE)</f>
        <v>0.85318028328611917</v>
      </c>
      <c r="H79" s="11" t="str">
        <f t="shared" si="11"/>
        <v>WB-8B-C</v>
      </c>
      <c r="I79" t="s">
        <v>14</v>
      </c>
      <c r="J79">
        <v>1</v>
      </c>
      <c r="K79">
        <v>0.71041666666666703</v>
      </c>
      <c r="L79">
        <v>490.78</v>
      </c>
      <c r="M79">
        <v>1.2999999999999999E-3</v>
      </c>
      <c r="N79">
        <v>-1.5900000000000001E-2</v>
      </c>
      <c r="O79">
        <f t="shared" si="12"/>
        <v>0.62211399999999994</v>
      </c>
      <c r="P79" s="14">
        <f>(O79*G79/(IF(Q79="",constants!$F$2+constants!$A$2,timeSeries!Q79+constants!$A$2)*constants!$E$2))*(1/constants!$D$2)*10^3</f>
        <v>0.50074784650381998</v>
      </c>
      <c r="Q79">
        <f t="shared" si="14"/>
        <v>20.36</v>
      </c>
      <c r="R79" s="1">
        <f t="shared" ref="R79:R110" si="16">O79-O67</f>
        <v>-2.9126460000000001</v>
      </c>
    </row>
    <row r="80" spans="1:18">
      <c r="A80" t="str">
        <f t="shared" si="10"/>
        <v>TVA 2B C</v>
      </c>
      <c r="B80">
        <v>2004</v>
      </c>
      <c r="C80">
        <v>9</v>
      </c>
      <c r="D80">
        <v>2</v>
      </c>
      <c r="E80">
        <f t="shared" si="15"/>
        <v>2</v>
      </c>
      <c r="F80">
        <f t="shared" si="13"/>
        <v>7</v>
      </c>
      <c r="G80" s="11">
        <f>VLOOKUP(I80,jarInfo!$C$15:$G$32,5,FALSE)</f>
        <v>0.8766205217391303</v>
      </c>
      <c r="H80" s="11" t="str">
        <f t="shared" si="11"/>
        <v>TVA-2B-C</v>
      </c>
      <c r="I80" t="s">
        <v>15</v>
      </c>
      <c r="J80">
        <v>1</v>
      </c>
      <c r="K80">
        <v>0.71250000000000002</v>
      </c>
      <c r="L80">
        <v>498.56</v>
      </c>
      <c r="M80">
        <v>1.2999999999999999E-3</v>
      </c>
      <c r="N80">
        <v>-1.5900000000000001E-2</v>
      </c>
      <c r="O80">
        <f t="shared" si="12"/>
        <v>0.6322279999999999</v>
      </c>
      <c r="P80" s="14">
        <f>(O80*G80/(IF(Q80="",constants!$F$2+constants!$A$2,timeSeries!Q80+constants!$A$2)*constants!$E$2))*(1/constants!$D$2)*10^3</f>
        <v>0.52286992722236114</v>
      </c>
      <c r="Q80">
        <f t="shared" si="14"/>
        <v>20.36</v>
      </c>
      <c r="R80" s="1">
        <f t="shared" si="16"/>
        <v>-3.1335319999999998</v>
      </c>
    </row>
    <row r="81" spans="1:18">
      <c r="A81" t="str">
        <f t="shared" si="10"/>
        <v>TVA 3B C</v>
      </c>
      <c r="B81">
        <v>2004</v>
      </c>
      <c r="C81">
        <v>9</v>
      </c>
      <c r="D81">
        <v>2</v>
      </c>
      <c r="E81">
        <f t="shared" si="15"/>
        <v>1</v>
      </c>
      <c r="F81">
        <f t="shared" si="13"/>
        <v>7</v>
      </c>
      <c r="G81" s="11">
        <f>VLOOKUP(I81,jarInfo!$C$15:$G$32,5,FALSE)</f>
        <v>0.84358970065481675</v>
      </c>
      <c r="H81" s="11" t="str">
        <f t="shared" si="11"/>
        <v>TVA-3B-C</v>
      </c>
      <c r="I81" t="s">
        <v>16</v>
      </c>
      <c r="J81">
        <v>1</v>
      </c>
      <c r="K81">
        <v>0.71388888888888891</v>
      </c>
      <c r="L81">
        <v>1952.7</v>
      </c>
      <c r="M81">
        <v>1.2999999999999999E-3</v>
      </c>
      <c r="N81">
        <v>-1.5900000000000001E-2</v>
      </c>
      <c r="O81">
        <f t="shared" si="12"/>
        <v>2.5226100000000002</v>
      </c>
      <c r="P81" s="14">
        <f>(O81*G81/(IF(Q81="",constants!$F$2+constants!$A$2,timeSeries!Q81+constants!$A$2)*constants!$E$2))*(1/constants!$D$2)*10^3</f>
        <v>2.0076577833103482</v>
      </c>
      <c r="Q81">
        <f t="shared" si="14"/>
        <v>20.36</v>
      </c>
      <c r="R81" s="1">
        <f t="shared" si="16"/>
        <v>0.29777000000000031</v>
      </c>
    </row>
    <row r="82" spans="1:18">
      <c r="A82" t="str">
        <f t="shared" si="10"/>
        <v>TVA 4E C</v>
      </c>
      <c r="B82">
        <v>2004</v>
      </c>
      <c r="C82">
        <v>9</v>
      </c>
      <c r="D82">
        <v>2</v>
      </c>
      <c r="E82">
        <f t="shared" si="15"/>
        <v>2</v>
      </c>
      <c r="F82">
        <f t="shared" si="13"/>
        <v>7</v>
      </c>
      <c r="G82" s="11">
        <f>VLOOKUP(I82,jarInfo!$C$15:$G$32,5,FALSE)</f>
        <v>0.81648999999999938</v>
      </c>
      <c r="H82" s="11" t="str">
        <f t="shared" si="11"/>
        <v>TVA-4E-C</v>
      </c>
      <c r="I82" t="s">
        <v>17</v>
      </c>
      <c r="J82">
        <v>1</v>
      </c>
      <c r="K82">
        <v>0.71527777777777801</v>
      </c>
      <c r="L82">
        <v>3507.8</v>
      </c>
      <c r="M82">
        <v>1.2999999999999999E-3</v>
      </c>
      <c r="N82">
        <v>-1.5900000000000001E-2</v>
      </c>
      <c r="O82">
        <f t="shared" si="12"/>
        <v>4.5442399999999994</v>
      </c>
      <c r="P82" s="14">
        <f>(O82*G82/(IF(Q82="",constants!$F$2+constants!$A$2,timeSeries!Q82+constants!$A$2)*constants!$E$2))*(1/constants!$D$2)*10^3</f>
        <v>3.5004222461474841</v>
      </c>
      <c r="Q82">
        <f t="shared" si="14"/>
        <v>20.36</v>
      </c>
      <c r="R82" s="1">
        <f t="shared" si="16"/>
        <v>0.99891999999999959</v>
      </c>
    </row>
    <row r="83" spans="1:18">
      <c r="A83" t="str">
        <f t="shared" si="10"/>
        <v>TVA 5B C</v>
      </c>
      <c r="B83">
        <v>2004</v>
      </c>
      <c r="C83">
        <v>9</v>
      </c>
      <c r="D83">
        <v>2</v>
      </c>
      <c r="E83">
        <f t="shared" si="15"/>
        <v>2</v>
      </c>
      <c r="F83">
        <f t="shared" si="13"/>
        <v>7</v>
      </c>
      <c r="G83" s="11">
        <f>VLOOKUP(I83,jarInfo!$C$15:$G$32,5,FALSE)</f>
        <v>0.90174231454005915</v>
      </c>
      <c r="H83" s="11" t="str">
        <f t="shared" si="11"/>
        <v>TVA-5B-C</v>
      </c>
      <c r="I83" t="s">
        <v>18</v>
      </c>
      <c r="J83">
        <v>1</v>
      </c>
      <c r="K83">
        <v>0.71666666666666701</v>
      </c>
      <c r="L83">
        <v>563.59</v>
      </c>
      <c r="M83">
        <v>1.2999999999999999E-3</v>
      </c>
      <c r="N83">
        <v>-1.5900000000000001E-2</v>
      </c>
      <c r="O83">
        <f t="shared" si="12"/>
        <v>0.71676699999999993</v>
      </c>
      <c r="P83" s="14">
        <f>(O83*G83/(IF(Q83="",constants!$F$2+constants!$A$2,timeSeries!Q83+constants!$A$2)*constants!$E$2))*(1/constants!$D$2)*10^3</f>
        <v>0.60977379509805141</v>
      </c>
      <c r="Q83">
        <f t="shared" si="14"/>
        <v>20.36</v>
      </c>
      <c r="R83" s="1">
        <f t="shared" si="16"/>
        <v>-3.6146729999999998</v>
      </c>
    </row>
    <row r="84" spans="1:18">
      <c r="A84" t="str">
        <f t="shared" si="10"/>
        <v>TVA 6E C</v>
      </c>
      <c r="B84">
        <v>2004</v>
      </c>
      <c r="C84">
        <v>9</v>
      </c>
      <c r="D84">
        <v>2</v>
      </c>
      <c r="E84">
        <f t="shared" si="15"/>
        <v>2</v>
      </c>
      <c r="F84">
        <f t="shared" si="13"/>
        <v>7</v>
      </c>
      <c r="G84" s="11">
        <f>VLOOKUP(I84,jarInfo!$C$15:$G$32,5,FALSE)</f>
        <v>0.82377173394495395</v>
      </c>
      <c r="H84" s="11" t="str">
        <f t="shared" si="11"/>
        <v>TVA-6E-C</v>
      </c>
      <c r="I84" t="s">
        <v>19</v>
      </c>
      <c r="J84">
        <v>1</v>
      </c>
      <c r="K84">
        <v>0.718055555555556</v>
      </c>
      <c r="L84">
        <v>2072.1999999999998</v>
      </c>
      <c r="M84">
        <v>1.2999999999999999E-3</v>
      </c>
      <c r="N84">
        <v>-1.5900000000000001E-2</v>
      </c>
      <c r="O84">
        <f t="shared" si="12"/>
        <v>2.6779599999999997</v>
      </c>
      <c r="P84" s="14">
        <f>(O84*G84/(IF(Q84="",constants!$F$2+constants!$A$2,timeSeries!Q84+constants!$A$2)*constants!$E$2))*(1/constants!$D$2)*10^3</f>
        <v>2.0812261627955166</v>
      </c>
      <c r="Q84">
        <f t="shared" si="14"/>
        <v>20.36</v>
      </c>
      <c r="R84" s="1">
        <f t="shared" si="16"/>
        <v>0.93047999999999953</v>
      </c>
    </row>
    <row r="85" spans="1:18">
      <c r="A85" t="str">
        <f t="shared" si="10"/>
        <v>TVA 8E C</v>
      </c>
      <c r="B85">
        <v>2004</v>
      </c>
      <c r="C85">
        <v>9</v>
      </c>
      <c r="D85">
        <v>2</v>
      </c>
      <c r="E85">
        <f t="shared" si="15"/>
        <v>2</v>
      </c>
      <c r="F85">
        <f t="shared" si="13"/>
        <v>7</v>
      </c>
      <c r="G85" s="11">
        <f>VLOOKUP(I85,jarInfo!$C$15:$G$32,5,FALSE)</f>
        <v>0.8628167016205911</v>
      </c>
      <c r="H85" s="11" t="str">
        <f t="shared" si="11"/>
        <v>TVA-8E-C</v>
      </c>
      <c r="I85" t="s">
        <v>20</v>
      </c>
      <c r="J85">
        <v>1</v>
      </c>
      <c r="K85">
        <v>0.719444444444444</v>
      </c>
      <c r="L85">
        <v>687.76</v>
      </c>
      <c r="M85">
        <v>1.2999999999999999E-3</v>
      </c>
      <c r="N85">
        <v>-1.5900000000000001E-2</v>
      </c>
      <c r="O85">
        <f t="shared" si="12"/>
        <v>0.87818799999999997</v>
      </c>
      <c r="P85" s="14">
        <f>(O85*G85/(IF(Q85="",constants!$F$2+constants!$A$2,timeSeries!Q85+constants!$A$2)*constants!$E$2))*(1/constants!$D$2)*10^3</f>
        <v>0.71484905364623674</v>
      </c>
      <c r="Q85">
        <f t="shared" si="14"/>
        <v>20.36</v>
      </c>
      <c r="R85" s="1">
        <f t="shared" si="16"/>
        <v>-3.0405720000000001</v>
      </c>
    </row>
    <row r="86" spans="1:18">
      <c r="A86" t="str">
        <f t="shared" si="10"/>
        <v>WB 3E C</v>
      </c>
      <c r="B86">
        <v>2004</v>
      </c>
      <c r="C86">
        <v>9</v>
      </c>
      <c r="D86">
        <v>3</v>
      </c>
      <c r="E86">
        <f t="shared" si="15"/>
        <v>1</v>
      </c>
      <c r="F86">
        <f>F74+D86-D74</f>
        <v>8</v>
      </c>
      <c r="G86" s="11">
        <f>VLOOKUP(I86,jarInfo!$C$15:$G$32,5,FALSE)</f>
        <v>0.87917959341723062</v>
      </c>
      <c r="H86" s="11" t="str">
        <f t="shared" si="11"/>
        <v>WB-3E-C</v>
      </c>
      <c r="I86" t="s">
        <v>9</v>
      </c>
      <c r="J86">
        <v>1</v>
      </c>
      <c r="K86">
        <v>0.70486111111111116</v>
      </c>
      <c r="L86">
        <v>3128.9</v>
      </c>
      <c r="M86">
        <v>1.1999999999999999E-3</v>
      </c>
      <c r="N86">
        <v>4.5999999999999999E-3</v>
      </c>
      <c r="O86">
        <f t="shared" si="12"/>
        <v>3.7592799999999995</v>
      </c>
      <c r="P86" s="14">
        <f>(O86*G86/(IF(Q86="",constants!$F$2+constants!$A$2,timeSeries!Q86+constants!$A$2)*constants!$E$2))*(1/constants!$D$2)*10^3</f>
        <v>3.1198045577185658</v>
      </c>
      <c r="Q86">
        <v>20.2</v>
      </c>
      <c r="R86" s="1">
        <f t="shared" si="16"/>
        <v>4.1189999999999394E-2</v>
      </c>
    </row>
    <row r="87" spans="1:18">
      <c r="A87" t="str">
        <f t="shared" si="10"/>
        <v>WB 4B C</v>
      </c>
      <c r="B87">
        <v>2004</v>
      </c>
      <c r="C87">
        <v>9</v>
      </c>
      <c r="D87">
        <v>3</v>
      </c>
      <c r="E87">
        <f t="shared" si="15"/>
        <v>2</v>
      </c>
      <c r="F87">
        <f t="shared" si="13"/>
        <v>8</v>
      </c>
      <c r="G87" s="11">
        <f>VLOOKUP(I87,jarInfo!$C$15:$G$32,5,FALSE)</f>
        <v>0.84883525375939861</v>
      </c>
      <c r="H87" s="11" t="str">
        <f t="shared" si="11"/>
        <v>WB-4B-C</v>
      </c>
      <c r="I87" t="s">
        <v>10</v>
      </c>
      <c r="J87">
        <v>1</v>
      </c>
      <c r="K87">
        <v>0.70694444444444438</v>
      </c>
      <c r="L87">
        <v>1098.4000000000001</v>
      </c>
      <c r="M87">
        <v>1.1999999999999999E-3</v>
      </c>
      <c r="N87">
        <v>4.5999999999999999E-3</v>
      </c>
      <c r="O87">
        <f t="shared" si="12"/>
        <v>1.3226799999999999</v>
      </c>
      <c r="P87" s="14">
        <f>(O87*G87/(IF(Q87="",constants!$F$2+constants!$A$2,timeSeries!Q87+constants!$A$2)*constants!$E$2))*(1/constants!$D$2)*10^3</f>
        <v>1.059798522993912</v>
      </c>
      <c r="Q87">
        <v>20.2</v>
      </c>
      <c r="R87" s="1">
        <f t="shared" si="16"/>
        <v>0.55246999999999991</v>
      </c>
    </row>
    <row r="88" spans="1:18">
      <c r="A88" t="str">
        <f t="shared" si="10"/>
        <v>WB 5B C</v>
      </c>
      <c r="B88">
        <v>2004</v>
      </c>
      <c r="C88">
        <v>9</v>
      </c>
      <c r="D88">
        <v>3</v>
      </c>
      <c r="E88">
        <f t="shared" si="15"/>
        <v>2</v>
      </c>
      <c r="F88">
        <f t="shared" si="13"/>
        <v>8</v>
      </c>
      <c r="G88" s="11">
        <f>VLOOKUP(I88,jarInfo!$C$15:$G$32,5,FALSE)</f>
        <v>0.90350278217821778</v>
      </c>
      <c r="H88" s="11" t="str">
        <f t="shared" si="11"/>
        <v>WB-5B-C</v>
      </c>
      <c r="I88" t="s">
        <v>11</v>
      </c>
      <c r="J88">
        <v>1</v>
      </c>
      <c r="K88">
        <v>0.70833333333333337</v>
      </c>
      <c r="L88">
        <v>2733.1</v>
      </c>
      <c r="M88">
        <v>1.1999999999999999E-3</v>
      </c>
      <c r="N88">
        <v>4.5999999999999999E-3</v>
      </c>
      <c r="O88">
        <f t="shared" si="12"/>
        <v>3.2843199999999997</v>
      </c>
      <c r="P88" s="14">
        <f>(O88*G88/(IF(Q88="",constants!$F$2+constants!$A$2,timeSeries!Q88+constants!$A$2)*constants!$E$2))*(1/constants!$D$2)*10^3</f>
        <v>2.8010449229325047</v>
      </c>
      <c r="Q88">
        <v>20.2</v>
      </c>
      <c r="R88" s="1">
        <f t="shared" si="16"/>
        <v>0.27381999999999973</v>
      </c>
    </row>
    <row r="89" spans="1:18">
      <c r="A89" t="str">
        <f t="shared" si="10"/>
        <v>WB 6E C</v>
      </c>
      <c r="B89">
        <v>2004</v>
      </c>
      <c r="C89">
        <v>9</v>
      </c>
      <c r="D89">
        <v>3</v>
      </c>
      <c r="E89">
        <f t="shared" si="15"/>
        <v>2</v>
      </c>
      <c r="F89">
        <f t="shared" si="13"/>
        <v>8</v>
      </c>
      <c r="G89" s="11">
        <f>VLOOKUP(I89,jarInfo!$C$15:$G$32,5,FALSE)</f>
        <v>0.84358970065481675</v>
      </c>
      <c r="H89" s="11" t="str">
        <f t="shared" si="11"/>
        <v>WB-6E-C</v>
      </c>
      <c r="I89" t="s">
        <v>12</v>
      </c>
      <c r="J89">
        <v>1</v>
      </c>
      <c r="K89">
        <v>0.70972222222222203</v>
      </c>
      <c r="L89">
        <v>1086.2</v>
      </c>
      <c r="M89">
        <v>1.1999999999999999E-3</v>
      </c>
      <c r="N89">
        <v>4.5999999999999999E-3</v>
      </c>
      <c r="O89">
        <f t="shared" si="12"/>
        <v>1.3080399999999999</v>
      </c>
      <c r="P89" s="14">
        <f>(O89*G89/(IF(Q89="",constants!$F$2+constants!$A$2,timeSeries!Q89+constants!$A$2)*constants!$E$2))*(1/constants!$D$2)*10^3</f>
        <v>1.0415914556246348</v>
      </c>
      <c r="Q89">
        <v>20.2</v>
      </c>
      <c r="R89" s="1">
        <f t="shared" si="16"/>
        <v>0.47983699999999996</v>
      </c>
    </row>
    <row r="90" spans="1:18">
      <c r="A90" t="str">
        <f t="shared" si="10"/>
        <v>WB 7E C</v>
      </c>
      <c r="B90">
        <v>2004</v>
      </c>
      <c r="C90">
        <v>9</v>
      </c>
      <c r="D90">
        <v>3</v>
      </c>
      <c r="E90">
        <f t="shared" si="15"/>
        <v>2</v>
      </c>
      <c r="F90">
        <f t="shared" si="13"/>
        <v>8</v>
      </c>
      <c r="G90" s="11">
        <f>VLOOKUP(I90,jarInfo!$C$15:$G$32,5,FALSE)</f>
        <v>0.90097950592885423</v>
      </c>
      <c r="H90" s="11" t="str">
        <f t="shared" si="11"/>
        <v>WB-7E-C</v>
      </c>
      <c r="I90" t="s">
        <v>13</v>
      </c>
      <c r="J90">
        <v>1</v>
      </c>
      <c r="K90">
        <v>0.71111111111111103</v>
      </c>
      <c r="L90">
        <v>2621</v>
      </c>
      <c r="M90">
        <v>1.1999999999999999E-3</v>
      </c>
      <c r="N90">
        <v>4.5999999999999999E-3</v>
      </c>
      <c r="O90">
        <f t="shared" si="12"/>
        <v>3.1497999999999995</v>
      </c>
      <c r="P90" s="14">
        <f>(O90*G90/(IF(Q90="",constants!$F$2+constants!$A$2,timeSeries!Q90+constants!$A$2)*constants!$E$2))*(1/constants!$D$2)*10^3</f>
        <v>2.6788167508968339</v>
      </c>
      <c r="Q90">
        <v>20.2</v>
      </c>
      <c r="R90" s="1">
        <f t="shared" si="16"/>
        <v>0.36133999999999977</v>
      </c>
    </row>
    <row r="91" spans="1:18">
      <c r="A91" t="str">
        <f t="shared" si="10"/>
        <v>WB 8B C</v>
      </c>
      <c r="B91">
        <v>2004</v>
      </c>
      <c r="C91">
        <v>9</v>
      </c>
      <c r="D91">
        <v>3</v>
      </c>
      <c r="E91">
        <f t="shared" si="15"/>
        <v>2</v>
      </c>
      <c r="F91">
        <f t="shared" si="13"/>
        <v>8</v>
      </c>
      <c r="G91" s="11">
        <f>VLOOKUP(I91,jarInfo!$C$15:$G$32,5,FALSE)</f>
        <v>0.85318028328611917</v>
      </c>
      <c r="H91" s="11" t="str">
        <f t="shared" si="11"/>
        <v>WB-8B-C</v>
      </c>
      <c r="I91" t="s">
        <v>14</v>
      </c>
      <c r="J91">
        <v>1</v>
      </c>
      <c r="K91">
        <v>0.71250000000000002</v>
      </c>
      <c r="L91">
        <v>810.49</v>
      </c>
      <c r="M91">
        <v>1.1999999999999999E-3</v>
      </c>
      <c r="N91">
        <v>4.5999999999999999E-3</v>
      </c>
      <c r="O91">
        <f t="shared" si="12"/>
        <v>0.97718799999999995</v>
      </c>
      <c r="P91" s="14">
        <f>(O91*G91/(IF(Q91="",constants!$F$2+constants!$A$2,timeSeries!Q91+constants!$A$2)*constants!$E$2))*(1/constants!$D$2)*10^3</f>
        <v>0.78698064324911965</v>
      </c>
      <c r="Q91">
        <v>20.2</v>
      </c>
      <c r="R91" s="1">
        <f t="shared" si="16"/>
        <v>0.355074</v>
      </c>
    </row>
    <row r="92" spans="1:18">
      <c r="A92" t="str">
        <f t="shared" si="10"/>
        <v>TVA 2B C</v>
      </c>
      <c r="B92">
        <v>2004</v>
      </c>
      <c r="C92">
        <v>9</v>
      </c>
      <c r="D92">
        <v>3</v>
      </c>
      <c r="E92">
        <f t="shared" si="15"/>
        <v>2</v>
      </c>
      <c r="F92">
        <f t="shared" si="13"/>
        <v>8</v>
      </c>
      <c r="G92" s="11">
        <f>VLOOKUP(I92,jarInfo!$C$15:$G$32,5,FALSE)</f>
        <v>0.8766205217391303</v>
      </c>
      <c r="H92" s="11" t="str">
        <f t="shared" si="11"/>
        <v>TVA-2B-C</v>
      </c>
      <c r="I92" t="s">
        <v>15</v>
      </c>
      <c r="J92">
        <v>1</v>
      </c>
      <c r="K92">
        <v>0.71388888888888902</v>
      </c>
      <c r="L92">
        <v>918.79</v>
      </c>
      <c r="M92">
        <v>1.1999999999999999E-3</v>
      </c>
      <c r="N92">
        <v>4.5999999999999999E-3</v>
      </c>
      <c r="O92">
        <f t="shared" si="12"/>
        <v>1.1071479999999998</v>
      </c>
      <c r="P92" s="14">
        <f>(O92*G92/(IF(Q92="",constants!$F$2+constants!$A$2,timeSeries!Q92+constants!$A$2)*constants!$E$2))*(1/constants!$D$2)*10^3</f>
        <v>0.91614122883375304</v>
      </c>
      <c r="Q92">
        <v>20.2</v>
      </c>
      <c r="R92" s="1">
        <f t="shared" si="16"/>
        <v>0.4749199999999999</v>
      </c>
    </row>
    <row r="93" spans="1:18">
      <c r="A93" t="str">
        <f t="shared" si="10"/>
        <v>TVA 3B C</v>
      </c>
      <c r="B93">
        <v>2004</v>
      </c>
      <c r="C93">
        <v>9</v>
      </c>
      <c r="D93">
        <v>3</v>
      </c>
      <c r="E93">
        <f t="shared" si="15"/>
        <v>1</v>
      </c>
      <c r="F93">
        <f t="shared" si="13"/>
        <v>8</v>
      </c>
      <c r="G93" s="11">
        <f>VLOOKUP(I93,jarInfo!$C$15:$G$32,5,FALSE)</f>
        <v>0.84358970065481675</v>
      </c>
      <c r="H93" s="11" t="str">
        <f t="shared" si="11"/>
        <v>TVA-3B-C</v>
      </c>
      <c r="I93" t="s">
        <v>16</v>
      </c>
      <c r="J93">
        <v>1</v>
      </c>
      <c r="K93">
        <v>0.71527777777777801</v>
      </c>
      <c r="L93">
        <v>2048</v>
      </c>
      <c r="M93">
        <v>1.1999999999999999E-3</v>
      </c>
      <c r="N93">
        <v>4.5999999999999999E-3</v>
      </c>
      <c r="O93">
        <f t="shared" si="12"/>
        <v>2.4621999999999997</v>
      </c>
      <c r="P93" s="14">
        <f>(O93*G93/(IF(Q93="",constants!$F$2+constants!$A$2,timeSeries!Q93+constants!$A$2)*constants!$E$2))*(1/constants!$D$2)*10^3</f>
        <v>1.9606483609361918</v>
      </c>
      <c r="Q93">
        <v>20.2</v>
      </c>
      <c r="R93" s="1">
        <f t="shared" si="16"/>
        <v>-6.0410000000000519E-2</v>
      </c>
    </row>
    <row r="94" spans="1:18">
      <c r="A94" t="str">
        <f t="shared" si="10"/>
        <v>TVA 4E C</v>
      </c>
      <c r="B94">
        <v>2004</v>
      </c>
      <c r="C94">
        <v>9</v>
      </c>
      <c r="D94">
        <v>3</v>
      </c>
      <c r="E94">
        <f t="shared" si="15"/>
        <v>3</v>
      </c>
      <c r="F94">
        <f t="shared" si="13"/>
        <v>8</v>
      </c>
      <c r="G94" s="11">
        <f>VLOOKUP(I94,jarInfo!$C$15:$G$32,5,FALSE)</f>
        <v>0.81648999999999938</v>
      </c>
      <c r="H94" s="11" t="str">
        <f t="shared" si="11"/>
        <v>TVA-4E-C</v>
      </c>
      <c r="I94" t="s">
        <v>17</v>
      </c>
      <c r="J94">
        <v>1</v>
      </c>
      <c r="K94">
        <v>0.71666666666666701</v>
      </c>
      <c r="L94">
        <v>1062.5999999999999</v>
      </c>
      <c r="M94">
        <v>1.1999999999999999E-3</v>
      </c>
      <c r="N94">
        <v>4.5999999999999999E-3</v>
      </c>
      <c r="O94">
        <f t="shared" si="12"/>
        <v>1.2797199999999997</v>
      </c>
      <c r="P94" s="14">
        <f>(O94*G94/(IF(Q94="",constants!$F$2+constants!$A$2,timeSeries!Q94+constants!$A$2)*constants!$E$2))*(1/constants!$D$2)*10^3</f>
        <v>0.98630433572537368</v>
      </c>
      <c r="Q94">
        <v>20.2</v>
      </c>
      <c r="R94" s="1">
        <f t="shared" si="16"/>
        <v>-3.2645199999999996</v>
      </c>
    </row>
    <row r="95" spans="1:18">
      <c r="A95" t="str">
        <f t="shared" si="10"/>
        <v>TVA 5B C</v>
      </c>
      <c r="B95">
        <v>2004</v>
      </c>
      <c r="C95">
        <v>9</v>
      </c>
      <c r="D95">
        <v>3</v>
      </c>
      <c r="E95">
        <f t="shared" si="15"/>
        <v>2</v>
      </c>
      <c r="F95">
        <f t="shared" si="13"/>
        <v>8</v>
      </c>
      <c r="G95" s="11">
        <f>VLOOKUP(I95,jarInfo!$C$15:$G$32,5,FALSE)</f>
        <v>0.90174231454005915</v>
      </c>
      <c r="H95" s="11" t="str">
        <f t="shared" si="11"/>
        <v>TVA-5B-C</v>
      </c>
      <c r="I95" t="s">
        <v>18</v>
      </c>
      <c r="J95">
        <v>1</v>
      </c>
      <c r="K95">
        <v>0.718055555555556</v>
      </c>
      <c r="L95">
        <v>1034.5999999999999</v>
      </c>
      <c r="M95">
        <v>1.1999999999999999E-3</v>
      </c>
      <c r="N95">
        <v>4.5999999999999999E-3</v>
      </c>
      <c r="O95">
        <f t="shared" si="12"/>
        <v>1.2461199999999997</v>
      </c>
      <c r="P95" s="14">
        <f>(O95*G95/(IF(Q95="",constants!$F$2+constants!$A$2,timeSeries!Q95+constants!$A$2)*constants!$E$2))*(1/constants!$D$2)*10^3</f>
        <v>1.060687451231737</v>
      </c>
      <c r="Q95">
        <v>20.2</v>
      </c>
      <c r="R95" s="1">
        <f t="shared" si="16"/>
        <v>0.52935299999999974</v>
      </c>
    </row>
    <row r="96" spans="1:18">
      <c r="A96" t="str">
        <f t="shared" si="10"/>
        <v>TVA 6E C</v>
      </c>
      <c r="B96">
        <v>2004</v>
      </c>
      <c r="C96">
        <v>9</v>
      </c>
      <c r="D96">
        <v>3</v>
      </c>
      <c r="E96">
        <f t="shared" si="15"/>
        <v>2</v>
      </c>
      <c r="F96">
        <f t="shared" si="13"/>
        <v>8</v>
      </c>
      <c r="G96" s="11">
        <f>VLOOKUP(I96,jarInfo!$C$15:$G$32,5,FALSE)</f>
        <v>0.82377173394495395</v>
      </c>
      <c r="H96" s="11" t="str">
        <f t="shared" si="11"/>
        <v>TVA-6E-C</v>
      </c>
      <c r="I96" t="s">
        <v>19</v>
      </c>
      <c r="J96">
        <v>1</v>
      </c>
      <c r="K96">
        <v>0.719444444444445</v>
      </c>
      <c r="L96">
        <v>2512.4</v>
      </c>
      <c r="M96">
        <v>1.1999999999999999E-3</v>
      </c>
      <c r="N96">
        <v>4.5999999999999999E-3</v>
      </c>
      <c r="O96">
        <f t="shared" si="12"/>
        <v>3.0194799999999997</v>
      </c>
      <c r="P96" s="14">
        <f>(O96*G96/(IF(Q96="",constants!$F$2+constants!$A$2,timeSeries!Q96+constants!$A$2)*constants!$E$2))*(1/constants!$D$2)*10^3</f>
        <v>2.3479246650718464</v>
      </c>
      <c r="Q96">
        <v>20.2</v>
      </c>
      <c r="R96" s="1">
        <f t="shared" si="16"/>
        <v>0.34152000000000005</v>
      </c>
    </row>
    <row r="97" spans="1:20">
      <c r="A97" t="str">
        <f t="shared" si="10"/>
        <v>TVA 8E C</v>
      </c>
      <c r="B97">
        <v>2004</v>
      </c>
      <c r="C97">
        <v>9</v>
      </c>
      <c r="D97">
        <v>3</v>
      </c>
      <c r="E97">
        <f t="shared" si="15"/>
        <v>2</v>
      </c>
      <c r="F97">
        <f t="shared" si="13"/>
        <v>8</v>
      </c>
      <c r="G97" s="11">
        <f>VLOOKUP(I97,jarInfo!$C$15:$G$32,5,FALSE)</f>
        <v>0.8628167016205911</v>
      </c>
      <c r="H97" s="11" t="str">
        <f t="shared" si="11"/>
        <v>TVA-8E-C</v>
      </c>
      <c r="I97" t="s">
        <v>20</v>
      </c>
      <c r="J97">
        <v>1</v>
      </c>
      <c r="K97">
        <v>0.72083333333333399</v>
      </c>
      <c r="L97">
        <v>824.78</v>
      </c>
      <c r="M97">
        <v>1.1999999999999999E-3</v>
      </c>
      <c r="N97">
        <v>4.5999999999999999E-3</v>
      </c>
      <c r="O97">
        <f t="shared" si="12"/>
        <v>0.99433599999999989</v>
      </c>
      <c r="P97" s="14">
        <f>(O97*G97/(IF(Q97="",constants!$F$2+constants!$A$2,timeSeries!Q97+constants!$A$2)*constants!$E$2))*(1/constants!$D$2)*10^3</f>
        <v>0.80983552012857485</v>
      </c>
      <c r="Q97">
        <v>20.2</v>
      </c>
      <c r="R97" s="1">
        <f t="shared" si="16"/>
        <v>0.11614799999999992</v>
      </c>
    </row>
    <row r="98" spans="1:20">
      <c r="A98" t="str">
        <f t="shared" si="10"/>
        <v>WB 3E C</v>
      </c>
      <c r="B98">
        <v>2004</v>
      </c>
      <c r="C98">
        <v>9</v>
      </c>
      <c r="D98">
        <v>4</v>
      </c>
      <c r="F98">
        <f>IF(E98="",F86,F86+D98-D86)</f>
        <v>8</v>
      </c>
      <c r="G98" s="11">
        <f>VLOOKUP(I98,jarInfo!$C$15:$G$32,5,FALSE)</f>
        <v>0.87917959341723062</v>
      </c>
      <c r="H98" s="11" t="str">
        <f t="shared" si="11"/>
        <v>WB-3E-C</v>
      </c>
      <c r="I98" t="s">
        <v>9</v>
      </c>
      <c r="J98">
        <v>1</v>
      </c>
      <c r="O98" t="str">
        <f t="shared" si="12"/>
        <v/>
      </c>
      <c r="P98" s="14" t="str">
        <f>IF(O98="","",(O98*G98/(IF(Q98="",constants!$F$2+constants!$A$2,timeSeries!Q98+constants!$A$2)*constants!$E$2))*(1/constants!$D$2)*10^3)</f>
        <v/>
      </c>
      <c r="R98" s="1" t="e">
        <f t="shared" si="16"/>
        <v>#VALUE!</v>
      </c>
    </row>
    <row r="99" spans="1:20">
      <c r="A99" t="str">
        <f t="shared" si="10"/>
        <v>WB 4B C</v>
      </c>
      <c r="B99">
        <v>2004</v>
      </c>
      <c r="C99">
        <v>9</v>
      </c>
      <c r="D99">
        <v>4</v>
      </c>
      <c r="E99">
        <f>IF(R99&lt;-1,E87+1,E87)</f>
        <v>2</v>
      </c>
      <c r="F99">
        <f t="shared" ref="F99:F157" si="17">IF(E99="",F87,F87+D99-D87)</f>
        <v>9</v>
      </c>
      <c r="G99" s="11">
        <f>VLOOKUP(I99,jarInfo!$C$15:$G$32,5,FALSE)</f>
        <v>0.84883525375939861</v>
      </c>
      <c r="H99" s="11" t="str">
        <f t="shared" si="11"/>
        <v>WB-4B-C</v>
      </c>
      <c r="I99" t="s">
        <v>10</v>
      </c>
      <c r="J99">
        <v>1</v>
      </c>
      <c r="K99">
        <v>0.71319444444444446</v>
      </c>
      <c r="L99">
        <v>1592.2</v>
      </c>
      <c r="M99">
        <v>1.2999999999999999E-3</v>
      </c>
      <c r="N99">
        <v>-7.0000000000000007E-2</v>
      </c>
      <c r="O99">
        <f t="shared" si="12"/>
        <v>1.9998599999999997</v>
      </c>
      <c r="P99" s="14">
        <f>IF(O99="","",(O99*G99/(IF(Q99="",constants!$F$2+constants!$A$2,timeSeries!Q99+constants!$A$2)*constants!$E$2))*(1/constants!$D$2)*10^3)</f>
        <v>1.6031546970812818</v>
      </c>
      <c r="Q99">
        <f>AVERAGE(20.02, 20.1)</f>
        <v>20.060000000000002</v>
      </c>
      <c r="R99" s="1">
        <f t="shared" si="16"/>
        <v>0.67717999999999989</v>
      </c>
    </row>
    <row r="100" spans="1:20">
      <c r="A100" t="str">
        <f t="shared" si="10"/>
        <v>WB 5B C</v>
      </c>
      <c r="B100">
        <v>2004</v>
      </c>
      <c r="C100">
        <v>9</v>
      </c>
      <c r="D100">
        <v>4</v>
      </c>
      <c r="E100">
        <f>IF(R100&lt;-1,E88+1,E88)</f>
        <v>2</v>
      </c>
      <c r="F100">
        <f t="shared" si="17"/>
        <v>9</v>
      </c>
      <c r="G100" s="11">
        <f>VLOOKUP(I100,jarInfo!$C$15:$G$32,5,FALSE)</f>
        <v>0.90350278217821778</v>
      </c>
      <c r="H100" s="11" t="str">
        <f t="shared" si="11"/>
        <v>WB-5B-C</v>
      </c>
      <c r="I100" t="s">
        <v>11</v>
      </c>
      <c r="J100">
        <v>1</v>
      </c>
      <c r="K100">
        <v>0.71458333333333324</v>
      </c>
      <c r="L100">
        <v>2914.5</v>
      </c>
      <c r="M100">
        <v>1.2999999999999999E-3</v>
      </c>
      <c r="N100">
        <v>-7.0000000000000007E-2</v>
      </c>
      <c r="O100">
        <f t="shared" si="12"/>
        <v>3.7188499999999998</v>
      </c>
      <c r="P100" s="14">
        <f>IF(O100="","",(O100*G100/(IF(Q100="",constants!$F$2+constants!$A$2,timeSeries!Q100+constants!$A$2)*constants!$E$2))*(1/constants!$D$2)*10^3)</f>
        <v>3.1731498737648551</v>
      </c>
      <c r="Q100">
        <f t="shared" ref="Q100:Q109" si="18">AVERAGE(20.02, 20.1)</f>
        <v>20.060000000000002</v>
      </c>
      <c r="R100" s="1">
        <f t="shared" si="16"/>
        <v>0.43453000000000008</v>
      </c>
    </row>
    <row r="101" spans="1:20">
      <c r="A101" t="str">
        <f t="shared" si="10"/>
        <v>WB 6E C</v>
      </c>
      <c r="B101">
        <v>2004</v>
      </c>
      <c r="C101">
        <v>9</v>
      </c>
      <c r="D101">
        <v>4</v>
      </c>
      <c r="E101">
        <f>IF(R101&lt;-1,E89+1,E89)</f>
        <v>2</v>
      </c>
      <c r="F101">
        <f t="shared" si="17"/>
        <v>9</v>
      </c>
      <c r="G101" s="11">
        <f>VLOOKUP(I101,jarInfo!$C$15:$G$32,5,FALSE)</f>
        <v>0.84358970065481675</v>
      </c>
      <c r="H101" s="11" t="str">
        <f t="shared" si="11"/>
        <v>WB-6E-C</v>
      </c>
      <c r="I101" t="s">
        <v>12</v>
      </c>
      <c r="J101">
        <v>1</v>
      </c>
      <c r="K101">
        <v>0.71597222222222201</v>
      </c>
      <c r="L101">
        <v>1598.9</v>
      </c>
      <c r="M101">
        <v>1.2999999999999999E-3</v>
      </c>
      <c r="N101">
        <v>-7.0000000000000007E-2</v>
      </c>
      <c r="O101">
        <f t="shared" si="12"/>
        <v>2.0085700000000002</v>
      </c>
      <c r="P101" s="14">
        <f>IF(O101="","",(O101*G101/(IF(Q101="",constants!$F$2+constants!$A$2,timeSeries!Q101+constants!$A$2)*constants!$E$2))*(1/constants!$D$2)*10^3)</f>
        <v>1.6001867502236171</v>
      </c>
      <c r="Q101">
        <f t="shared" si="18"/>
        <v>20.060000000000002</v>
      </c>
      <c r="R101" s="1">
        <f t="shared" si="16"/>
        <v>0.70053000000000032</v>
      </c>
    </row>
    <row r="102" spans="1:20">
      <c r="A102" t="str">
        <f t="shared" si="10"/>
        <v>WB 7E C</v>
      </c>
      <c r="B102">
        <v>2004</v>
      </c>
      <c r="C102">
        <v>9</v>
      </c>
      <c r="D102">
        <v>4</v>
      </c>
      <c r="E102">
        <f>IF(R102&lt;-1,E90+1,E90)</f>
        <v>2</v>
      </c>
      <c r="F102">
        <f t="shared" si="17"/>
        <v>9</v>
      </c>
      <c r="G102" s="11">
        <f>VLOOKUP(I102,jarInfo!$C$15:$G$32,5,FALSE)</f>
        <v>0.90097950592885423</v>
      </c>
      <c r="H102" s="11" t="str">
        <f t="shared" si="11"/>
        <v>WB-7E-C</v>
      </c>
      <c r="I102" t="s">
        <v>13</v>
      </c>
      <c r="J102">
        <v>1</v>
      </c>
      <c r="K102">
        <v>0.71736111111111101</v>
      </c>
      <c r="L102">
        <v>2951.7</v>
      </c>
      <c r="M102">
        <v>1.2999999999999999E-3</v>
      </c>
      <c r="N102">
        <v>-7.0000000000000007E-2</v>
      </c>
      <c r="O102">
        <f t="shared" si="12"/>
        <v>3.7672099999999999</v>
      </c>
      <c r="P102" s="14">
        <f>IF(O102="","",(O102*G102/(IF(Q102="",constants!$F$2+constants!$A$2,timeSeries!Q102+constants!$A$2)*constants!$E$2))*(1/constants!$D$2)*10^3)</f>
        <v>3.2054364577766785</v>
      </c>
      <c r="Q102">
        <f t="shared" si="18"/>
        <v>20.060000000000002</v>
      </c>
      <c r="R102" s="1">
        <f t="shared" si="16"/>
        <v>0.61741000000000046</v>
      </c>
    </row>
    <row r="103" spans="1:20">
      <c r="A103" t="str">
        <f t="shared" si="10"/>
        <v>WB 8B C</v>
      </c>
      <c r="B103">
        <v>2004</v>
      </c>
      <c r="C103">
        <v>9</v>
      </c>
      <c r="D103">
        <v>4</v>
      </c>
      <c r="E103">
        <f>IF(R103&lt;-1,E91+1,E91)</f>
        <v>2</v>
      </c>
      <c r="F103">
        <f t="shared" si="17"/>
        <v>9</v>
      </c>
      <c r="G103" s="11">
        <f>VLOOKUP(I103,jarInfo!$C$15:$G$32,5,FALSE)</f>
        <v>0.85318028328611917</v>
      </c>
      <c r="H103" s="11" t="str">
        <f t="shared" si="11"/>
        <v>WB-8B-C</v>
      </c>
      <c r="I103" t="s">
        <v>14</v>
      </c>
      <c r="J103">
        <v>1</v>
      </c>
      <c r="K103">
        <v>0.71875</v>
      </c>
      <c r="L103">
        <v>1104.5</v>
      </c>
      <c r="M103">
        <v>1.2999999999999999E-3</v>
      </c>
      <c r="N103">
        <v>-7.0000000000000007E-2</v>
      </c>
      <c r="O103">
        <f t="shared" si="12"/>
        <v>1.3658499999999998</v>
      </c>
      <c r="P103" s="14">
        <f>IF(O103="","",(O103*G103/(IF(Q103="",constants!$F$2+constants!$A$2,timeSeries!Q103+constants!$A$2)*constants!$E$2))*(1/constants!$D$2)*10^3)</f>
        <v>1.1005157110409813</v>
      </c>
      <c r="Q103">
        <f t="shared" si="18"/>
        <v>20.060000000000002</v>
      </c>
      <c r="R103" s="1">
        <f t="shared" si="16"/>
        <v>0.38866199999999984</v>
      </c>
    </row>
    <row r="104" spans="1:20">
      <c r="A104" t="str">
        <f t="shared" si="10"/>
        <v>TVA 2B C</v>
      </c>
      <c r="B104">
        <v>2004</v>
      </c>
      <c r="C104">
        <v>9</v>
      </c>
      <c r="D104">
        <v>4</v>
      </c>
      <c r="F104">
        <f t="shared" si="17"/>
        <v>8</v>
      </c>
      <c r="G104" s="11">
        <f>VLOOKUP(I104,jarInfo!$C$15:$G$32,5,FALSE)</f>
        <v>0.8766205217391303</v>
      </c>
      <c r="H104" s="11" t="str">
        <f t="shared" si="11"/>
        <v>TVA-2B-C</v>
      </c>
      <c r="I104" t="s">
        <v>15</v>
      </c>
      <c r="J104">
        <v>1</v>
      </c>
      <c r="O104" t="str">
        <f t="shared" si="12"/>
        <v/>
      </c>
      <c r="P104" s="14" t="str">
        <f>IF(O104="","",(O104*G104/(IF(Q104="",constants!$F$2+constants!$A$2,timeSeries!Q104+constants!$A$2)*constants!$E$2))*(1/constants!$D$2)*10^3)</f>
        <v/>
      </c>
      <c r="R104" s="1" t="e">
        <f t="shared" si="16"/>
        <v>#VALUE!</v>
      </c>
    </row>
    <row r="105" spans="1:20">
      <c r="A105" t="str">
        <f t="shared" si="10"/>
        <v>TVA 3B C</v>
      </c>
      <c r="B105">
        <v>2004</v>
      </c>
      <c r="C105">
        <v>9</v>
      </c>
      <c r="D105">
        <v>4</v>
      </c>
      <c r="E105">
        <f>IF(R105&lt;-1,E93+1,E93)</f>
        <v>1</v>
      </c>
      <c r="F105">
        <f t="shared" si="17"/>
        <v>9</v>
      </c>
      <c r="G105" s="11">
        <f>VLOOKUP(I105,jarInfo!$C$15:$G$32,5,FALSE)</f>
        <v>0.84358970065481675</v>
      </c>
      <c r="H105" s="11" t="str">
        <f t="shared" si="11"/>
        <v>TVA-3B-C</v>
      </c>
      <c r="I105" t="s">
        <v>16</v>
      </c>
      <c r="J105">
        <v>1</v>
      </c>
      <c r="K105">
        <v>0.72013888888888899</v>
      </c>
      <c r="L105">
        <v>2025.8</v>
      </c>
      <c r="M105">
        <v>1.2999999999999999E-3</v>
      </c>
      <c r="N105">
        <v>-7.0000000000000007E-2</v>
      </c>
      <c r="O105">
        <f t="shared" si="12"/>
        <v>2.5635400000000002</v>
      </c>
      <c r="P105" s="14">
        <f>IF(O105="","",(O105*G105/(IF(Q105="",constants!$F$2+constants!$A$2,timeSeries!Q105+constants!$A$2)*constants!$E$2))*(1/constants!$D$2)*10^3)</f>
        <v>2.0423200295076853</v>
      </c>
      <c r="Q105">
        <f t="shared" si="18"/>
        <v>20.060000000000002</v>
      </c>
      <c r="R105" s="1">
        <f t="shared" si="16"/>
        <v>0.10134000000000043</v>
      </c>
    </row>
    <row r="106" spans="1:20">
      <c r="A106" t="str">
        <f t="shared" si="10"/>
        <v>TVA 4E C</v>
      </c>
      <c r="B106">
        <v>2004</v>
      </c>
      <c r="C106">
        <v>9</v>
      </c>
      <c r="D106">
        <v>4</v>
      </c>
      <c r="E106">
        <f>IF(R106&lt;-1,E94+1,E94)</f>
        <v>3</v>
      </c>
      <c r="F106">
        <f t="shared" si="17"/>
        <v>9</v>
      </c>
      <c r="G106" s="11">
        <f>VLOOKUP(I106,jarInfo!$C$15:$G$32,5,FALSE)</f>
        <v>0.81648999999999938</v>
      </c>
      <c r="H106" s="11" t="str">
        <f t="shared" si="11"/>
        <v>TVA-4E-C</v>
      </c>
      <c r="I106" t="s">
        <v>17</v>
      </c>
      <c r="J106">
        <v>1</v>
      </c>
      <c r="K106">
        <v>0.72152777777777777</v>
      </c>
      <c r="L106">
        <v>1697.3</v>
      </c>
      <c r="M106">
        <v>1.2999999999999999E-3</v>
      </c>
      <c r="N106">
        <v>-7.0000000000000007E-2</v>
      </c>
      <c r="O106">
        <f t="shared" si="12"/>
        <v>2.1364899999999998</v>
      </c>
      <c r="P106" s="14">
        <f>IF(O106="","",(O106*G106/(IF(Q106="",constants!$F$2+constants!$A$2,timeSeries!Q106+constants!$A$2)*constants!$E$2))*(1/constants!$D$2)*10^3)</f>
        <v>1.6474193545241114</v>
      </c>
      <c r="Q106">
        <f t="shared" si="18"/>
        <v>20.060000000000002</v>
      </c>
      <c r="R106" s="1">
        <f t="shared" si="16"/>
        <v>0.85677000000000003</v>
      </c>
    </row>
    <row r="107" spans="1:20">
      <c r="A107" t="str">
        <f t="shared" si="10"/>
        <v>TVA 5B C</v>
      </c>
      <c r="B107">
        <v>2004</v>
      </c>
      <c r="C107">
        <v>9</v>
      </c>
      <c r="D107">
        <v>4</v>
      </c>
      <c r="E107">
        <f>IF(R107&lt;-1,E95+1,E95)</f>
        <v>2</v>
      </c>
      <c r="F107">
        <f t="shared" si="17"/>
        <v>9</v>
      </c>
      <c r="G107" s="11">
        <f>VLOOKUP(I107,jarInfo!$C$15:$G$32,5,FALSE)</f>
        <v>0.90174231454005915</v>
      </c>
      <c r="H107" s="11" t="str">
        <f t="shared" si="11"/>
        <v>TVA-5B-C</v>
      </c>
      <c r="I107" t="s">
        <v>18</v>
      </c>
      <c r="J107">
        <v>1</v>
      </c>
      <c r="K107">
        <v>0.72291666666666698</v>
      </c>
      <c r="L107">
        <v>1356.5</v>
      </c>
      <c r="M107">
        <v>1.2999999999999999E-3</v>
      </c>
      <c r="N107">
        <v>-7.0000000000000007E-2</v>
      </c>
      <c r="O107">
        <f t="shared" si="12"/>
        <v>1.6934499999999999</v>
      </c>
      <c r="P107" s="14">
        <f>IF(O107="","",(O107*G107/(IF(Q107="",constants!$F$2+constants!$A$2,timeSeries!Q107+constants!$A$2)*constants!$E$2))*(1/constants!$D$2)*10^3)</f>
        <v>1.4421394506662597</v>
      </c>
      <c r="Q107">
        <f t="shared" si="18"/>
        <v>20.060000000000002</v>
      </c>
      <c r="R107" s="1">
        <f t="shared" si="16"/>
        <v>0.44733000000000023</v>
      </c>
    </row>
    <row r="108" spans="1:20">
      <c r="A108" t="str">
        <f t="shared" si="10"/>
        <v>TVA 6E C</v>
      </c>
      <c r="B108">
        <v>2004</v>
      </c>
      <c r="C108">
        <v>9</v>
      </c>
      <c r="D108">
        <v>4</v>
      </c>
      <c r="E108">
        <f>IF(R108&lt;-1,E96+1,E96)</f>
        <v>2</v>
      </c>
      <c r="F108">
        <f t="shared" si="17"/>
        <v>9</v>
      </c>
      <c r="G108" s="11">
        <f>VLOOKUP(I108,jarInfo!$C$15:$G$32,5,FALSE)</f>
        <v>0.82377173394495395</v>
      </c>
      <c r="H108" s="11" t="str">
        <f t="shared" si="11"/>
        <v>TVA-6E-C</v>
      </c>
      <c r="I108" t="s">
        <v>19</v>
      </c>
      <c r="J108">
        <v>1</v>
      </c>
      <c r="K108">
        <v>0.72430555555555498</v>
      </c>
      <c r="L108">
        <v>2823.3</v>
      </c>
      <c r="M108">
        <v>1.2999999999999999E-3</v>
      </c>
      <c r="N108">
        <v>-7.0000000000000007E-2</v>
      </c>
      <c r="O108">
        <f t="shared" si="12"/>
        <v>3.6002900000000002</v>
      </c>
      <c r="P108" s="14">
        <f>IF(O108="","",(O108*G108/(IF(Q108="",constants!$F$2+constants!$A$2,timeSeries!Q108+constants!$A$2)*constants!$E$2))*(1/constants!$D$2)*10^3)</f>
        <v>2.800894814963939</v>
      </c>
      <c r="Q108">
        <f t="shared" si="18"/>
        <v>20.060000000000002</v>
      </c>
      <c r="R108" s="1">
        <f t="shared" si="16"/>
        <v>0.58081000000000049</v>
      </c>
    </row>
    <row r="109" spans="1:20">
      <c r="A109" t="str">
        <f t="shared" si="10"/>
        <v>TVA 8E C</v>
      </c>
      <c r="B109">
        <v>2004</v>
      </c>
      <c r="C109">
        <v>9</v>
      </c>
      <c r="D109">
        <v>4</v>
      </c>
      <c r="E109">
        <f>IF(R109&lt;-1,E97+1,E97)</f>
        <v>2</v>
      </c>
      <c r="F109">
        <f t="shared" si="17"/>
        <v>9</v>
      </c>
      <c r="G109" s="11">
        <f>VLOOKUP(I109,jarInfo!$C$15:$G$32,5,FALSE)</f>
        <v>0.8628167016205911</v>
      </c>
      <c r="H109" s="11" t="str">
        <f t="shared" si="11"/>
        <v>TVA-8E-C</v>
      </c>
      <c r="I109" t="s">
        <v>20</v>
      </c>
      <c r="J109">
        <v>1</v>
      </c>
      <c r="K109">
        <v>0.72569444444444398</v>
      </c>
      <c r="L109">
        <v>1289.7</v>
      </c>
      <c r="M109">
        <v>1.2999999999999999E-3</v>
      </c>
      <c r="N109">
        <v>-7.0000000000000007E-2</v>
      </c>
      <c r="O109">
        <f t="shared" si="12"/>
        <v>1.6066099999999999</v>
      </c>
      <c r="P109" s="14">
        <f>IF(O109="","",(O109*G109/(IF(Q109="",constants!$F$2+constants!$A$2,timeSeries!Q109+constants!$A$2)*constants!$E$2))*(1/constants!$D$2)*10^3)</f>
        <v>1.3091259703902651</v>
      </c>
      <c r="Q109">
        <f t="shared" si="18"/>
        <v>20.060000000000002</v>
      </c>
      <c r="R109" s="1">
        <f t="shared" si="16"/>
        <v>0.61227399999999998</v>
      </c>
    </row>
    <row r="110" spans="1:20">
      <c r="A110" t="str">
        <f t="shared" si="10"/>
        <v>WB 3E C</v>
      </c>
      <c r="B110">
        <v>2004</v>
      </c>
      <c r="C110">
        <v>9</v>
      </c>
      <c r="D110">
        <v>7</v>
      </c>
      <c r="F110">
        <f>IF(E110="",F98,F98+D110-D98)</f>
        <v>8</v>
      </c>
      <c r="G110" s="11">
        <f>VLOOKUP(I110,jarInfo!$C$15:$G$32,5,FALSE)</f>
        <v>0.87917959341723062</v>
      </c>
      <c r="H110" s="11" t="str">
        <f t="shared" si="11"/>
        <v>WB-3E-C</v>
      </c>
      <c r="I110" t="s">
        <v>9</v>
      </c>
      <c r="O110" t="str">
        <f t="shared" si="12"/>
        <v/>
      </c>
      <c r="P110" s="14" t="str">
        <f>IF(O110="","",(O110*G110/(IF(Q110="",constants!$F$2+constants!$A$2,timeSeries!Q110+constants!$A$2)*constants!$E$2))*(1/constants!$D$2)*10^3)</f>
        <v/>
      </c>
      <c r="R110" s="1" t="e">
        <f t="shared" si="16"/>
        <v>#VALUE!</v>
      </c>
      <c r="T110" t="s">
        <v>40</v>
      </c>
    </row>
    <row r="111" spans="1:20">
      <c r="A111" t="str">
        <f t="shared" si="10"/>
        <v>WB 4B C</v>
      </c>
      <c r="B111">
        <v>2004</v>
      </c>
      <c r="C111">
        <v>9</v>
      </c>
      <c r="D111">
        <v>7</v>
      </c>
      <c r="E111">
        <f>IF(R111&lt;-1,E99+1,E99)</f>
        <v>2</v>
      </c>
      <c r="F111">
        <f t="shared" si="17"/>
        <v>12</v>
      </c>
      <c r="G111" s="11">
        <f>VLOOKUP(I111,jarInfo!$C$15:$G$32,5,FALSE)</f>
        <v>0.84883525375939861</v>
      </c>
      <c r="H111" s="11" t="str">
        <f t="shared" si="11"/>
        <v>WB-4B-C</v>
      </c>
      <c r="I111" t="s">
        <v>10</v>
      </c>
      <c r="J111">
        <v>1</v>
      </c>
      <c r="K111">
        <v>0.51249999999999996</v>
      </c>
      <c r="L111">
        <v>2492.3000000000002</v>
      </c>
      <c r="M111">
        <v>1.1999999999999999E-3</v>
      </c>
      <c r="N111">
        <v>6.3600000000000004E-2</v>
      </c>
      <c r="O111">
        <f t="shared" si="12"/>
        <v>3.05436</v>
      </c>
      <c r="P111" s="14">
        <f>IF(O111="","",(O111*G111/(IF(Q111="",constants!$F$2+constants!$A$2,timeSeries!Q111+constants!$A$2)*constants!$E$2))*(1/constants!$D$2)*10^3)</f>
        <v>2.4452247787131145</v>
      </c>
      <c r="Q111">
        <f>AVERAGE(20.2,20.7)</f>
        <v>20.45</v>
      </c>
      <c r="R111" s="1">
        <f t="shared" ref="R111:R142" si="19">O111-O99</f>
        <v>1.0545000000000002</v>
      </c>
    </row>
    <row r="112" spans="1:20">
      <c r="A112" t="str">
        <f t="shared" si="10"/>
        <v>WB 5B C</v>
      </c>
      <c r="B112">
        <v>2004</v>
      </c>
      <c r="C112">
        <v>9</v>
      </c>
      <c r="D112">
        <v>7</v>
      </c>
      <c r="E112">
        <f>E100+1</f>
        <v>3</v>
      </c>
      <c r="F112">
        <f t="shared" si="17"/>
        <v>12</v>
      </c>
      <c r="G112" s="11">
        <f>VLOOKUP(I112,jarInfo!$C$15:$G$32,5,FALSE)</f>
        <v>0.90350278217821778</v>
      </c>
      <c r="H112" s="11" t="str">
        <f t="shared" si="11"/>
        <v>WB-5B-C</v>
      </c>
      <c r="I112" t="s">
        <v>11</v>
      </c>
      <c r="J112">
        <v>1</v>
      </c>
      <c r="K112">
        <v>0.51458333333333328</v>
      </c>
      <c r="L112">
        <v>1334</v>
      </c>
      <c r="M112">
        <v>1.1999999999999999E-3</v>
      </c>
      <c r="N112">
        <v>6.3600000000000004E-2</v>
      </c>
      <c r="O112">
        <f t="shared" si="12"/>
        <v>1.6643999999999999</v>
      </c>
      <c r="P112" s="14">
        <f>IF(O112="","",(O112*G112/(IF(Q112="",constants!$F$2+constants!$A$2,timeSeries!Q112+constants!$A$2)*constants!$E$2))*(1/constants!$D$2)*10^3)</f>
        <v>1.418281237119835</v>
      </c>
      <c r="Q112">
        <f t="shared" ref="Q112:Q121" si="20">AVERAGE(20.2,20.7)</f>
        <v>20.45</v>
      </c>
      <c r="R112" s="1">
        <f t="shared" si="19"/>
        <v>-2.0544500000000001</v>
      </c>
      <c r="T112" t="s">
        <v>40</v>
      </c>
    </row>
    <row r="113" spans="1:20">
      <c r="A113" t="str">
        <f t="shared" si="10"/>
        <v>WB 6E C</v>
      </c>
      <c r="B113">
        <v>2004</v>
      </c>
      <c r="C113">
        <v>9</v>
      </c>
      <c r="D113">
        <v>7</v>
      </c>
      <c r="E113">
        <f>IF(R113&lt;-1,E101+1,E101)</f>
        <v>2</v>
      </c>
      <c r="F113">
        <f t="shared" si="17"/>
        <v>12</v>
      </c>
      <c r="G113" s="11">
        <f>VLOOKUP(I113,jarInfo!$C$15:$G$32,5,FALSE)</f>
        <v>0.84358970065481675</v>
      </c>
      <c r="H113" s="11" t="str">
        <f t="shared" si="11"/>
        <v>WB-6E-C</v>
      </c>
      <c r="I113" t="s">
        <v>12</v>
      </c>
      <c r="J113">
        <v>1</v>
      </c>
      <c r="K113">
        <v>0.51770833333333333</v>
      </c>
      <c r="L113">
        <v>2234.1999999999998</v>
      </c>
      <c r="M113">
        <v>1.1999999999999999E-3</v>
      </c>
      <c r="N113">
        <v>6.3600000000000004E-2</v>
      </c>
      <c r="O113">
        <f t="shared" si="12"/>
        <v>2.7446399999999995</v>
      </c>
      <c r="P113" s="14">
        <f>IF(O113="","",(O113*G113/(IF(Q113="",constants!$F$2+constants!$A$2,timeSeries!Q113+constants!$A$2)*constants!$E$2))*(1/constants!$D$2)*10^3)</f>
        <v>2.1836941637359732</v>
      </c>
      <c r="Q113">
        <f t="shared" si="20"/>
        <v>20.45</v>
      </c>
      <c r="R113" s="1">
        <f t="shared" si="19"/>
        <v>0.73606999999999934</v>
      </c>
    </row>
    <row r="114" spans="1:20">
      <c r="A114" t="str">
        <f t="shared" si="10"/>
        <v>WB 7E C</v>
      </c>
      <c r="B114">
        <v>2004</v>
      </c>
      <c r="C114">
        <v>9</v>
      </c>
      <c r="D114">
        <v>7</v>
      </c>
      <c r="F114">
        <f t="shared" si="17"/>
        <v>9</v>
      </c>
      <c r="G114" s="11">
        <f>VLOOKUP(I114,jarInfo!$C$15:$G$32,5,FALSE)</f>
        <v>0.90097950592885423</v>
      </c>
      <c r="H114" s="11" t="str">
        <f t="shared" si="11"/>
        <v>WB-7E-C</v>
      </c>
      <c r="I114" t="s">
        <v>13</v>
      </c>
      <c r="J114">
        <v>1</v>
      </c>
      <c r="M114">
        <v>1.1999999999999999E-3</v>
      </c>
      <c r="N114">
        <v>6.3600000000000004E-2</v>
      </c>
      <c r="O114" t="str">
        <f t="shared" si="12"/>
        <v/>
      </c>
      <c r="P114" s="14" t="str">
        <f>IF(O114="","",(O114*G114/(IF(Q114="",constants!$F$2+constants!$A$2,timeSeries!Q114+constants!$A$2)*constants!$E$2))*(1/constants!$D$2)*10^3)</f>
        <v/>
      </c>
      <c r="Q114">
        <f t="shared" si="20"/>
        <v>20.45</v>
      </c>
      <c r="R114" s="1" t="e">
        <f t="shared" si="19"/>
        <v>#VALUE!</v>
      </c>
      <c r="T114" t="s">
        <v>40</v>
      </c>
    </row>
    <row r="115" spans="1:20">
      <c r="A115" t="str">
        <f t="shared" si="10"/>
        <v>WB 8B C</v>
      </c>
      <c r="B115">
        <v>2004</v>
      </c>
      <c r="C115">
        <v>9</v>
      </c>
      <c r="D115">
        <v>7</v>
      </c>
      <c r="E115">
        <f>E103+1</f>
        <v>3</v>
      </c>
      <c r="F115">
        <f t="shared" si="17"/>
        <v>12</v>
      </c>
      <c r="G115" s="11">
        <f>VLOOKUP(I115,jarInfo!$C$15:$G$32,5,FALSE)</f>
        <v>0.85318028328611917</v>
      </c>
      <c r="H115" s="11" t="str">
        <f t="shared" si="11"/>
        <v>WB-8B-C</v>
      </c>
      <c r="I115" t="s">
        <v>14</v>
      </c>
      <c r="J115">
        <v>1</v>
      </c>
      <c r="K115">
        <v>0.52083333333333337</v>
      </c>
      <c r="L115">
        <v>1760.3</v>
      </c>
      <c r="M115">
        <v>1.1999999999999999E-3</v>
      </c>
      <c r="N115">
        <v>6.3600000000000004E-2</v>
      </c>
      <c r="O115">
        <f t="shared" si="12"/>
        <v>2.1759599999999999</v>
      </c>
      <c r="P115" s="14">
        <f>IF(O115="","",(O115*G115/(IF(Q115="",constants!$F$2+constants!$A$2,timeSeries!Q115+constants!$A$2)*constants!$E$2))*(1/constants!$D$2)*10^3)</f>
        <v>1.7509223010509383</v>
      </c>
      <c r="Q115">
        <f t="shared" si="20"/>
        <v>20.45</v>
      </c>
      <c r="R115" s="1">
        <f t="shared" si="19"/>
        <v>0.81011000000000011</v>
      </c>
    </row>
    <row r="116" spans="1:20">
      <c r="A116" t="str">
        <f t="shared" si="10"/>
        <v>TVA 2B C</v>
      </c>
      <c r="B116">
        <v>2004</v>
      </c>
      <c r="C116">
        <v>9</v>
      </c>
      <c r="D116">
        <v>7</v>
      </c>
      <c r="E116">
        <f>E92+1</f>
        <v>3</v>
      </c>
      <c r="F116">
        <f t="shared" si="17"/>
        <v>11</v>
      </c>
      <c r="G116" s="11">
        <f>VLOOKUP(I116,jarInfo!$C$15:$G$32,5,FALSE)</f>
        <v>0.8766205217391303</v>
      </c>
      <c r="H116" s="11" t="str">
        <f t="shared" si="11"/>
        <v>TVA-2B-C</v>
      </c>
      <c r="I116" t="s">
        <v>15</v>
      </c>
      <c r="J116">
        <v>1</v>
      </c>
      <c r="K116">
        <v>0.52222222222222225</v>
      </c>
      <c r="L116">
        <v>870.34</v>
      </c>
      <c r="M116">
        <v>1.1999999999999999E-3</v>
      </c>
      <c r="N116">
        <v>6.3600000000000004E-2</v>
      </c>
      <c r="O116">
        <f t="shared" si="12"/>
        <v>1.1080080000000001</v>
      </c>
      <c r="P116" s="14">
        <f>IF(O116="","",(O116*G116/(IF(Q116="",constants!$F$2+constants!$A$2,timeSeries!Q116+constants!$A$2)*constants!$E$2))*(1/constants!$D$2)*10^3)</f>
        <v>0.91607216143080794</v>
      </c>
      <c r="Q116">
        <f t="shared" si="20"/>
        <v>20.45</v>
      </c>
      <c r="R116" s="1" t="e">
        <f t="shared" si="19"/>
        <v>#VALUE!</v>
      </c>
      <c r="T116" t="s">
        <v>40</v>
      </c>
    </row>
    <row r="117" spans="1:20">
      <c r="A117" t="str">
        <f t="shared" si="10"/>
        <v>TVA 3B C</v>
      </c>
      <c r="B117">
        <v>2004</v>
      </c>
      <c r="C117">
        <v>9</v>
      </c>
      <c r="D117">
        <v>7</v>
      </c>
      <c r="E117">
        <f>IF(R117&lt;-1,E105+1,E105)</f>
        <v>1</v>
      </c>
      <c r="F117">
        <f t="shared" si="17"/>
        <v>12</v>
      </c>
      <c r="G117" s="11">
        <f>VLOOKUP(I117,jarInfo!$C$15:$G$32,5,FALSE)</f>
        <v>0.84358970065481675</v>
      </c>
      <c r="H117" s="11" t="str">
        <f t="shared" si="11"/>
        <v>TVA-3B-C</v>
      </c>
      <c r="I117" t="s">
        <v>16</v>
      </c>
      <c r="J117">
        <v>1</v>
      </c>
      <c r="K117">
        <v>0.52361111111111114</v>
      </c>
      <c r="L117">
        <v>2374.6999999999998</v>
      </c>
      <c r="M117">
        <v>1.1999999999999999E-3</v>
      </c>
      <c r="N117">
        <v>6.3600000000000004E-2</v>
      </c>
      <c r="O117">
        <f t="shared" si="12"/>
        <v>2.9132399999999996</v>
      </c>
      <c r="P117" s="14">
        <f>IF(O117="","",(O117*G117/(IF(Q117="",constants!$F$2+constants!$A$2,timeSeries!Q117+constants!$A$2)*constants!$E$2))*(1/constants!$D$2)*10^3)</f>
        <v>2.3178359222201039</v>
      </c>
      <c r="Q117">
        <f t="shared" si="20"/>
        <v>20.45</v>
      </c>
      <c r="R117" s="1">
        <f t="shared" si="19"/>
        <v>0.34969999999999946</v>
      </c>
    </row>
    <row r="118" spans="1:20">
      <c r="A118" t="str">
        <f t="shared" si="10"/>
        <v>TVA 4E C</v>
      </c>
      <c r="B118">
        <v>2004</v>
      </c>
      <c r="C118">
        <v>9</v>
      </c>
      <c r="D118">
        <v>7</v>
      </c>
      <c r="E118">
        <f>IF(R118&lt;-1,E106+1,E106)</f>
        <v>3</v>
      </c>
      <c r="F118">
        <f t="shared" si="17"/>
        <v>12</v>
      </c>
      <c r="G118" s="11">
        <f>VLOOKUP(I118,jarInfo!$C$15:$G$32,5,FALSE)</f>
        <v>0.81648999999999938</v>
      </c>
      <c r="H118" s="11" t="str">
        <f t="shared" si="11"/>
        <v>TVA-4E-C</v>
      </c>
      <c r="I118" t="s">
        <v>17</v>
      </c>
      <c r="J118">
        <v>1</v>
      </c>
      <c r="K118">
        <v>0.52500000000000002</v>
      </c>
      <c r="L118">
        <v>3717.6</v>
      </c>
      <c r="M118">
        <v>1.1999999999999999E-3</v>
      </c>
      <c r="N118">
        <v>6.3600000000000004E-2</v>
      </c>
      <c r="O118">
        <f t="shared" si="12"/>
        <v>4.5247199999999994</v>
      </c>
      <c r="P118" s="14">
        <f>IF(O118="","",(O118*G118/(IF(Q118="",constants!$F$2+constants!$A$2,timeSeries!Q118+constants!$A$2)*constants!$E$2))*(1/constants!$D$2)*10^3)</f>
        <v>3.4843176066530748</v>
      </c>
      <c r="Q118">
        <f t="shared" si="20"/>
        <v>20.45</v>
      </c>
      <c r="R118" s="1">
        <f t="shared" si="19"/>
        <v>2.3882299999999996</v>
      </c>
    </row>
    <row r="119" spans="1:20">
      <c r="A119" t="str">
        <f t="shared" si="10"/>
        <v>TVA 5B C</v>
      </c>
      <c r="B119">
        <v>2004</v>
      </c>
      <c r="C119">
        <v>9</v>
      </c>
      <c r="D119">
        <v>7</v>
      </c>
      <c r="E119">
        <f>IF(R119&lt;-1,E107+1,E107)</f>
        <v>2</v>
      </c>
      <c r="F119">
        <f t="shared" si="17"/>
        <v>12</v>
      </c>
      <c r="G119" s="11">
        <f>VLOOKUP(I119,jarInfo!$C$15:$G$32,5,FALSE)</f>
        <v>0.90174231454005915</v>
      </c>
      <c r="H119" s="11" t="str">
        <f t="shared" si="11"/>
        <v>TVA-5B-C</v>
      </c>
      <c r="I119" t="s">
        <v>18</v>
      </c>
      <c r="J119">
        <v>1</v>
      </c>
      <c r="K119">
        <v>0.52638888888888891</v>
      </c>
      <c r="L119">
        <v>2274</v>
      </c>
      <c r="M119">
        <v>1.1999999999999999E-3</v>
      </c>
      <c r="N119">
        <v>6.3600000000000004E-2</v>
      </c>
      <c r="O119">
        <f t="shared" si="12"/>
        <v>2.7923999999999998</v>
      </c>
      <c r="P119" s="14">
        <f>IF(O119="","",(O119*G119/(IF(Q119="",constants!$F$2+constants!$A$2,timeSeries!Q119+constants!$A$2)*constants!$E$2))*(1/constants!$D$2)*10^3)</f>
        <v>2.3748448110665783</v>
      </c>
      <c r="Q119">
        <f t="shared" si="20"/>
        <v>20.45</v>
      </c>
      <c r="R119" s="1">
        <f t="shared" si="19"/>
        <v>1.0989499999999999</v>
      </c>
    </row>
    <row r="120" spans="1:20">
      <c r="A120" t="str">
        <f t="shared" si="10"/>
        <v>TVA 6E C</v>
      </c>
      <c r="B120">
        <v>2004</v>
      </c>
      <c r="C120">
        <v>9</v>
      </c>
      <c r="D120">
        <v>7</v>
      </c>
      <c r="E120">
        <f>IF(R120&lt;-1,E108+1,E108)</f>
        <v>3</v>
      </c>
      <c r="F120">
        <f t="shared" si="17"/>
        <v>12</v>
      </c>
      <c r="G120" s="11">
        <f>VLOOKUP(I120,jarInfo!$C$15:$G$32,5,FALSE)</f>
        <v>0.82377173394495395</v>
      </c>
      <c r="H120" s="11" t="str">
        <f t="shared" si="11"/>
        <v>TVA-6E-C</v>
      </c>
      <c r="I120" t="s">
        <v>19</v>
      </c>
      <c r="J120">
        <v>1</v>
      </c>
      <c r="K120">
        <v>0.52986111111111112</v>
      </c>
      <c r="L120">
        <v>1347.9</v>
      </c>
      <c r="M120">
        <v>1.1999999999999999E-3</v>
      </c>
      <c r="N120">
        <v>6.3600000000000004E-2</v>
      </c>
      <c r="O120">
        <f t="shared" si="12"/>
        <v>1.6810800000000001</v>
      </c>
      <c r="P120" s="14">
        <f>IF(O120="","",(O120*G120/(IF(Q120="",constants!$F$2+constants!$A$2,timeSeries!Q120+constants!$A$2)*constants!$E$2))*(1/constants!$D$2)*10^3)</f>
        <v>1.3060819376005384</v>
      </c>
      <c r="Q120">
        <f t="shared" si="20"/>
        <v>20.45</v>
      </c>
      <c r="R120" s="1">
        <f t="shared" si="19"/>
        <v>-1.9192100000000001</v>
      </c>
    </row>
    <row r="121" spans="1:20">
      <c r="A121" t="str">
        <f t="shared" si="10"/>
        <v>TVA 8E C</v>
      </c>
      <c r="B121">
        <v>2004</v>
      </c>
      <c r="C121">
        <v>9</v>
      </c>
      <c r="D121">
        <v>7</v>
      </c>
      <c r="E121">
        <f>E109</f>
        <v>2</v>
      </c>
      <c r="F121">
        <f t="shared" si="17"/>
        <v>12</v>
      </c>
      <c r="G121" s="11">
        <f>VLOOKUP(I121,jarInfo!$C$15:$G$32,5,FALSE)</f>
        <v>0.8628167016205911</v>
      </c>
      <c r="H121" s="11" t="str">
        <f t="shared" si="11"/>
        <v>TVA-8E-C</v>
      </c>
      <c r="I121" t="s">
        <v>20</v>
      </c>
      <c r="J121">
        <v>1</v>
      </c>
      <c r="K121">
        <v>0.53125</v>
      </c>
      <c r="L121">
        <v>2040.3</v>
      </c>
      <c r="M121">
        <v>1.1999999999999999E-3</v>
      </c>
      <c r="N121">
        <v>6.3600000000000004E-2</v>
      </c>
      <c r="O121">
        <f t="shared" si="12"/>
        <v>2.5119599999999997</v>
      </c>
      <c r="P121" s="14">
        <f>IF(O121="","",(O121*G121/(IF(Q121="",constants!$F$2+constants!$A$2,timeSeries!Q121+constants!$A$2)*constants!$E$2))*(1/constants!$D$2)*10^3)</f>
        <v>2.0441201477507054</v>
      </c>
      <c r="Q121">
        <f t="shared" si="20"/>
        <v>20.45</v>
      </c>
      <c r="R121" s="1">
        <f t="shared" si="19"/>
        <v>0.90534999999999988</v>
      </c>
    </row>
    <row r="122" spans="1:20">
      <c r="A122" t="str">
        <f t="shared" si="10"/>
        <v>WB 3E C</v>
      </c>
      <c r="B122">
        <v>2004</v>
      </c>
      <c r="C122">
        <v>9</v>
      </c>
      <c r="D122">
        <v>8</v>
      </c>
      <c r="F122">
        <f>IF(E122="",F110,F110+D122-D110)</f>
        <v>8</v>
      </c>
      <c r="G122" s="11">
        <f>VLOOKUP(I122,jarInfo!$C$15:$G$32,5,FALSE)</f>
        <v>0.87917959341723062</v>
      </c>
      <c r="H122" s="11" t="str">
        <f t="shared" si="11"/>
        <v>WB-3E-C</v>
      </c>
      <c r="I122" t="s">
        <v>9</v>
      </c>
      <c r="M122">
        <f>0.0012</f>
        <v>1.1999999999999999E-3</v>
      </c>
      <c r="N122">
        <v>-2.5000000000000001E-2</v>
      </c>
      <c r="O122" t="str">
        <f t="shared" si="12"/>
        <v/>
      </c>
      <c r="P122" s="14" t="str">
        <f>IF(O122="","",(O122*G122/(IF(Q122="",constants!$F$2+constants!$A$2,timeSeries!Q122+constants!$A$2)*constants!$E$2))*(1/constants!$D$2)*10^3)</f>
        <v/>
      </c>
      <c r="Q122">
        <v>19.899999999999999</v>
      </c>
      <c r="R122" s="1" t="e">
        <f t="shared" si="19"/>
        <v>#VALUE!</v>
      </c>
    </row>
    <row r="123" spans="1:20">
      <c r="A123" t="str">
        <f t="shared" si="10"/>
        <v>WB 4B C</v>
      </c>
      <c r="B123">
        <v>2004</v>
      </c>
      <c r="C123">
        <v>9</v>
      </c>
      <c r="D123">
        <v>8</v>
      </c>
      <c r="E123">
        <f>E111+1</f>
        <v>3</v>
      </c>
      <c r="F123">
        <f t="shared" si="17"/>
        <v>13</v>
      </c>
      <c r="G123" s="11">
        <f>VLOOKUP(I123,jarInfo!$C$15:$G$32,5,FALSE)</f>
        <v>0.84883525375939861</v>
      </c>
      <c r="H123" s="11" t="str">
        <f t="shared" si="11"/>
        <v>WB-4B-C</v>
      </c>
      <c r="I123" t="s">
        <v>10</v>
      </c>
      <c r="J123">
        <v>1</v>
      </c>
      <c r="K123">
        <v>0.53472222222222221</v>
      </c>
      <c r="L123">
        <v>590.4</v>
      </c>
      <c r="M123">
        <f t="shared" ref="M123:M133" si="21">0.0012</f>
        <v>1.1999999999999999E-3</v>
      </c>
      <c r="N123">
        <v>-2.5000000000000001E-2</v>
      </c>
      <c r="O123">
        <f t="shared" si="12"/>
        <v>0.68347999999999987</v>
      </c>
      <c r="P123" s="14">
        <f>IF(O123="","",(O123*G123/(IF(Q123="",constants!$F$2+constants!$A$2,timeSeries!Q123+constants!$A$2)*constants!$E$2))*(1/constants!$D$2)*10^3)</f>
        <v>0.54819958294197546</v>
      </c>
      <c r="Q123">
        <v>19.899999999999999</v>
      </c>
      <c r="R123" s="1">
        <f t="shared" si="19"/>
        <v>-2.3708800000000001</v>
      </c>
    </row>
    <row r="124" spans="1:20">
      <c r="A124" t="str">
        <f t="shared" si="10"/>
        <v>WB 5B C</v>
      </c>
      <c r="B124">
        <v>2004</v>
      </c>
      <c r="C124">
        <v>9</v>
      </c>
      <c r="D124">
        <v>8</v>
      </c>
      <c r="E124">
        <f>E112</f>
        <v>3</v>
      </c>
      <c r="F124">
        <f t="shared" si="17"/>
        <v>13</v>
      </c>
      <c r="G124" s="11">
        <f>VLOOKUP(I124,jarInfo!$C$15:$G$32,5,FALSE)</f>
        <v>0.90350278217821778</v>
      </c>
      <c r="H124" s="11" t="str">
        <f t="shared" si="11"/>
        <v>WB-5B-C</v>
      </c>
      <c r="I124" t="s">
        <v>11</v>
      </c>
      <c r="J124">
        <v>1</v>
      </c>
      <c r="K124">
        <v>0.53611111111111109</v>
      </c>
      <c r="L124">
        <v>1691</v>
      </c>
      <c r="M124">
        <f t="shared" si="21"/>
        <v>1.1999999999999999E-3</v>
      </c>
      <c r="N124">
        <v>-2.5000000000000001E-2</v>
      </c>
      <c r="O124">
        <f t="shared" si="12"/>
        <v>2.0042</v>
      </c>
      <c r="P124" s="14">
        <f>IF(O124="","",(O124*G124/(IF(Q124="",constants!$F$2+constants!$A$2,timeSeries!Q124+constants!$A$2)*constants!$E$2))*(1/constants!$D$2)*10^3)</f>
        <v>1.7110394929375941</v>
      </c>
      <c r="Q124">
        <v>19.899999999999999</v>
      </c>
      <c r="R124" s="1">
        <f t="shared" si="19"/>
        <v>0.3398000000000001</v>
      </c>
    </row>
    <row r="125" spans="1:20">
      <c r="A125" t="str">
        <f t="shared" si="10"/>
        <v>WB 6E C</v>
      </c>
      <c r="B125">
        <v>2004</v>
      </c>
      <c r="C125">
        <v>9</v>
      </c>
      <c r="D125">
        <v>8</v>
      </c>
      <c r="E125">
        <f>E113+1</f>
        <v>3</v>
      </c>
      <c r="F125">
        <f t="shared" si="17"/>
        <v>13</v>
      </c>
      <c r="G125" s="11">
        <f>VLOOKUP(I125,jarInfo!$C$15:$G$32,5,FALSE)</f>
        <v>0.84358970065481675</v>
      </c>
      <c r="H125" s="11" t="str">
        <f t="shared" si="11"/>
        <v>WB-6E-C</v>
      </c>
      <c r="I125" t="s">
        <v>12</v>
      </c>
      <c r="J125">
        <v>1</v>
      </c>
      <c r="K125">
        <v>0.53749999999999998</v>
      </c>
      <c r="L125">
        <v>478.58</v>
      </c>
      <c r="M125">
        <f t="shared" si="21"/>
        <v>1.1999999999999999E-3</v>
      </c>
      <c r="N125">
        <v>-2.5000000000000001E-2</v>
      </c>
      <c r="O125">
        <f t="shared" si="12"/>
        <v>0.5492959999999999</v>
      </c>
      <c r="P125" s="14">
        <f>IF(O125="","",(O125*G125/(IF(Q125="",constants!$F$2+constants!$A$2,timeSeries!Q125+constants!$A$2)*constants!$E$2))*(1/constants!$D$2)*10^3)</f>
        <v>0.43785184795595061</v>
      </c>
      <c r="Q125">
        <v>19.899999999999999</v>
      </c>
      <c r="R125" s="1">
        <f t="shared" si="19"/>
        <v>-2.1953439999999995</v>
      </c>
    </row>
    <row r="126" spans="1:20">
      <c r="A126" t="str">
        <f t="shared" si="10"/>
        <v>WB 7E C</v>
      </c>
      <c r="B126">
        <v>2004</v>
      </c>
      <c r="C126">
        <v>9</v>
      </c>
      <c r="D126">
        <v>8</v>
      </c>
      <c r="F126">
        <f t="shared" si="17"/>
        <v>9</v>
      </c>
      <c r="G126" s="11">
        <f>VLOOKUP(I126,jarInfo!$C$15:$G$32,5,FALSE)</f>
        <v>0.90097950592885423</v>
      </c>
      <c r="H126" s="11" t="str">
        <f t="shared" si="11"/>
        <v>WB-7E-C</v>
      </c>
      <c r="I126" t="s">
        <v>13</v>
      </c>
      <c r="M126">
        <f t="shared" si="21"/>
        <v>1.1999999999999999E-3</v>
      </c>
      <c r="N126">
        <v>-2.5000000000000001E-2</v>
      </c>
      <c r="O126" t="str">
        <f t="shared" si="12"/>
        <v/>
      </c>
      <c r="P126" s="14" t="str">
        <f>IF(O126="","",(O126*G126/(IF(Q126="",constants!$F$2+constants!$A$2,timeSeries!Q126+constants!$A$2)*constants!$E$2))*(1/constants!$D$2)*10^3)</f>
        <v/>
      </c>
      <c r="Q126">
        <v>19.899999999999999</v>
      </c>
      <c r="R126" s="1" t="e">
        <f t="shared" si="19"/>
        <v>#VALUE!</v>
      </c>
    </row>
    <row r="127" spans="1:20">
      <c r="A127" t="str">
        <f t="shared" si="10"/>
        <v>WB 8B C</v>
      </c>
      <c r="B127">
        <v>2004</v>
      </c>
      <c r="C127">
        <v>9</v>
      </c>
      <c r="D127">
        <v>8</v>
      </c>
      <c r="E127">
        <f>E115</f>
        <v>3</v>
      </c>
      <c r="F127">
        <f t="shared" si="17"/>
        <v>13</v>
      </c>
      <c r="G127" s="11">
        <f>VLOOKUP(I127,jarInfo!$C$15:$G$32,5,FALSE)</f>
        <v>0.85318028328611917</v>
      </c>
      <c r="H127" s="11" t="str">
        <f t="shared" si="11"/>
        <v>WB-8B-C</v>
      </c>
      <c r="I127" t="s">
        <v>14</v>
      </c>
      <c r="J127">
        <v>1</v>
      </c>
      <c r="K127">
        <v>0.53888888888888886</v>
      </c>
      <c r="L127">
        <v>2090.3000000000002</v>
      </c>
      <c r="M127">
        <f t="shared" si="21"/>
        <v>1.1999999999999999E-3</v>
      </c>
      <c r="N127">
        <v>-2.5000000000000001E-2</v>
      </c>
      <c r="O127">
        <f t="shared" si="12"/>
        <v>2.4833600000000002</v>
      </c>
      <c r="P127" s="14">
        <f>IF(O127="","",(O127*G127/(IF(Q127="",constants!$F$2+constants!$A$2,timeSeries!Q127+constants!$A$2)*constants!$E$2))*(1/constants!$D$2)*10^3)</f>
        <v>2.0020272006583295</v>
      </c>
      <c r="Q127">
        <v>19.899999999999999</v>
      </c>
      <c r="R127" s="1">
        <f t="shared" si="19"/>
        <v>0.30740000000000034</v>
      </c>
    </row>
    <row r="128" spans="1:20">
      <c r="A128" t="str">
        <f t="shared" si="10"/>
        <v>TVA 2B C</v>
      </c>
      <c r="B128">
        <v>2004</v>
      </c>
      <c r="C128">
        <v>9</v>
      </c>
      <c r="D128">
        <v>8</v>
      </c>
      <c r="E128">
        <f>E116</f>
        <v>3</v>
      </c>
      <c r="F128">
        <f t="shared" si="17"/>
        <v>12</v>
      </c>
      <c r="G128" s="11">
        <f>VLOOKUP(I128,jarInfo!$C$15:$G$32,5,FALSE)</f>
        <v>0.8766205217391303</v>
      </c>
      <c r="H128" s="11" t="str">
        <f t="shared" si="11"/>
        <v>TVA-2B-C</v>
      </c>
      <c r="I128" t="s">
        <v>15</v>
      </c>
      <c r="J128">
        <v>1</v>
      </c>
      <c r="K128">
        <v>0.54027777777777775</v>
      </c>
      <c r="L128">
        <v>1087.9000000000001</v>
      </c>
      <c r="M128">
        <f t="shared" si="21"/>
        <v>1.1999999999999999E-3</v>
      </c>
      <c r="N128">
        <v>-2.5000000000000001E-2</v>
      </c>
      <c r="O128">
        <f t="shared" si="12"/>
        <v>1.2804800000000001</v>
      </c>
      <c r="P128" s="14">
        <f>IF(O128="","",(O128*G128/(IF(Q128="",constants!$F$2+constants!$A$2,timeSeries!Q128+constants!$A$2)*constants!$E$2))*(1/constants!$D$2)*10^3)</f>
        <v>1.0606544405757594</v>
      </c>
      <c r="Q128">
        <v>19.899999999999999</v>
      </c>
      <c r="R128" s="1">
        <f t="shared" si="19"/>
        <v>0.17247199999999996</v>
      </c>
    </row>
    <row r="129" spans="1:19">
      <c r="A129" t="str">
        <f t="shared" si="10"/>
        <v>TVA 3B C</v>
      </c>
      <c r="B129">
        <v>2004</v>
      </c>
      <c r="C129">
        <v>9</v>
      </c>
      <c r="D129">
        <v>8</v>
      </c>
      <c r="E129">
        <f>E117</f>
        <v>1</v>
      </c>
      <c r="F129">
        <f t="shared" si="17"/>
        <v>13</v>
      </c>
      <c r="G129" s="11">
        <f>VLOOKUP(I129,jarInfo!$C$15:$G$32,5,FALSE)</f>
        <v>0.84358970065481675</v>
      </c>
      <c r="H129" s="11" t="str">
        <f t="shared" si="11"/>
        <v>TVA-3B-C</v>
      </c>
      <c r="I129" t="s">
        <v>16</v>
      </c>
      <c r="J129">
        <v>1</v>
      </c>
      <c r="K129">
        <v>0.54166666666666663</v>
      </c>
      <c r="L129">
        <v>2125.4</v>
      </c>
      <c r="M129">
        <f t="shared" si="21"/>
        <v>1.1999999999999999E-3</v>
      </c>
      <c r="N129">
        <v>-2.5000000000000001E-2</v>
      </c>
      <c r="O129">
        <f t="shared" si="12"/>
        <v>2.5254799999999999</v>
      </c>
      <c r="P129" s="14">
        <f>IF(O129="","",(O129*G129/(IF(Q129="",constants!$F$2+constants!$A$2,timeSeries!Q129+constants!$A$2)*constants!$E$2))*(1/constants!$D$2)*10^3)</f>
        <v>2.013096918557197</v>
      </c>
      <c r="Q129">
        <v>19.899999999999999</v>
      </c>
      <c r="R129" s="1">
        <f t="shared" si="19"/>
        <v>-0.38775999999999966</v>
      </c>
    </row>
    <row r="130" spans="1:19">
      <c r="A130" t="str">
        <f t="shared" si="10"/>
        <v>TVA 4E C</v>
      </c>
      <c r="B130">
        <v>2004</v>
      </c>
      <c r="C130">
        <v>9</v>
      </c>
      <c r="D130">
        <v>8</v>
      </c>
      <c r="F130">
        <f t="shared" si="17"/>
        <v>12</v>
      </c>
      <c r="G130" s="11">
        <f>VLOOKUP(I130,jarInfo!$C$15:$G$32,5,FALSE)</f>
        <v>0.81648999999999938</v>
      </c>
      <c r="H130" s="11" t="str">
        <f t="shared" si="11"/>
        <v>TVA-4E-C</v>
      </c>
      <c r="I130" t="s">
        <v>17</v>
      </c>
      <c r="M130">
        <f t="shared" si="21"/>
        <v>1.1999999999999999E-3</v>
      </c>
      <c r="N130">
        <v>-2.5000000000000001E-2</v>
      </c>
      <c r="O130" t="str">
        <f t="shared" si="12"/>
        <v/>
      </c>
      <c r="P130" s="14" t="str">
        <f>IF(O130="","",(O130*G130/(IF(Q130="",constants!$F$2+constants!$A$2,timeSeries!Q130+constants!$A$2)*constants!$E$2))*(1/constants!$D$2)*10^3)</f>
        <v/>
      </c>
      <c r="Q130">
        <v>19.899999999999999</v>
      </c>
      <c r="R130" s="1" t="e">
        <f t="shared" si="19"/>
        <v>#VALUE!</v>
      </c>
    </row>
    <row r="131" spans="1:19">
      <c r="A131" t="str">
        <f t="shared" ref="A131:A157" si="22">IF(LEFT(H131,1)="W","WB "&amp;LEFT(RIGHT(H131,4),2)&amp;" C","TVA "&amp;LEFT(RIGHT(H131,4),2)&amp;" C")</f>
        <v>TVA 5B C</v>
      </c>
      <c r="B131">
        <v>2004</v>
      </c>
      <c r="C131">
        <v>9</v>
      </c>
      <c r="D131">
        <v>8</v>
      </c>
      <c r="E131">
        <f>E119</f>
        <v>2</v>
      </c>
      <c r="F131">
        <f t="shared" si="17"/>
        <v>13</v>
      </c>
      <c r="G131" s="11">
        <f>VLOOKUP(I131,jarInfo!$C$15:$G$32,5,FALSE)</f>
        <v>0.90174231454005915</v>
      </c>
      <c r="H131" s="11" t="str">
        <f t="shared" ref="H131:H157" si="23">IF(RIGHT(I131,1)=" ",LEFT(I131,LEN(I131)-1),I131)</f>
        <v>TVA-5B-C</v>
      </c>
      <c r="I131" t="s">
        <v>18</v>
      </c>
      <c r="J131">
        <v>1</v>
      </c>
      <c r="K131">
        <v>0.54340277777777779</v>
      </c>
      <c r="L131">
        <v>2369.8000000000002</v>
      </c>
      <c r="M131">
        <f t="shared" si="21"/>
        <v>1.1999999999999999E-3</v>
      </c>
      <c r="N131">
        <v>-2.5000000000000001E-2</v>
      </c>
      <c r="O131">
        <f t="shared" ref="O131:O157" si="24">IF(L131="","",(L131*M131+N131)/J131)</f>
        <v>2.8187600000000002</v>
      </c>
      <c r="P131" s="14">
        <f>IF(O131="","",(O131*G131/(IF(Q131="",constants!$F$2+constants!$A$2,timeSeries!Q131+constants!$A$2)*constants!$E$2))*(1/constants!$D$2)*10^3)</f>
        <v>2.401762342561002</v>
      </c>
      <c r="Q131">
        <v>19.899999999999999</v>
      </c>
      <c r="R131" s="1">
        <f t="shared" si="19"/>
        <v>2.6360000000000383E-2</v>
      </c>
    </row>
    <row r="132" spans="1:19">
      <c r="A132" t="str">
        <f t="shared" si="22"/>
        <v>TVA 6E C</v>
      </c>
      <c r="B132">
        <v>2004</v>
      </c>
      <c r="C132">
        <v>9</v>
      </c>
      <c r="D132">
        <v>8</v>
      </c>
      <c r="E132">
        <f t="shared" ref="E132" si="25">E120</f>
        <v>3</v>
      </c>
      <c r="F132">
        <f t="shared" si="17"/>
        <v>13</v>
      </c>
      <c r="G132" s="11">
        <f>VLOOKUP(I132,jarInfo!$C$15:$G$32,5,FALSE)</f>
        <v>0.82377173394495395</v>
      </c>
      <c r="H132" s="11" t="str">
        <f t="shared" si="23"/>
        <v>TVA-6E-C</v>
      </c>
      <c r="I132" t="s">
        <v>19</v>
      </c>
      <c r="J132">
        <v>1</v>
      </c>
      <c r="K132">
        <v>0.5444444444444444</v>
      </c>
      <c r="L132">
        <v>1635.7</v>
      </c>
      <c r="M132">
        <f t="shared" si="21"/>
        <v>1.1999999999999999E-3</v>
      </c>
      <c r="N132">
        <v>-2.5000000000000001E-2</v>
      </c>
      <c r="O132">
        <f t="shared" si="24"/>
        <v>1.93784</v>
      </c>
      <c r="P132" s="14">
        <f>IF(O132="","",(O132*G132/(IF(Q132="",constants!$F$2+constants!$A$2,timeSeries!Q132+constants!$A$2)*constants!$E$2))*(1/constants!$D$2)*10^3)</f>
        <v>1.5083922202453077</v>
      </c>
      <c r="Q132">
        <v>19.899999999999999</v>
      </c>
      <c r="R132" s="1">
        <f t="shared" si="19"/>
        <v>0.25675999999999988</v>
      </c>
    </row>
    <row r="133" spans="1:19">
      <c r="A133" t="str">
        <f t="shared" si="22"/>
        <v>TVA 8E C</v>
      </c>
      <c r="B133">
        <v>2004</v>
      </c>
      <c r="C133">
        <v>9</v>
      </c>
      <c r="D133">
        <v>8</v>
      </c>
      <c r="E133">
        <f>E121</f>
        <v>2</v>
      </c>
      <c r="F133">
        <f t="shared" si="17"/>
        <v>13</v>
      </c>
      <c r="G133" s="11">
        <f>VLOOKUP(I133,jarInfo!$C$15:$G$32,5,FALSE)</f>
        <v>0.8628167016205911</v>
      </c>
      <c r="H133" s="11" t="str">
        <f t="shared" si="23"/>
        <v>TVA-8E-C</v>
      </c>
      <c r="I133" t="s">
        <v>20</v>
      </c>
      <c r="J133">
        <v>1</v>
      </c>
      <c r="K133">
        <v>0.54583333333333328</v>
      </c>
      <c r="L133">
        <v>2245.8000000000002</v>
      </c>
      <c r="M133">
        <f t="shared" si="21"/>
        <v>1.1999999999999999E-3</v>
      </c>
      <c r="N133">
        <v>-2.5000000000000001E-2</v>
      </c>
      <c r="O133">
        <f t="shared" si="24"/>
        <v>2.6699600000000001</v>
      </c>
      <c r="P133" s="14">
        <f>IF(O133="","",(O133*G133/(IF(Q133="",constants!$F$2+constants!$A$2,timeSeries!Q133+constants!$A$2)*constants!$E$2))*(1/constants!$D$2)*10^3)</f>
        <v>2.1767711853648413</v>
      </c>
      <c r="Q133">
        <v>19.899999999999999</v>
      </c>
      <c r="R133" s="1">
        <f t="shared" si="19"/>
        <v>0.15800000000000036</v>
      </c>
    </row>
    <row r="134" spans="1:19">
      <c r="A134" t="str">
        <f t="shared" si="22"/>
        <v>WB 3E C</v>
      </c>
      <c r="B134">
        <v>2004</v>
      </c>
      <c r="C134">
        <v>9</v>
      </c>
      <c r="D134">
        <v>9</v>
      </c>
      <c r="E134" t="str">
        <f>IF(E122="","",IF(R134&lt;-1,E122+1,E122))</f>
        <v/>
      </c>
      <c r="F134">
        <f>IF(E134="",F122,F122+D134-D122)</f>
        <v>8</v>
      </c>
      <c r="G134" s="11">
        <f>VLOOKUP(I134,jarInfo!$C$15:$G$32,5,FALSE)</f>
        <v>0.87917959341723062</v>
      </c>
      <c r="H134" s="11" t="str">
        <f t="shared" si="23"/>
        <v>WB-3E-C</v>
      </c>
      <c r="I134" t="s">
        <v>9</v>
      </c>
      <c r="M134">
        <v>1.1999999999999999E-3</v>
      </c>
      <c r="N134">
        <v>-4.2599999999999999E-2</v>
      </c>
      <c r="O134" t="str">
        <f t="shared" si="24"/>
        <v/>
      </c>
      <c r="P134" s="14" t="str">
        <f>IF(O134="","",(O134*G134/(IF(Q134="",constants!$F$2+constants!$A$2,timeSeries!Q134+constants!$A$2)*constants!$E$2))*(1/constants!$D$2)*10^3)</f>
        <v/>
      </c>
      <c r="Q134">
        <v>19.899999999999999</v>
      </c>
      <c r="R134" s="1" t="e">
        <f t="shared" si="19"/>
        <v>#VALUE!</v>
      </c>
    </row>
    <row r="135" spans="1:19">
      <c r="A135" t="str">
        <f t="shared" si="22"/>
        <v>WB 4B C</v>
      </c>
      <c r="B135">
        <v>2004</v>
      </c>
      <c r="C135">
        <v>9</v>
      </c>
      <c r="D135">
        <v>9</v>
      </c>
      <c r="E135">
        <f>IF(E123="","",IF(R135&lt;-1,E123+1,E123))</f>
        <v>3</v>
      </c>
      <c r="F135">
        <f t="shared" si="17"/>
        <v>14</v>
      </c>
      <c r="G135" s="11">
        <f>VLOOKUP(I135,jarInfo!$C$15:$G$32,5,FALSE)</f>
        <v>0.84883525375939861</v>
      </c>
      <c r="H135" s="11" t="str">
        <f t="shared" si="23"/>
        <v>WB-4B-C</v>
      </c>
      <c r="I135" t="s">
        <v>10</v>
      </c>
      <c r="J135">
        <v>1</v>
      </c>
      <c r="K135">
        <v>0.62708333333333333</v>
      </c>
      <c r="L135">
        <v>1067.0999999999999</v>
      </c>
      <c r="M135">
        <v>1.1999999999999999E-3</v>
      </c>
      <c r="N135">
        <v>-4.2599999999999999E-2</v>
      </c>
      <c r="O135">
        <f t="shared" si="24"/>
        <v>1.2379199999999999</v>
      </c>
      <c r="P135" s="14">
        <f>IF(O135="","",(O135*G135/(IF(Q135="",constants!$F$2+constants!$A$2,timeSeries!Q135+constants!$A$2)*constants!$E$2))*(1/constants!$D$2)*10^3)</f>
        <v>0.99289990594535371</v>
      </c>
      <c r="Q135">
        <v>19.899999999999999</v>
      </c>
      <c r="R135" s="1">
        <f t="shared" si="19"/>
        <v>0.55444000000000004</v>
      </c>
    </row>
    <row r="136" spans="1:19">
      <c r="A136" t="str">
        <f t="shared" si="22"/>
        <v>WB 5B C</v>
      </c>
      <c r="B136">
        <v>2004</v>
      </c>
      <c r="C136">
        <v>9</v>
      </c>
      <c r="D136">
        <v>9</v>
      </c>
      <c r="E136">
        <f>IF(E124="","",IF(R136&lt;-1,E124+1,E124))</f>
        <v>3</v>
      </c>
      <c r="F136">
        <f t="shared" si="17"/>
        <v>14</v>
      </c>
      <c r="G136" s="11">
        <f>VLOOKUP(I136,jarInfo!$C$15:$G$32,5,FALSE)</f>
        <v>0.90350278217821778</v>
      </c>
      <c r="H136" s="11" t="str">
        <f t="shared" si="23"/>
        <v>WB-5B-C</v>
      </c>
      <c r="I136" t="s">
        <v>11</v>
      </c>
      <c r="J136">
        <v>1</v>
      </c>
      <c r="K136">
        <v>0.62847222222222221</v>
      </c>
      <c r="L136">
        <v>2242.1999999999998</v>
      </c>
      <c r="M136">
        <v>1.1999999999999999E-3</v>
      </c>
      <c r="N136">
        <v>-4.2599999999999999E-2</v>
      </c>
      <c r="O136">
        <f t="shared" si="24"/>
        <v>2.6480399999999995</v>
      </c>
      <c r="P136" s="14">
        <f>IF(O136="","",(O136*G136/(IF(Q136="",constants!$F$2+constants!$A$2,timeSeries!Q136+constants!$A$2)*constants!$E$2))*(1/constants!$D$2)*10^3)</f>
        <v>2.2607030330697864</v>
      </c>
      <c r="Q136">
        <v>19.899999999999999</v>
      </c>
      <c r="R136" s="1">
        <f t="shared" si="19"/>
        <v>0.64383999999999952</v>
      </c>
    </row>
    <row r="137" spans="1:19">
      <c r="A137" t="str">
        <f t="shared" si="22"/>
        <v>WB 6E C</v>
      </c>
      <c r="B137">
        <v>2004</v>
      </c>
      <c r="C137">
        <v>9</v>
      </c>
      <c r="D137">
        <v>9</v>
      </c>
      <c r="E137">
        <f>IF(E125="","",IF(R137&lt;-1,E125+1,E125))</f>
        <v>3</v>
      </c>
      <c r="F137">
        <f t="shared" si="17"/>
        <v>14</v>
      </c>
      <c r="G137" s="11">
        <f>VLOOKUP(I137,jarInfo!$C$15:$G$32,5,FALSE)</f>
        <v>0.84358970065481675</v>
      </c>
      <c r="H137" s="11" t="str">
        <f t="shared" si="23"/>
        <v>WB-6E-C</v>
      </c>
      <c r="I137" t="s">
        <v>12</v>
      </c>
      <c r="J137">
        <v>1</v>
      </c>
      <c r="K137">
        <v>0.62986111111111098</v>
      </c>
      <c r="L137">
        <v>846.11</v>
      </c>
      <c r="M137">
        <v>1.1999999999999999E-3</v>
      </c>
      <c r="N137">
        <v>-4.2599999999999999E-2</v>
      </c>
      <c r="O137">
        <f t="shared" si="24"/>
        <v>0.97273199999999993</v>
      </c>
      <c r="P137" s="14">
        <f>IF(O137="","",(O137*G137/(IF(Q137="",constants!$F$2+constants!$A$2,timeSeries!Q137+constants!$A$2)*constants!$E$2))*(1/constants!$D$2)*10^3)</f>
        <v>0.77537885541836782</v>
      </c>
      <c r="Q137">
        <v>19.899999999999999</v>
      </c>
      <c r="R137" s="1">
        <f t="shared" si="19"/>
        <v>0.42343600000000003</v>
      </c>
    </row>
    <row r="138" spans="1:19">
      <c r="A138" t="str">
        <f t="shared" si="22"/>
        <v>WB 7E C</v>
      </c>
      <c r="B138">
        <v>2004</v>
      </c>
      <c r="C138">
        <v>9</v>
      </c>
      <c r="D138">
        <v>9</v>
      </c>
      <c r="E138" t="str">
        <f>IF(E126="","",IF(R138&lt;-1,E126+1,E126))</f>
        <v/>
      </c>
      <c r="F138">
        <f t="shared" si="17"/>
        <v>9</v>
      </c>
      <c r="G138" s="11">
        <f>VLOOKUP(I138,jarInfo!$C$15:$G$32,5,FALSE)</f>
        <v>0.90097950592885423</v>
      </c>
      <c r="H138" s="11" t="str">
        <f t="shared" si="23"/>
        <v>WB-7E-C</v>
      </c>
      <c r="I138" t="s">
        <v>13</v>
      </c>
      <c r="M138">
        <v>1.1999999999999999E-3</v>
      </c>
      <c r="N138">
        <v>-4.2599999999999999E-2</v>
      </c>
      <c r="O138" t="str">
        <f t="shared" si="24"/>
        <v/>
      </c>
      <c r="P138" s="14" t="str">
        <f>IF(O138="","",(O138*G138/(IF(Q138="",constants!$F$2+constants!$A$2,timeSeries!Q138+constants!$A$2)*constants!$E$2))*(1/constants!$D$2)*10^3)</f>
        <v/>
      </c>
      <c r="Q138">
        <v>19.899999999999999</v>
      </c>
      <c r="R138" s="1" t="e">
        <f t="shared" si="19"/>
        <v>#VALUE!</v>
      </c>
    </row>
    <row r="139" spans="1:19">
      <c r="A139" t="str">
        <f t="shared" si="22"/>
        <v>WB 8B C</v>
      </c>
      <c r="B139">
        <v>2004</v>
      </c>
      <c r="C139">
        <v>9</v>
      </c>
      <c r="D139">
        <v>9</v>
      </c>
      <c r="F139">
        <f t="shared" si="17"/>
        <v>13</v>
      </c>
      <c r="G139" s="11">
        <f>VLOOKUP(I139,jarInfo!$C$15:$G$32,5,FALSE)</f>
        <v>0.85318028328611917</v>
      </c>
      <c r="H139" s="11" t="str">
        <f t="shared" si="23"/>
        <v>WB-8B-C</v>
      </c>
      <c r="I139" t="s">
        <v>14</v>
      </c>
      <c r="M139">
        <v>1.1999999999999999E-3</v>
      </c>
      <c r="N139">
        <v>-4.2599999999999999E-2</v>
      </c>
      <c r="O139" t="str">
        <f t="shared" si="24"/>
        <v/>
      </c>
      <c r="P139" s="14" t="str">
        <f>IF(O139="","",(O139*G139/(IF(Q139="",constants!$F$2+constants!$A$2,timeSeries!Q139+constants!$A$2)*constants!$E$2))*(1/constants!$D$2)*10^3)</f>
        <v/>
      </c>
      <c r="Q139">
        <v>19.899999999999999</v>
      </c>
      <c r="R139" s="1" t="e">
        <f t="shared" si="19"/>
        <v>#VALUE!</v>
      </c>
    </row>
    <row r="140" spans="1:19">
      <c r="A140" t="str">
        <f t="shared" si="22"/>
        <v>TVA 2B C</v>
      </c>
      <c r="B140">
        <v>2004</v>
      </c>
      <c r="C140">
        <v>9</v>
      </c>
      <c r="D140">
        <v>9</v>
      </c>
      <c r="E140">
        <v>4</v>
      </c>
      <c r="F140">
        <f t="shared" si="17"/>
        <v>13</v>
      </c>
      <c r="G140" s="11">
        <f>VLOOKUP(I140,jarInfo!$C$15:$G$32,5,FALSE)</f>
        <v>0.8766205217391303</v>
      </c>
      <c r="H140" s="11" t="str">
        <f t="shared" si="23"/>
        <v>TVA-2B-C</v>
      </c>
      <c r="I140" t="s">
        <v>15</v>
      </c>
      <c r="J140">
        <v>1</v>
      </c>
      <c r="K140">
        <v>0.63124999999999998</v>
      </c>
      <c r="L140">
        <v>730.37</v>
      </c>
      <c r="M140">
        <v>1.1999999999999999E-3</v>
      </c>
      <c r="N140">
        <v>-4.2599999999999999E-2</v>
      </c>
      <c r="O140">
        <f t="shared" si="24"/>
        <v>0.83384399999999992</v>
      </c>
      <c r="P140" s="14">
        <f>IF(O140="","",(O140*G140/(IF(Q140="",constants!$F$2+constants!$A$2,timeSeries!Q140+constants!$A$2)*constants!$E$2))*(1/constants!$D$2)*10^3)</f>
        <v>0.69069438128471616</v>
      </c>
      <c r="Q140">
        <v>19.899999999999999</v>
      </c>
      <c r="R140" s="1">
        <f t="shared" si="19"/>
        <v>-0.44663600000000014</v>
      </c>
      <c r="S140" t="s">
        <v>26</v>
      </c>
    </row>
    <row r="141" spans="1:19">
      <c r="A141" t="str">
        <f t="shared" si="22"/>
        <v>TVA 3B C</v>
      </c>
      <c r="B141">
        <v>2004</v>
      </c>
      <c r="C141">
        <v>9</v>
      </c>
      <c r="D141">
        <v>9</v>
      </c>
      <c r="E141">
        <f>IF(E129="","",IF(R141&lt;-1,E129+1,E129))</f>
        <v>1</v>
      </c>
      <c r="F141">
        <f t="shared" si="17"/>
        <v>14</v>
      </c>
      <c r="G141" s="11">
        <f>VLOOKUP(I141,jarInfo!$C$15:$G$32,5,FALSE)</f>
        <v>0.84358970065481675</v>
      </c>
      <c r="H141" s="11" t="str">
        <f t="shared" si="23"/>
        <v>TVA-3B-C</v>
      </c>
      <c r="I141" t="s">
        <v>16</v>
      </c>
      <c r="J141">
        <v>1</v>
      </c>
      <c r="K141">
        <v>0.63263888888888886</v>
      </c>
      <c r="L141">
        <v>2700.8</v>
      </c>
      <c r="M141">
        <v>1.1999999999999999E-3</v>
      </c>
      <c r="N141">
        <v>-4.2599999999999999E-2</v>
      </c>
      <c r="O141">
        <f t="shared" si="24"/>
        <v>3.1983599999999996</v>
      </c>
      <c r="P141" s="14">
        <f>IF(O141="","",(O141*G141/(IF(Q141="",constants!$F$2+constants!$A$2,timeSeries!Q141+constants!$A$2)*constants!$E$2))*(1/constants!$D$2)*10^3)</f>
        <v>2.5494593742324616</v>
      </c>
      <c r="Q141">
        <v>19.899999999999999</v>
      </c>
      <c r="R141" s="1">
        <f t="shared" si="19"/>
        <v>0.6728799999999997</v>
      </c>
    </row>
    <row r="142" spans="1:19">
      <c r="A142" t="str">
        <f t="shared" si="22"/>
        <v>TVA 4E C</v>
      </c>
      <c r="B142">
        <v>2004</v>
      </c>
      <c r="C142">
        <v>9</v>
      </c>
      <c r="D142">
        <v>9</v>
      </c>
      <c r="E142" t="str">
        <f>IF(E130="","",IF(R142&lt;-1,E130+1,E130))</f>
        <v/>
      </c>
      <c r="F142">
        <f t="shared" si="17"/>
        <v>12</v>
      </c>
      <c r="G142" s="11">
        <f>VLOOKUP(I142,jarInfo!$C$15:$G$32,5,FALSE)</f>
        <v>0.81648999999999938</v>
      </c>
      <c r="H142" s="11" t="str">
        <f t="shared" si="23"/>
        <v>TVA-4E-C</v>
      </c>
      <c r="I142" t="s">
        <v>17</v>
      </c>
      <c r="M142">
        <v>1.1999999999999999E-3</v>
      </c>
      <c r="N142">
        <v>-4.2599999999999999E-2</v>
      </c>
      <c r="O142" t="str">
        <f t="shared" si="24"/>
        <v/>
      </c>
      <c r="P142" s="14" t="str">
        <f>IF(O142="","",(O142*G142/(IF(Q142="",constants!$F$2+constants!$A$2,timeSeries!Q142+constants!$A$2)*constants!$E$2))*(1/constants!$D$2)*10^3)</f>
        <v/>
      </c>
      <c r="Q142">
        <v>19.899999999999999</v>
      </c>
      <c r="R142" s="1" t="e">
        <f t="shared" si="19"/>
        <v>#VALUE!</v>
      </c>
    </row>
    <row r="143" spans="1:19">
      <c r="A143" t="str">
        <f t="shared" si="22"/>
        <v>TVA 5B C</v>
      </c>
      <c r="B143">
        <v>2004</v>
      </c>
      <c r="C143">
        <v>9</v>
      </c>
      <c r="D143">
        <v>9</v>
      </c>
      <c r="E143">
        <f>IF(E131="","",IF(R143&lt;-1,E131+1,E131))</f>
        <v>2</v>
      </c>
      <c r="F143">
        <f t="shared" si="17"/>
        <v>14</v>
      </c>
      <c r="G143" s="11">
        <f>VLOOKUP(I143,jarInfo!$C$15:$G$32,5,FALSE)</f>
        <v>0.90174231454005915</v>
      </c>
      <c r="H143" s="11" t="str">
        <f t="shared" si="23"/>
        <v>TVA-5B-C</v>
      </c>
      <c r="I143" t="s">
        <v>18</v>
      </c>
      <c r="J143">
        <v>1</v>
      </c>
      <c r="K143">
        <v>0.63402777777777775</v>
      </c>
      <c r="L143">
        <v>2810.7</v>
      </c>
      <c r="M143">
        <v>1.1999999999999999E-3</v>
      </c>
      <c r="N143">
        <v>-4.2599999999999999E-2</v>
      </c>
      <c r="O143">
        <f t="shared" si="24"/>
        <v>3.3302399999999994</v>
      </c>
      <c r="P143" s="14">
        <f>IF(O143="","",(O143*G143/(IF(Q143="",constants!$F$2+constants!$A$2,timeSeries!Q143+constants!$A$2)*constants!$E$2))*(1/constants!$D$2)*10^3)</f>
        <v>2.8375757509296107</v>
      </c>
      <c r="Q143">
        <v>19.899999999999999</v>
      </c>
      <c r="R143" s="1">
        <f t="shared" ref="R143:R144" si="26">O143-O131</f>
        <v>0.51147999999999927</v>
      </c>
    </row>
    <row r="144" spans="1:19">
      <c r="A144" t="str">
        <f t="shared" si="22"/>
        <v>TVA 6E C</v>
      </c>
      <c r="B144">
        <v>2004</v>
      </c>
      <c r="C144">
        <v>9</v>
      </c>
      <c r="D144">
        <v>9</v>
      </c>
      <c r="E144">
        <f>IF(E132="","",IF(R144&lt;-1,E132+1,E132))</f>
        <v>3</v>
      </c>
      <c r="F144">
        <f t="shared" si="17"/>
        <v>14</v>
      </c>
      <c r="G144" s="11">
        <f>VLOOKUP(I144,jarInfo!$C$15:$G$32,5,FALSE)</f>
        <v>0.82377173394495395</v>
      </c>
      <c r="H144" s="11" t="str">
        <f t="shared" si="23"/>
        <v>TVA-6E-C</v>
      </c>
      <c r="I144" t="s">
        <v>19</v>
      </c>
      <c r="J144">
        <v>1</v>
      </c>
      <c r="K144">
        <v>0.63541666666666663</v>
      </c>
      <c r="L144">
        <v>2213.1999999999998</v>
      </c>
      <c r="M144">
        <v>1.1999999999999999E-3</v>
      </c>
      <c r="N144">
        <v>-4.2599999999999999E-2</v>
      </c>
      <c r="O144">
        <f t="shared" si="24"/>
        <v>2.6132399999999993</v>
      </c>
      <c r="P144" s="14">
        <f>IF(O144="","",(O144*G144/(IF(Q144="",constants!$F$2+constants!$A$2,timeSeries!Q144+constants!$A$2)*constants!$E$2))*(1/constants!$D$2)*10^3)</f>
        <v>2.0341157606581795</v>
      </c>
      <c r="Q144">
        <v>19.899999999999999</v>
      </c>
      <c r="R144" s="1">
        <f t="shared" si="26"/>
        <v>0.67539999999999933</v>
      </c>
    </row>
    <row r="145" spans="1:19">
      <c r="A145" t="str">
        <f t="shared" si="22"/>
        <v>TVA 8E C</v>
      </c>
      <c r="B145">
        <v>2004</v>
      </c>
      <c r="C145">
        <v>9</v>
      </c>
      <c r="D145">
        <v>9</v>
      </c>
      <c r="E145">
        <f>IF(E133="","",IF(R145&lt;-1,E133+1,E133))</f>
        <v>2</v>
      </c>
      <c r="F145">
        <f t="shared" si="17"/>
        <v>14</v>
      </c>
      <c r="G145" s="11">
        <f>VLOOKUP(I145,jarInfo!$C$15:$G$32,5,FALSE)</f>
        <v>0.8628167016205911</v>
      </c>
      <c r="H145" s="11" t="str">
        <f t="shared" si="23"/>
        <v>TVA-8E-C</v>
      </c>
      <c r="I145" t="s">
        <v>20</v>
      </c>
      <c r="J145">
        <v>1</v>
      </c>
      <c r="K145">
        <v>0.63680555555555551</v>
      </c>
      <c r="L145">
        <v>2361.8000000000002</v>
      </c>
      <c r="M145">
        <v>1.1999999999999999E-3</v>
      </c>
      <c r="N145">
        <v>-4.2599999999999999E-2</v>
      </c>
      <c r="O145">
        <f t="shared" si="24"/>
        <v>2.7915599999999996</v>
      </c>
      <c r="P145" s="14">
        <f>IF(O145="","",(O145*G145/(IF(Q145="",constants!$F$2+constants!$A$2,timeSeries!Q145+constants!$A$2)*constants!$E$2))*(1/constants!$D$2)*10^3)</f>
        <v>2.2759095155796625</v>
      </c>
      <c r="Q145">
        <v>19.899999999999999</v>
      </c>
      <c r="R145" s="1">
        <f>O145-O133</f>
        <v>0.12159999999999949</v>
      </c>
    </row>
    <row r="146" spans="1:19">
      <c r="A146" t="str">
        <f t="shared" si="22"/>
        <v>WB 3E C</v>
      </c>
      <c r="B146">
        <v>2004</v>
      </c>
      <c r="C146">
        <v>9</v>
      </c>
      <c r="D146">
        <v>10</v>
      </c>
      <c r="F146">
        <f>IF(E146="",F134,F134+D146-D134)</f>
        <v>8</v>
      </c>
      <c r="G146" s="11">
        <f>VLOOKUP(I146,jarInfo!$C$15:$G$32,5,FALSE)</f>
        <v>0.87917959341723062</v>
      </c>
      <c r="H146" s="11" t="str">
        <f t="shared" si="23"/>
        <v>WB-3E-C</v>
      </c>
      <c r="I146" t="s">
        <v>9</v>
      </c>
      <c r="O146" t="str">
        <f t="shared" si="24"/>
        <v/>
      </c>
      <c r="P146" s="14" t="str">
        <f>IF(O146="","",(O146*G146/(IF(Q146="",constants!$F$2+constants!$A$2,timeSeries!Q146+constants!$A$2)*constants!$E$2))*(1/constants!$D$2)*10^3)</f>
        <v/>
      </c>
      <c r="S146" t="s">
        <v>41</v>
      </c>
    </row>
    <row r="147" spans="1:19">
      <c r="A147" t="str">
        <f t="shared" si="22"/>
        <v>WB 4B C</v>
      </c>
      <c r="B147">
        <v>2004</v>
      </c>
      <c r="C147">
        <v>9</v>
      </c>
      <c r="D147">
        <v>10</v>
      </c>
      <c r="F147">
        <f t="shared" si="17"/>
        <v>14</v>
      </c>
      <c r="G147" s="11">
        <f>VLOOKUP(I147,jarInfo!$C$15:$G$32,5,FALSE)</f>
        <v>0.84883525375939861</v>
      </c>
      <c r="H147" s="11" t="str">
        <f t="shared" si="23"/>
        <v>WB-4B-C</v>
      </c>
      <c r="I147" t="s">
        <v>10</v>
      </c>
      <c r="O147" t="str">
        <f t="shared" si="24"/>
        <v/>
      </c>
      <c r="P147" s="14" t="str">
        <f>IF(O147="","",(O147*G147/(IF(Q147="",constants!$F$2+constants!$A$2,timeSeries!Q147+constants!$A$2)*constants!$E$2))*(1/constants!$D$2)*10^3)</f>
        <v/>
      </c>
      <c r="S147" t="s">
        <v>41</v>
      </c>
    </row>
    <row r="148" spans="1:19">
      <c r="A148" t="str">
        <f t="shared" si="22"/>
        <v>WB 5B C</v>
      </c>
      <c r="B148">
        <v>2004</v>
      </c>
      <c r="C148">
        <v>9</v>
      </c>
      <c r="D148">
        <v>10</v>
      </c>
      <c r="F148">
        <f t="shared" si="17"/>
        <v>14</v>
      </c>
      <c r="G148" s="11">
        <f>VLOOKUP(I148,jarInfo!$C$15:$G$32,5,FALSE)</f>
        <v>0.90350278217821778</v>
      </c>
      <c r="H148" s="11" t="str">
        <f t="shared" si="23"/>
        <v>WB-5B-C</v>
      </c>
      <c r="I148" t="s">
        <v>11</v>
      </c>
      <c r="O148" t="str">
        <f t="shared" si="24"/>
        <v/>
      </c>
      <c r="P148" s="14" t="str">
        <f>IF(O148="","",(O148*G148/(IF(Q148="",constants!$F$2+constants!$A$2,timeSeries!Q148+constants!$A$2)*constants!$E$2))*(1/constants!$D$2)*10^3)</f>
        <v/>
      </c>
      <c r="S148" t="s">
        <v>41</v>
      </c>
    </row>
    <row r="149" spans="1:19">
      <c r="A149" t="str">
        <f t="shared" si="22"/>
        <v>WB 6E C</v>
      </c>
      <c r="B149">
        <v>2004</v>
      </c>
      <c r="C149">
        <v>9</v>
      </c>
      <c r="D149">
        <v>10</v>
      </c>
      <c r="F149">
        <f t="shared" si="17"/>
        <v>14</v>
      </c>
      <c r="G149" s="11">
        <f>VLOOKUP(I149,jarInfo!$C$15:$G$32,5,FALSE)</f>
        <v>0.84358970065481675</v>
      </c>
      <c r="H149" s="11" t="str">
        <f t="shared" si="23"/>
        <v>WB-6E-C</v>
      </c>
      <c r="I149" t="s">
        <v>12</v>
      </c>
      <c r="O149" t="str">
        <f t="shared" si="24"/>
        <v/>
      </c>
      <c r="P149" s="14" t="str">
        <f>IF(O149="","",(O149*G149/(IF(Q149="",constants!$F$2+constants!$A$2,timeSeries!Q149+constants!$A$2)*constants!$E$2))*(1/constants!$D$2)*10^3)</f>
        <v/>
      </c>
      <c r="S149" t="s">
        <v>41</v>
      </c>
    </row>
    <row r="150" spans="1:19">
      <c r="A150" t="str">
        <f t="shared" si="22"/>
        <v>WB 7E C</v>
      </c>
      <c r="B150">
        <v>2004</v>
      </c>
      <c r="C150">
        <v>9</v>
      </c>
      <c r="D150">
        <v>10</v>
      </c>
      <c r="F150">
        <f t="shared" si="17"/>
        <v>9</v>
      </c>
      <c r="G150" s="11">
        <f>VLOOKUP(I150,jarInfo!$C$15:$G$32,5,FALSE)</f>
        <v>0.90097950592885423</v>
      </c>
      <c r="H150" s="11" t="str">
        <f t="shared" si="23"/>
        <v>WB-7E-C</v>
      </c>
      <c r="I150" t="s">
        <v>13</v>
      </c>
      <c r="O150" t="str">
        <f t="shared" si="24"/>
        <v/>
      </c>
      <c r="P150" s="14" t="str">
        <f>IF(O150="","",(O150*G150/(IF(Q150="",constants!$F$2+constants!$A$2,timeSeries!Q150+constants!$A$2)*constants!$E$2))*(1/constants!$D$2)*10^3)</f>
        <v/>
      </c>
      <c r="S150" t="s">
        <v>41</v>
      </c>
    </row>
    <row r="151" spans="1:19">
      <c r="A151" t="str">
        <f t="shared" si="22"/>
        <v>WB 8B C</v>
      </c>
      <c r="B151">
        <v>2004</v>
      </c>
      <c r="C151">
        <v>9</v>
      </c>
      <c r="D151">
        <v>10</v>
      </c>
      <c r="F151">
        <f t="shared" si="17"/>
        <v>13</v>
      </c>
      <c r="G151" s="11">
        <f>VLOOKUP(I151,jarInfo!$C$15:$G$32,5,FALSE)</f>
        <v>0.85318028328611917</v>
      </c>
      <c r="H151" s="11" t="str">
        <f t="shared" si="23"/>
        <v>WB-8B-C</v>
      </c>
      <c r="I151" t="s">
        <v>14</v>
      </c>
      <c r="O151" t="str">
        <f t="shared" si="24"/>
        <v/>
      </c>
      <c r="P151" s="14" t="str">
        <f>IF(O151="","",(O151*G151/(IF(Q151="",constants!$F$2+constants!$A$2,timeSeries!Q151+constants!$A$2)*constants!$E$2))*(1/constants!$D$2)*10^3)</f>
        <v/>
      </c>
      <c r="S151" t="s">
        <v>41</v>
      </c>
    </row>
    <row r="152" spans="1:19">
      <c r="A152" t="str">
        <f t="shared" si="22"/>
        <v>TVA 2B C</v>
      </c>
      <c r="B152">
        <v>2004</v>
      </c>
      <c r="C152">
        <v>9</v>
      </c>
      <c r="D152">
        <v>10</v>
      </c>
      <c r="F152">
        <f t="shared" si="17"/>
        <v>13</v>
      </c>
      <c r="G152" s="11">
        <f>VLOOKUP(I152,jarInfo!$C$15:$G$32,5,FALSE)</f>
        <v>0.8766205217391303</v>
      </c>
      <c r="H152" s="11" t="str">
        <f t="shared" si="23"/>
        <v>TVA-2B-C</v>
      </c>
      <c r="I152" t="s">
        <v>15</v>
      </c>
      <c r="O152" t="str">
        <f t="shared" si="24"/>
        <v/>
      </c>
      <c r="P152" s="14" t="str">
        <f>IF(O152="","",(O152*G152/(IF(Q152="",constants!$F$2+constants!$A$2,timeSeries!Q152+constants!$A$2)*constants!$E$2))*(1/constants!$D$2)*10^3)</f>
        <v/>
      </c>
      <c r="S152" t="s">
        <v>41</v>
      </c>
    </row>
    <row r="153" spans="1:19">
      <c r="A153" t="str">
        <f t="shared" si="22"/>
        <v>TVA 3B C</v>
      </c>
      <c r="B153">
        <v>2004</v>
      </c>
      <c r="C153">
        <v>9</v>
      </c>
      <c r="D153">
        <v>10</v>
      </c>
      <c r="E153">
        <v>1</v>
      </c>
      <c r="F153">
        <f t="shared" si="17"/>
        <v>15</v>
      </c>
      <c r="G153" s="11">
        <f>VLOOKUP(I153,jarInfo!$C$15:$G$32,5,FALSE)</f>
        <v>0.84358970065481675</v>
      </c>
      <c r="H153" s="11" t="str">
        <f t="shared" si="23"/>
        <v>TVA-3B-C</v>
      </c>
      <c r="I153" t="s">
        <v>16</v>
      </c>
      <c r="J153">
        <v>1</v>
      </c>
      <c r="K153">
        <v>0.64444444444444449</v>
      </c>
      <c r="L153">
        <v>2431.1999999999998</v>
      </c>
      <c r="M153">
        <v>1.1999999999999999E-3</v>
      </c>
      <c r="N153">
        <v>6.5000000000000002E-2</v>
      </c>
      <c r="O153">
        <f t="shared" si="24"/>
        <v>2.9824399999999995</v>
      </c>
      <c r="P153" s="14">
        <f>IF(O153="","",(O153*G153/(IF(Q153="",constants!$F$2+constants!$A$2,timeSeries!Q153+constants!$A$2)*constants!$E$2))*(1/constants!$D$2)*10^3)</f>
        <v>2.3757250164387442</v>
      </c>
      <c r="Q153">
        <v>20.100000000000001</v>
      </c>
      <c r="R153" s="1">
        <f>O153-O141</f>
        <v>-0.21592000000000011</v>
      </c>
      <c r="S153" t="s">
        <v>41</v>
      </c>
    </row>
    <row r="154" spans="1:19">
      <c r="A154" t="str">
        <f t="shared" si="22"/>
        <v>TVA 4E C</v>
      </c>
      <c r="B154">
        <v>2004</v>
      </c>
      <c r="C154">
        <v>9</v>
      </c>
      <c r="D154">
        <v>10</v>
      </c>
      <c r="F154">
        <f t="shared" si="17"/>
        <v>12</v>
      </c>
      <c r="G154" s="11">
        <f>VLOOKUP(I154,jarInfo!$C$15:$G$32,5,FALSE)</f>
        <v>0.81648999999999938</v>
      </c>
      <c r="H154" s="11" t="str">
        <f t="shared" si="23"/>
        <v>TVA-4E-C</v>
      </c>
      <c r="I154" t="s">
        <v>17</v>
      </c>
      <c r="O154" t="str">
        <f t="shared" si="24"/>
        <v/>
      </c>
      <c r="P154" s="14" t="str">
        <f>IF(O154="","",(O154*G154/(IF(Q154="",constants!$F$2+constants!$A$2,timeSeries!Q154+constants!$A$2)*constants!$E$2))*(1/constants!$D$2)*10^3)</f>
        <v/>
      </c>
      <c r="S154" t="s">
        <v>41</v>
      </c>
    </row>
    <row r="155" spans="1:19">
      <c r="A155" t="str">
        <f t="shared" si="22"/>
        <v>TVA 5B C</v>
      </c>
      <c r="B155">
        <v>2004</v>
      </c>
      <c r="C155">
        <v>9</v>
      </c>
      <c r="D155">
        <v>10</v>
      </c>
      <c r="F155">
        <f t="shared" si="17"/>
        <v>14</v>
      </c>
      <c r="G155" s="11">
        <f>VLOOKUP(I155,jarInfo!$C$15:$G$32,5,FALSE)</f>
        <v>0.90174231454005915</v>
      </c>
      <c r="H155" s="11" t="str">
        <f t="shared" si="23"/>
        <v>TVA-5B-C</v>
      </c>
      <c r="I155" t="s">
        <v>18</v>
      </c>
      <c r="O155" t="str">
        <f t="shared" si="24"/>
        <v/>
      </c>
      <c r="P155" s="14" t="str">
        <f>IF(O155="","",(O155*G155/(IF(Q155="",constants!$F$2+constants!$A$2,timeSeries!Q155+constants!$A$2)*constants!$E$2))*(1/constants!$D$2)*10^3)</f>
        <v/>
      </c>
      <c r="S155" t="s">
        <v>41</v>
      </c>
    </row>
    <row r="156" spans="1:19">
      <c r="A156" t="str">
        <f t="shared" si="22"/>
        <v>TVA 6E C</v>
      </c>
      <c r="B156">
        <v>2004</v>
      </c>
      <c r="C156">
        <v>9</v>
      </c>
      <c r="D156">
        <v>10</v>
      </c>
      <c r="F156">
        <f t="shared" si="17"/>
        <v>14</v>
      </c>
      <c r="G156" s="11">
        <f>VLOOKUP(I156,jarInfo!$C$15:$G$32,5,FALSE)</f>
        <v>0.82377173394495395</v>
      </c>
      <c r="H156" s="11" t="str">
        <f t="shared" si="23"/>
        <v>TVA-6E-C</v>
      </c>
      <c r="I156" t="s">
        <v>19</v>
      </c>
      <c r="O156" t="str">
        <f t="shared" si="24"/>
        <v/>
      </c>
      <c r="P156" s="14" t="str">
        <f>IF(O156="","",(O156*G156/(IF(Q156="",constants!$F$2+constants!$A$2,timeSeries!Q156+constants!$A$2)*constants!$E$2))*(1/constants!$D$2)*10^3)</f>
        <v/>
      </c>
      <c r="S156" t="s">
        <v>41</v>
      </c>
    </row>
    <row r="157" spans="1:19">
      <c r="A157" t="str">
        <f t="shared" si="22"/>
        <v>TVA 8E C</v>
      </c>
      <c r="B157">
        <v>2004</v>
      </c>
      <c r="C157">
        <v>9</v>
      </c>
      <c r="D157">
        <v>10</v>
      </c>
      <c r="F157">
        <f t="shared" si="17"/>
        <v>14</v>
      </c>
      <c r="G157" s="11">
        <f>VLOOKUP(I157,jarInfo!$C$15:$G$32,5,FALSE)</f>
        <v>0.8628167016205911</v>
      </c>
      <c r="H157" s="11" t="str">
        <f t="shared" si="23"/>
        <v>TVA-8E-C</v>
      </c>
      <c r="I157" t="s">
        <v>20</v>
      </c>
      <c r="O157" t="str">
        <f t="shared" si="24"/>
        <v/>
      </c>
      <c r="P157" s="14" t="str">
        <f>IF(O157="","",(O157*G157/(IF(Q157="",constants!$F$2+constants!$A$2,timeSeries!Q157+constants!$A$2)*constants!$E$2))*(1/constants!$D$2)*10^3)</f>
        <v/>
      </c>
      <c r="S157" t="s">
        <v>41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42" sqref="C42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7.33203125" bestFit="1" customWidth="1"/>
    <col min="4" max="4" width="14.33203125" bestFit="1" customWidth="1"/>
    <col min="5" max="5" width="17.33203125" bestFit="1" customWidth="1"/>
    <col min="6" max="6" width="14.33203125" bestFit="1" customWidth="1"/>
    <col min="7" max="7" width="17.33203125" bestFit="1" customWidth="1"/>
    <col min="8" max="8" width="14.33203125" bestFit="1" customWidth="1"/>
    <col min="9" max="9" width="17.33203125" bestFit="1" customWidth="1"/>
    <col min="10" max="10" width="14.33203125" bestFit="1" customWidth="1"/>
    <col min="11" max="11" width="17.33203125" bestFit="1" customWidth="1"/>
    <col min="12" max="12" width="14.33203125" bestFit="1" customWidth="1"/>
    <col min="13" max="13" width="17.33203125" bestFit="1" customWidth="1"/>
    <col min="14" max="14" width="18.83203125" bestFit="1" customWidth="1"/>
    <col min="15" max="15" width="22" bestFit="1" customWidth="1"/>
  </cols>
  <sheetData>
    <row r="1" spans="1:15">
      <c r="B1" s="2" t="s">
        <v>44</v>
      </c>
    </row>
    <row r="2" spans="1:15">
      <c r="B2">
        <v>1</v>
      </c>
      <c r="D2">
        <v>2</v>
      </c>
      <c r="F2">
        <v>3</v>
      </c>
      <c r="H2">
        <v>4</v>
      </c>
      <c r="L2" t="s">
        <v>45</v>
      </c>
      <c r="N2" t="s">
        <v>78</v>
      </c>
      <c r="O2" t="s">
        <v>79</v>
      </c>
    </row>
    <row r="3" spans="1:15">
      <c r="A3" s="2" t="s">
        <v>42</v>
      </c>
      <c r="B3" t="s">
        <v>68</v>
      </c>
      <c r="C3" t="s">
        <v>80</v>
      </c>
      <c r="D3" t="s">
        <v>68</v>
      </c>
      <c r="E3" t="s">
        <v>80</v>
      </c>
      <c r="F3" t="s">
        <v>68</v>
      </c>
      <c r="G3" t="s">
        <v>80</v>
      </c>
      <c r="H3" t="s">
        <v>68</v>
      </c>
      <c r="I3" t="s">
        <v>80</v>
      </c>
      <c r="J3" t="s">
        <v>68</v>
      </c>
      <c r="K3" t="s">
        <v>80</v>
      </c>
      <c r="L3" t="s">
        <v>68</v>
      </c>
      <c r="M3" t="s">
        <v>80</v>
      </c>
    </row>
    <row r="4" spans="1:15">
      <c r="A4" s="3" t="s">
        <v>15</v>
      </c>
      <c r="B4" s="4">
        <v>3.2566826410460306</v>
      </c>
      <c r="C4" s="4">
        <v>6</v>
      </c>
      <c r="D4" s="4">
        <v>0.91614122883375304</v>
      </c>
      <c r="E4" s="4">
        <v>8</v>
      </c>
      <c r="F4" s="4">
        <v>1.0606544405757594</v>
      </c>
      <c r="G4" s="4">
        <v>12</v>
      </c>
      <c r="H4" s="4">
        <v>0.69069438128471616</v>
      </c>
      <c r="I4" s="4">
        <v>13</v>
      </c>
      <c r="J4" s="4"/>
      <c r="K4" s="4"/>
      <c r="L4" s="4">
        <v>0</v>
      </c>
      <c r="M4" s="4">
        <v>13</v>
      </c>
      <c r="N4" s="4">
        <v>3.2566826410460306</v>
      </c>
      <c r="O4" s="4">
        <v>13</v>
      </c>
    </row>
    <row r="5" spans="1:15">
      <c r="A5" s="3" t="s">
        <v>16</v>
      </c>
      <c r="B5" s="4">
        <v>2.5494593742324616</v>
      </c>
      <c r="C5" s="4">
        <v>15</v>
      </c>
      <c r="D5" s="4"/>
      <c r="E5" s="4"/>
      <c r="F5" s="4"/>
      <c r="G5" s="4"/>
      <c r="H5" s="4"/>
      <c r="I5" s="4"/>
      <c r="J5" s="4"/>
      <c r="K5" s="4"/>
      <c r="L5" s="4"/>
      <c r="M5" s="4"/>
      <c r="N5" s="4">
        <v>2.5494593742324616</v>
      </c>
      <c r="O5" s="4">
        <v>15</v>
      </c>
    </row>
    <row r="6" spans="1:15">
      <c r="A6" s="3" t="s">
        <v>17</v>
      </c>
      <c r="B6" s="4">
        <v>3.1380916378898345</v>
      </c>
      <c r="C6" s="4">
        <v>3</v>
      </c>
      <c r="D6" s="4">
        <v>3.5004222461474841</v>
      </c>
      <c r="E6" s="4">
        <v>7</v>
      </c>
      <c r="F6" s="4">
        <v>3.4843176066530748</v>
      </c>
      <c r="G6" s="4">
        <v>12</v>
      </c>
      <c r="H6" s="4"/>
      <c r="I6" s="4"/>
      <c r="J6" s="4">
        <v>0</v>
      </c>
      <c r="K6" s="4">
        <v>12</v>
      </c>
      <c r="L6" s="4">
        <v>0</v>
      </c>
      <c r="M6" s="4">
        <v>12</v>
      </c>
      <c r="N6" s="4">
        <v>3.5004222461474841</v>
      </c>
      <c r="O6" s="4">
        <v>12</v>
      </c>
    </row>
    <row r="7" spans="1:15">
      <c r="A7" s="3" t="s">
        <v>18</v>
      </c>
      <c r="B7" s="4">
        <v>3.9192962846802195</v>
      </c>
      <c r="C7" s="4">
        <v>6</v>
      </c>
      <c r="D7" s="4">
        <v>2.8375757509296107</v>
      </c>
      <c r="E7" s="4">
        <v>14</v>
      </c>
      <c r="F7" s="4"/>
      <c r="G7" s="4"/>
      <c r="H7" s="4"/>
      <c r="I7" s="4"/>
      <c r="J7" s="4"/>
      <c r="K7" s="4"/>
      <c r="L7" s="4">
        <v>0</v>
      </c>
      <c r="M7" s="4">
        <v>14</v>
      </c>
      <c r="N7" s="4">
        <v>3.9192962846802195</v>
      </c>
      <c r="O7" s="4">
        <v>14</v>
      </c>
    </row>
    <row r="8" spans="1:15">
      <c r="A8" s="3" t="s">
        <v>19</v>
      </c>
      <c r="B8" s="4">
        <v>3.1215947541732914</v>
      </c>
      <c r="C8" s="4">
        <v>4</v>
      </c>
      <c r="D8" s="4">
        <v>2.800894814963939</v>
      </c>
      <c r="E8" s="4">
        <v>9</v>
      </c>
      <c r="F8" s="4">
        <v>2.0341157606581795</v>
      </c>
      <c r="G8" s="4">
        <v>14</v>
      </c>
      <c r="H8" s="4"/>
      <c r="I8" s="4"/>
      <c r="J8" s="4"/>
      <c r="K8" s="4"/>
      <c r="L8" s="4">
        <v>0</v>
      </c>
      <c r="M8" s="4">
        <v>14</v>
      </c>
      <c r="N8" s="4">
        <v>3.1215947541732914</v>
      </c>
      <c r="O8" s="4">
        <v>14</v>
      </c>
    </row>
    <row r="9" spans="1:15">
      <c r="A9" s="3" t="s">
        <v>20</v>
      </c>
      <c r="B9" s="4">
        <v>3.4853172389828453</v>
      </c>
      <c r="C9" s="4">
        <v>6</v>
      </c>
      <c r="D9" s="4">
        <v>2.2759095155796625</v>
      </c>
      <c r="E9" s="4">
        <v>14</v>
      </c>
      <c r="F9" s="4"/>
      <c r="G9" s="4"/>
      <c r="H9" s="4"/>
      <c r="I9" s="4"/>
      <c r="J9" s="4"/>
      <c r="K9" s="4"/>
      <c r="L9" s="4">
        <v>0</v>
      </c>
      <c r="M9" s="4">
        <v>14</v>
      </c>
      <c r="N9" s="4">
        <v>3.4853172389828453</v>
      </c>
      <c r="O9" s="4">
        <v>14</v>
      </c>
    </row>
    <row r="10" spans="1:15">
      <c r="A10" s="3" t="s">
        <v>9</v>
      </c>
      <c r="B10" s="4">
        <v>3.1198045577185658</v>
      </c>
      <c r="C10" s="4">
        <v>8</v>
      </c>
      <c r="D10" s="4"/>
      <c r="E10" s="4"/>
      <c r="F10" s="4"/>
      <c r="G10" s="4"/>
      <c r="H10" s="4"/>
      <c r="I10" s="4"/>
      <c r="J10" s="4">
        <v>0</v>
      </c>
      <c r="K10" s="4">
        <v>8</v>
      </c>
      <c r="L10" s="4">
        <v>0</v>
      </c>
      <c r="M10" s="4">
        <v>8</v>
      </c>
      <c r="N10" s="4">
        <v>3.1198045577185658</v>
      </c>
      <c r="O10" s="4">
        <v>8</v>
      </c>
    </row>
    <row r="11" spans="1:15">
      <c r="A11" s="3" t="s">
        <v>10</v>
      </c>
      <c r="B11" s="4">
        <v>4.150009906795769</v>
      </c>
      <c r="C11" s="4">
        <v>6</v>
      </c>
      <c r="D11" s="4">
        <v>2.4452247787131145</v>
      </c>
      <c r="E11" s="4">
        <v>12</v>
      </c>
      <c r="F11" s="4">
        <v>0.99289990594535371</v>
      </c>
      <c r="G11" s="4">
        <v>14</v>
      </c>
      <c r="H11" s="4"/>
      <c r="I11" s="4"/>
      <c r="J11" s="4"/>
      <c r="K11" s="4"/>
      <c r="L11" s="4">
        <v>0</v>
      </c>
      <c r="M11" s="4">
        <v>14</v>
      </c>
      <c r="N11" s="4">
        <v>4.150009906795769</v>
      </c>
      <c r="O11" s="4">
        <v>14</v>
      </c>
    </row>
    <row r="12" spans="1:15">
      <c r="A12" s="3" t="s">
        <v>11</v>
      </c>
      <c r="B12" s="4">
        <v>3.5762544548195714</v>
      </c>
      <c r="C12" s="4">
        <v>4</v>
      </c>
      <c r="D12" s="4">
        <v>3.1731498737648551</v>
      </c>
      <c r="E12" s="4">
        <v>9</v>
      </c>
      <c r="F12" s="4">
        <v>2.2607030330697864</v>
      </c>
      <c r="G12" s="4">
        <v>14</v>
      </c>
      <c r="H12" s="4"/>
      <c r="I12" s="4"/>
      <c r="J12" s="4"/>
      <c r="K12" s="4"/>
      <c r="L12" s="4">
        <v>0</v>
      </c>
      <c r="M12" s="4">
        <v>14</v>
      </c>
      <c r="N12" s="4">
        <v>3.5762544548195714</v>
      </c>
      <c r="O12" s="4">
        <v>14</v>
      </c>
    </row>
    <row r="13" spans="1:15">
      <c r="A13" s="3" t="s">
        <v>12</v>
      </c>
      <c r="B13" s="4">
        <v>3.6482437275723343</v>
      </c>
      <c r="C13" s="4">
        <v>6</v>
      </c>
      <c r="D13" s="4">
        <v>2.1836941637359732</v>
      </c>
      <c r="E13" s="4">
        <v>12</v>
      </c>
      <c r="F13" s="4">
        <v>0.77537885541836782</v>
      </c>
      <c r="G13" s="4">
        <v>14</v>
      </c>
      <c r="H13" s="4"/>
      <c r="I13" s="4"/>
      <c r="J13" s="4"/>
      <c r="K13" s="4"/>
      <c r="L13" s="4">
        <v>0</v>
      </c>
      <c r="M13" s="4">
        <v>14</v>
      </c>
      <c r="N13" s="4">
        <v>3.6482437275723343</v>
      </c>
      <c r="O13" s="4">
        <v>14</v>
      </c>
    </row>
    <row r="14" spans="1:15">
      <c r="A14" s="3" t="s">
        <v>13</v>
      </c>
      <c r="B14" s="4">
        <v>3.4931079217158678</v>
      </c>
      <c r="C14" s="4">
        <v>4</v>
      </c>
      <c r="D14" s="4">
        <v>3.2054364577766785</v>
      </c>
      <c r="E14" s="4">
        <v>9</v>
      </c>
      <c r="F14" s="4"/>
      <c r="G14" s="4"/>
      <c r="H14" s="4"/>
      <c r="I14" s="4"/>
      <c r="J14" s="4">
        <v>0</v>
      </c>
      <c r="K14" s="4">
        <v>9</v>
      </c>
      <c r="L14" s="4">
        <v>0</v>
      </c>
      <c r="M14" s="4">
        <v>9</v>
      </c>
      <c r="N14" s="4">
        <v>3.4931079217158678</v>
      </c>
      <c r="O14" s="4">
        <v>9</v>
      </c>
    </row>
    <row r="15" spans="1:15">
      <c r="A15" s="3" t="s">
        <v>14</v>
      </c>
      <c r="B15" s="4">
        <v>2.9997835695184385</v>
      </c>
      <c r="C15" s="4">
        <v>6</v>
      </c>
      <c r="D15" s="4">
        <v>1.1005157110409813</v>
      </c>
      <c r="E15" s="4">
        <v>9</v>
      </c>
      <c r="F15" s="4">
        <v>2.0020272006583295</v>
      </c>
      <c r="G15" s="4">
        <v>13</v>
      </c>
      <c r="H15" s="4"/>
      <c r="I15" s="4"/>
      <c r="J15" s="4"/>
      <c r="K15" s="4"/>
      <c r="L15" s="4">
        <v>0</v>
      </c>
      <c r="M15" s="4">
        <v>13</v>
      </c>
      <c r="N15" s="4">
        <v>2.9997835695184385</v>
      </c>
      <c r="O15" s="4">
        <v>13</v>
      </c>
    </row>
    <row r="16" spans="1:15">
      <c r="A16" s="3" t="s">
        <v>43</v>
      </c>
      <c r="B16" s="4">
        <v>4.150009906795769</v>
      </c>
      <c r="C16" s="4">
        <v>15</v>
      </c>
      <c r="D16" s="4">
        <v>3.5004222461474841</v>
      </c>
      <c r="E16" s="4">
        <v>14</v>
      </c>
      <c r="F16" s="4">
        <v>3.4843176066530748</v>
      </c>
      <c r="G16" s="4">
        <v>14</v>
      </c>
      <c r="H16" s="4">
        <v>0.69069438128471616</v>
      </c>
      <c r="I16" s="4">
        <v>13</v>
      </c>
      <c r="J16" s="4">
        <v>0</v>
      </c>
      <c r="K16" s="4">
        <v>12</v>
      </c>
      <c r="L16" s="4">
        <v>0</v>
      </c>
      <c r="M16" s="4">
        <v>14</v>
      </c>
      <c r="N16" s="4">
        <v>4.150009906795769</v>
      </c>
      <c r="O16" s="4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R1" workbookViewId="0">
      <selection activeCell="AB4" sqref="A4:AB4"/>
    </sheetView>
  </sheetViews>
  <sheetFormatPr baseColWidth="10" defaultRowHeight="15" x14ac:dyDescent="0"/>
  <sheetData>
    <row r="1" spans="1:31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98</v>
      </c>
      <c r="M1" t="s">
        <v>98</v>
      </c>
      <c r="N1" t="s">
        <v>98</v>
      </c>
      <c r="O1" t="s">
        <v>98</v>
      </c>
      <c r="P1" t="s">
        <v>99</v>
      </c>
      <c r="Q1" t="s">
        <v>99</v>
      </c>
      <c r="R1" t="s">
        <v>99</v>
      </c>
      <c r="S1" t="s">
        <v>99</v>
      </c>
      <c r="T1" t="s">
        <v>99</v>
      </c>
      <c r="U1" t="s">
        <v>100</v>
      </c>
      <c r="V1" t="s">
        <v>101</v>
      </c>
      <c r="W1" t="s">
        <v>90</v>
      </c>
      <c r="Z1" t="s">
        <v>101</v>
      </c>
      <c r="AA1" t="s">
        <v>102</v>
      </c>
      <c r="AB1" t="s">
        <v>103</v>
      </c>
    </row>
    <row r="2" spans="1:31">
      <c r="A2" t="s">
        <v>104</v>
      </c>
      <c r="F2" t="s">
        <v>105</v>
      </c>
      <c r="G2" t="s">
        <v>106</v>
      </c>
      <c r="J2" t="s">
        <v>107</v>
      </c>
      <c r="K2">
        <v>1</v>
      </c>
      <c r="L2">
        <v>2</v>
      </c>
      <c r="M2">
        <v>3</v>
      </c>
      <c r="N2">
        <v>4</v>
      </c>
      <c r="O2">
        <v>5</v>
      </c>
      <c r="P2">
        <v>1</v>
      </c>
      <c r="Q2">
        <v>2</v>
      </c>
      <c r="R2">
        <v>3</v>
      </c>
      <c r="S2">
        <v>4</v>
      </c>
      <c r="T2">
        <v>5</v>
      </c>
      <c r="AB2" t="s">
        <v>108</v>
      </c>
    </row>
    <row r="3" spans="1:31">
      <c r="D3">
        <v>1.9516090000000007E-2</v>
      </c>
      <c r="E3">
        <v>0.13970000000000002</v>
      </c>
      <c r="F3">
        <v>217</v>
      </c>
      <c r="G3">
        <v>2.1700000000000001E-2</v>
      </c>
      <c r="AC3" t="s">
        <v>109</v>
      </c>
      <c r="AD3" t="s">
        <v>110</v>
      </c>
    </row>
    <row r="4" spans="1:31">
      <c r="A4">
        <v>1</v>
      </c>
      <c r="C4" t="s">
        <v>9</v>
      </c>
      <c r="E4">
        <v>54.57</v>
      </c>
      <c r="G4">
        <v>2.3999999999999998E-3</v>
      </c>
      <c r="H4">
        <v>54.57</v>
      </c>
      <c r="J4">
        <v>0.87917959341723062</v>
      </c>
      <c r="K4">
        <v>0.45554074074074058</v>
      </c>
      <c r="L4">
        <v>0.66801000000000021</v>
      </c>
      <c r="M4">
        <v>0.35465931585780119</v>
      </c>
      <c r="N4">
        <v>0.58101000000000003</v>
      </c>
      <c r="P4">
        <v>0.14416356958047699</v>
      </c>
      <c r="Q4">
        <v>0.21140305905210505</v>
      </c>
      <c r="R4">
        <v>0.11223793699744899</v>
      </c>
      <c r="S4">
        <v>0.18387043807707001</v>
      </c>
      <c r="U4">
        <v>0.16291875092677527</v>
      </c>
      <c r="V4">
        <v>3704.3650991975533</v>
      </c>
      <c r="W4" t="s">
        <v>15</v>
      </c>
      <c r="X4">
        <v>2497.49648216482</v>
      </c>
      <c r="Y4" t="s">
        <v>15</v>
      </c>
      <c r="Z4">
        <v>2497.49648216482</v>
      </c>
      <c r="AA4">
        <v>-27.224269750000001</v>
      </c>
      <c r="AB4">
        <v>380.88596619884549</v>
      </c>
    </row>
    <row r="5" spans="1:31">
      <c r="A5">
        <v>1</v>
      </c>
      <c r="C5" t="s">
        <v>10</v>
      </c>
      <c r="E5">
        <v>79.760000000000005</v>
      </c>
      <c r="G5">
        <v>2.3999999999999998E-3</v>
      </c>
      <c r="H5">
        <v>79.760000000000005</v>
      </c>
      <c r="J5">
        <v>0.84883525375939861</v>
      </c>
      <c r="K5">
        <v>0.55246920071006833</v>
      </c>
      <c r="L5">
        <v>0.67717706086345097</v>
      </c>
      <c r="M5">
        <v>0.37670057057802042</v>
      </c>
      <c r="N5">
        <v>0.54947942188575372</v>
      </c>
      <c r="P5">
        <v>0.11549175822039361</v>
      </c>
      <c r="Q5">
        <v>0.1415615011391044</v>
      </c>
      <c r="R5">
        <v>7.874793954624916E-2</v>
      </c>
      <c r="S5">
        <v>0.11486675539188046</v>
      </c>
      <c r="U5">
        <v>0.11266698857440691</v>
      </c>
      <c r="V5">
        <v>3744.2995869561232</v>
      </c>
      <c r="W5" t="s">
        <v>33</v>
      </c>
      <c r="X5">
        <v>6087.9471188839043</v>
      </c>
      <c r="Y5" t="s">
        <v>33</v>
      </c>
      <c r="Z5">
        <v>6087.9471188839043</v>
      </c>
      <c r="AA5">
        <v>-27.717386600000001</v>
      </c>
      <c r="AB5">
        <v>254.86760860379621</v>
      </c>
      <c r="AC5">
        <v>291.52621582397279</v>
      </c>
      <c r="AD5">
        <v>-27.573939428787934</v>
      </c>
      <c r="AE5" t="s">
        <v>111</v>
      </c>
    </row>
    <row r="6" spans="1:31">
      <c r="A6">
        <v>1</v>
      </c>
      <c r="C6" t="s">
        <v>11</v>
      </c>
      <c r="E6">
        <v>88.88</v>
      </c>
      <c r="G6">
        <v>2.3999999999999998E-3</v>
      </c>
      <c r="H6">
        <v>88.88</v>
      </c>
      <c r="J6">
        <v>0.90350278217821778</v>
      </c>
      <c r="K6">
        <v>0.27381960384895254</v>
      </c>
      <c r="L6">
        <v>0.43452811402728297</v>
      </c>
      <c r="M6">
        <v>0.59442857142857131</v>
      </c>
      <c r="N6">
        <v>0.3398000000000001</v>
      </c>
      <c r="O6">
        <v>0.63807955953200235</v>
      </c>
      <c r="P6">
        <v>5.4675736804381647E-2</v>
      </c>
      <c r="Q6">
        <v>8.6765682451888274E-2</v>
      </c>
      <c r="R6">
        <v>0.11869427777845158</v>
      </c>
      <c r="S6">
        <v>6.7850566960784689E-2</v>
      </c>
      <c r="T6">
        <v>0.1274104175407125</v>
      </c>
      <c r="U6">
        <v>9.1079336307243741E-2</v>
      </c>
      <c r="V6">
        <v>3372.9714212449267</v>
      </c>
      <c r="W6" t="s">
        <v>16</v>
      </c>
      <c r="X6">
        <v>2056.860708639766</v>
      </c>
      <c r="Y6" t="s">
        <v>16</v>
      </c>
      <c r="Z6">
        <v>2056.860708639766</v>
      </c>
      <c r="AA6">
        <v>-26.823392500000001</v>
      </c>
      <c r="AB6">
        <v>315.64760764651891</v>
      </c>
      <c r="AC6">
        <v>259.81768576580185</v>
      </c>
      <c r="AD6">
        <v>-27.587908643038318</v>
      </c>
      <c r="AE6" t="s">
        <v>112</v>
      </c>
    </row>
    <row r="7" spans="1:31">
      <c r="A7">
        <v>1</v>
      </c>
      <c r="C7" t="s">
        <v>12</v>
      </c>
      <c r="E7">
        <v>94.91</v>
      </c>
      <c r="G7">
        <v>2.3999999999999998E-3</v>
      </c>
      <c r="H7">
        <v>94.91</v>
      </c>
      <c r="J7">
        <v>0.84358970065481675</v>
      </c>
      <c r="K7">
        <v>0.47983630579238168</v>
      </c>
      <c r="L7">
        <v>0.70052695951840516</v>
      </c>
      <c r="M7">
        <v>0.26275180961824468</v>
      </c>
      <c r="N7">
        <v>0.41964751548520307</v>
      </c>
      <c r="P7">
        <v>8.3775505765495736E-2</v>
      </c>
      <c r="Q7">
        <v>0.12230629409983075</v>
      </c>
      <c r="R7">
        <v>4.5874323130296948E-2</v>
      </c>
      <c r="S7">
        <v>7.3267033837614973E-2</v>
      </c>
      <c r="U7">
        <v>8.1305789208309595E-2</v>
      </c>
      <c r="V7">
        <v>3215.3051890669431</v>
      </c>
      <c r="W7" t="s">
        <v>34</v>
      </c>
      <c r="X7">
        <v>4438.9529394560013</v>
      </c>
      <c r="Y7" t="s">
        <v>34</v>
      </c>
      <c r="Z7">
        <v>4438.9529394560013</v>
      </c>
      <c r="AA7">
        <v>-27.942159575000002</v>
      </c>
      <c r="AB7">
        <v>233.94798760744573</v>
      </c>
      <c r="AC7">
        <v>287.4736587276762</v>
      </c>
      <c r="AD7">
        <v>-28.085408473158068</v>
      </c>
      <c r="AE7" t="s">
        <v>113</v>
      </c>
    </row>
    <row r="8" spans="1:31">
      <c r="A8">
        <v>1</v>
      </c>
      <c r="C8" t="s">
        <v>13</v>
      </c>
      <c r="E8">
        <v>92.68</v>
      </c>
      <c r="G8">
        <v>2.3999999999999998E-3</v>
      </c>
      <c r="H8">
        <v>92.68</v>
      </c>
      <c r="J8">
        <v>0.90097950592885423</v>
      </c>
      <c r="K8">
        <v>0.4142399999999995</v>
      </c>
      <c r="L8">
        <v>0.56725699082421932</v>
      </c>
      <c r="M8">
        <v>0.62589999999999968</v>
      </c>
      <c r="N8">
        <v>0.36133947722876536</v>
      </c>
      <c r="O8">
        <v>0.61740732028072842</v>
      </c>
      <c r="P8">
        <v>7.9101656542782561E-2</v>
      </c>
      <c r="Q8">
        <v>0.10832118496444045</v>
      </c>
      <c r="R8">
        <v>0.11951942552657309</v>
      </c>
      <c r="S8">
        <v>6.8999978812037552E-2</v>
      </c>
      <c r="T8">
        <v>0.11789769649441383</v>
      </c>
      <c r="U8">
        <v>9.8767988468049489E-2</v>
      </c>
      <c r="V8">
        <v>3814.0904880078451</v>
      </c>
      <c r="W8" t="s">
        <v>17</v>
      </c>
      <c r="X8">
        <v>5454.0460894689259</v>
      </c>
      <c r="Y8" t="s">
        <v>17</v>
      </c>
      <c r="Z8">
        <v>5454.0460894689259</v>
      </c>
      <c r="AA8">
        <v>-27.600948900000006</v>
      </c>
      <c r="AB8">
        <v>412.71385456572563</v>
      </c>
    </row>
    <row r="9" spans="1:31">
      <c r="A9">
        <v>1</v>
      </c>
      <c r="C9" t="s">
        <v>14</v>
      </c>
      <c r="E9">
        <v>61.14</v>
      </c>
      <c r="G9">
        <v>2.3999999999999998E-3</v>
      </c>
      <c r="H9">
        <v>61.14</v>
      </c>
      <c r="J9">
        <v>0.85318028328611917</v>
      </c>
      <c r="K9">
        <v>0.35507348629414598</v>
      </c>
      <c r="L9">
        <v>0.3886603131062798</v>
      </c>
      <c r="M9">
        <v>0.28910988847583646</v>
      </c>
      <c r="N9">
        <v>0.30740000000000034</v>
      </c>
      <c r="P9">
        <v>9.7328107442582704E-2</v>
      </c>
      <c r="Q9">
        <v>0.10653448982484474</v>
      </c>
      <c r="R9">
        <v>7.9247027374437978E-2</v>
      </c>
      <c r="S9">
        <v>8.4260473909519337E-2</v>
      </c>
      <c r="U9">
        <v>9.1842524637846187E-2</v>
      </c>
      <c r="V9">
        <v>2339.688315149132</v>
      </c>
      <c r="W9" t="s">
        <v>35</v>
      </c>
      <c r="X9">
        <v>2938.7617102797926</v>
      </c>
      <c r="Y9" t="s">
        <v>35</v>
      </c>
      <c r="Z9">
        <v>2938.7617102797926</v>
      </c>
      <c r="AA9">
        <v>-28.776365125000002</v>
      </c>
      <c r="AB9">
        <v>385.06930973413444</v>
      </c>
      <c r="AC9">
        <v>403.03405112120669</v>
      </c>
      <c r="AD9">
        <v>-28.012523700482753</v>
      </c>
      <c r="AE9" t="s">
        <v>114</v>
      </c>
    </row>
    <row r="10" spans="1:31">
      <c r="A10">
        <v>1</v>
      </c>
      <c r="C10" t="s">
        <v>27</v>
      </c>
      <c r="E10">
        <v>32.950000000000003</v>
      </c>
      <c r="G10">
        <v>2.1700000000000001E-2</v>
      </c>
      <c r="H10">
        <v>4.8499999999999996</v>
      </c>
      <c r="J10">
        <v>0.91583044088176391</v>
      </c>
      <c r="K10">
        <v>0.47442839843808482</v>
      </c>
      <c r="L10">
        <v>0.49504633663366338</v>
      </c>
      <c r="M10">
        <v>0.49531999999999976</v>
      </c>
      <c r="P10">
        <v>1.7597406709838677</v>
      </c>
      <c r="Q10">
        <v>1.8362163299326992</v>
      </c>
      <c r="R10">
        <v>1.8372313968163132</v>
      </c>
      <c r="U10">
        <v>1.8110627992442934</v>
      </c>
      <c r="V10">
        <v>2749.9778449354594</v>
      </c>
      <c r="W10" t="s">
        <v>18</v>
      </c>
      <c r="X10">
        <v>3462.5370516098269</v>
      </c>
      <c r="Y10" t="s">
        <v>18</v>
      </c>
      <c r="Z10">
        <v>3462.5370516098269</v>
      </c>
      <c r="AA10">
        <v>-27.905810750000004</v>
      </c>
      <c r="AB10">
        <v>319.79482839457131</v>
      </c>
      <c r="AC10">
        <v>424.7489974322238</v>
      </c>
      <c r="AD10">
        <v>-27.96926630017078</v>
      </c>
      <c r="AE10" t="s">
        <v>115</v>
      </c>
    </row>
    <row r="11" spans="1:31">
      <c r="A11">
        <v>1</v>
      </c>
      <c r="C11" t="s">
        <v>28</v>
      </c>
      <c r="E11">
        <v>59.26</v>
      </c>
      <c r="G11">
        <v>2.1700000000000001E-2</v>
      </c>
      <c r="H11">
        <v>6.92</v>
      </c>
      <c r="J11">
        <v>0.91475585585585606</v>
      </c>
      <c r="K11">
        <v>0.56282794520547885</v>
      </c>
      <c r="L11">
        <v>0.83354230235783611</v>
      </c>
      <c r="M11">
        <v>0.70182627696323008</v>
      </c>
      <c r="N11">
        <v>0.87469957817342858</v>
      </c>
      <c r="O11">
        <v>0.61977940221894035</v>
      </c>
      <c r="P11">
        <v>1.4614346990803928</v>
      </c>
      <c r="Q11">
        <v>2.1643695097129014</v>
      </c>
      <c r="R11">
        <v>1.8223566946485126</v>
      </c>
      <c r="S11">
        <v>2.2712381744778853</v>
      </c>
      <c r="T11">
        <v>1.609314412857348</v>
      </c>
      <c r="U11">
        <v>1.8657426981554077</v>
      </c>
      <c r="V11">
        <v>5095.111165561726</v>
      </c>
      <c r="W11" t="s">
        <v>36</v>
      </c>
      <c r="X11">
        <v>3518.8226922011941</v>
      </c>
      <c r="Y11" t="s">
        <v>36</v>
      </c>
      <c r="Z11">
        <v>3518.8226922011941</v>
      </c>
      <c r="AA11">
        <v>-28.262133425000002</v>
      </c>
      <c r="AB11">
        <v>255.66948519798217</v>
      </c>
      <c r="AC11">
        <v>298.83420056133269</v>
      </c>
      <c r="AD11">
        <v>-28.062559679753154</v>
      </c>
      <c r="AE11" t="s">
        <v>116</v>
      </c>
    </row>
    <row r="12" spans="1:31">
      <c r="A12">
        <v>1</v>
      </c>
      <c r="C12" t="s">
        <v>29</v>
      </c>
      <c r="E12">
        <v>44.94</v>
      </c>
      <c r="G12">
        <v>2.1700000000000001E-2</v>
      </c>
      <c r="H12">
        <v>5.67</v>
      </c>
      <c r="J12">
        <v>0.96272313479623772</v>
      </c>
      <c r="K12">
        <v>0.45703232876712319</v>
      </c>
      <c r="L12">
        <v>0.81179251040221923</v>
      </c>
      <c r="M12">
        <v>0.60994441170484959</v>
      </c>
      <c r="N12">
        <v>0.40162903156579988</v>
      </c>
      <c r="O12">
        <v>0.56509663366336638</v>
      </c>
      <c r="P12">
        <v>1.5242981729632796</v>
      </c>
      <c r="Q12">
        <v>2.7074973968895981</v>
      </c>
      <c r="R12">
        <v>2.0342918735724802</v>
      </c>
      <c r="S12">
        <v>1.3395166172953652</v>
      </c>
      <c r="T12">
        <v>1.8847151766361709</v>
      </c>
      <c r="U12">
        <v>1.8980638474713785</v>
      </c>
      <c r="V12">
        <v>3930.8290002471772</v>
      </c>
      <c r="W12" t="s">
        <v>19</v>
      </c>
      <c r="X12">
        <v>3430.0537264658733</v>
      </c>
      <c r="Y12" t="s">
        <v>19</v>
      </c>
      <c r="Z12">
        <v>3430.0537264658733</v>
      </c>
      <c r="AA12">
        <v>-27.735177125000003</v>
      </c>
      <c r="AB12">
        <v>347.73401064483522</v>
      </c>
    </row>
    <row r="13" spans="1:31">
      <c r="A13">
        <v>1</v>
      </c>
      <c r="C13" t="s">
        <v>30</v>
      </c>
      <c r="E13">
        <v>40.75</v>
      </c>
      <c r="G13">
        <v>2.1700000000000001E-2</v>
      </c>
      <c r="H13">
        <v>6.73</v>
      </c>
      <c r="J13">
        <v>0.91597445891783602</v>
      </c>
      <c r="K13">
        <v>0.60314794520547932</v>
      </c>
      <c r="L13">
        <v>0.52594951456310701</v>
      </c>
      <c r="M13">
        <v>0.49589552170570783</v>
      </c>
      <c r="N13">
        <v>0.64030845604635445</v>
      </c>
      <c r="O13">
        <v>0.51458257425742571</v>
      </c>
      <c r="P13">
        <v>1.6124891849731822</v>
      </c>
      <c r="Q13">
        <v>1.4061026168065285</v>
      </c>
      <c r="R13">
        <v>1.3257546046263535</v>
      </c>
      <c r="S13">
        <v>1.7118361566661322</v>
      </c>
      <c r="T13">
        <v>1.3757136078496921</v>
      </c>
      <c r="U13">
        <v>1.4863792341843776</v>
      </c>
      <c r="V13">
        <v>2791.2421102771145</v>
      </c>
      <c r="W13" t="s">
        <v>37</v>
      </c>
      <c r="X13">
        <v>2672.7746237254632</v>
      </c>
      <c r="Y13" t="s">
        <v>37</v>
      </c>
      <c r="Z13">
        <v>2672.7746237254632</v>
      </c>
      <c r="AA13">
        <v>-28.269680124999997</v>
      </c>
      <c r="AB13">
        <v>523.58469426909119</v>
      </c>
      <c r="AC13">
        <v>167.39914762367169</v>
      </c>
      <c r="AD13">
        <v>-27.086509729486259</v>
      </c>
      <c r="AE13" t="s">
        <v>117</v>
      </c>
    </row>
    <row r="14" spans="1:31">
      <c r="A14">
        <v>1</v>
      </c>
      <c r="C14" t="s">
        <v>31</v>
      </c>
      <c r="E14">
        <v>51.42</v>
      </c>
      <c r="G14">
        <v>2.1700000000000001E-2</v>
      </c>
      <c r="H14">
        <v>7.35</v>
      </c>
      <c r="J14">
        <v>0.92015040241448698</v>
      </c>
      <c r="K14">
        <v>0.53373205479451991</v>
      </c>
      <c r="L14">
        <v>0.65143522884882121</v>
      </c>
      <c r="M14">
        <v>0.60816641341973976</v>
      </c>
      <c r="N14">
        <v>0.72403825415158696</v>
      </c>
      <c r="O14">
        <v>0.48490930693069301</v>
      </c>
      <c r="P14">
        <v>1.3125003437822094</v>
      </c>
      <c r="Q14">
        <v>1.601944185542852</v>
      </c>
      <c r="R14">
        <v>1.4955418538568117</v>
      </c>
      <c r="S14">
        <v>1.780482264366307</v>
      </c>
      <c r="T14">
        <v>1.192440338429271</v>
      </c>
      <c r="U14">
        <v>1.4765817971954902</v>
      </c>
      <c r="V14">
        <v>3498.8864521563187</v>
      </c>
      <c r="W14" t="s">
        <v>20</v>
      </c>
      <c r="X14">
        <v>1878.1371313989391</v>
      </c>
      <c r="Y14" t="s">
        <v>20</v>
      </c>
      <c r="Z14">
        <v>1878.1371313989391</v>
      </c>
      <c r="AA14">
        <v>-27.321384375000004</v>
      </c>
      <c r="AB14">
        <v>335.4465593989899</v>
      </c>
      <c r="AC14">
        <v>170.93840493132507</v>
      </c>
      <c r="AD14">
        <v>-25.934593641779145</v>
      </c>
      <c r="AE14" t="s">
        <v>118</v>
      </c>
    </row>
    <row r="15" spans="1:31">
      <c r="A15">
        <v>1</v>
      </c>
      <c r="C15" t="s">
        <v>32</v>
      </c>
      <c r="E15">
        <v>47.38</v>
      </c>
      <c r="G15">
        <v>2.1700000000000001E-2</v>
      </c>
      <c r="H15">
        <v>7.09</v>
      </c>
      <c r="J15">
        <v>0.90279124752475237</v>
      </c>
      <c r="K15">
        <v>0.85902410958904074</v>
      </c>
      <c r="L15">
        <v>0.58766380027739307</v>
      </c>
      <c r="M15">
        <v>0.64248938031502623</v>
      </c>
      <c r="N15">
        <v>0.78059811777074195</v>
      </c>
      <c r="P15">
        <v>2.1485779576483544</v>
      </c>
      <c r="Q15">
        <v>1.4698557045016147</v>
      </c>
      <c r="R15">
        <v>1.6069846063207951</v>
      </c>
      <c r="S15">
        <v>1.9524200670297551</v>
      </c>
      <c r="U15">
        <v>1.7944595838751298</v>
      </c>
      <c r="V15">
        <v>3918.0412481107678</v>
      </c>
      <c r="W15" t="s">
        <v>38</v>
      </c>
      <c r="X15">
        <v>1999.5507140607097</v>
      </c>
      <c r="Y15" t="s">
        <v>38</v>
      </c>
      <c r="Z15">
        <v>1999.5507140607097</v>
      </c>
      <c r="AA15">
        <v>-28.758730500000002</v>
      </c>
      <c r="AB15">
        <v>264.44495995964701</v>
      </c>
      <c r="AC15">
        <v>180.43081352928399</v>
      </c>
      <c r="AD15">
        <v>-27.386224859931978</v>
      </c>
      <c r="AE15" t="s">
        <v>119</v>
      </c>
    </row>
    <row r="16" spans="1:31">
      <c r="A16">
        <v>1</v>
      </c>
      <c r="C16" t="s">
        <v>15</v>
      </c>
      <c r="E16">
        <v>53.63</v>
      </c>
      <c r="G16">
        <v>2.3999999999999998E-3</v>
      </c>
      <c r="H16">
        <v>53.63</v>
      </c>
      <c r="J16">
        <v>0.8766205217391303</v>
      </c>
      <c r="K16">
        <v>0.47491954193717012</v>
      </c>
      <c r="L16">
        <v>0.39689838805970151</v>
      </c>
      <c r="M16">
        <v>0.17247199999999996</v>
      </c>
      <c r="P16">
        <v>0.15248549529207331</v>
      </c>
      <c r="Q16">
        <v>0.12743473776009792</v>
      </c>
      <c r="R16">
        <v>5.5376702834211401E-2</v>
      </c>
      <c r="U16">
        <v>0.11176564529546089</v>
      </c>
      <c r="V16">
        <v>2497.49648216482</v>
      </c>
      <c r="W16" t="s">
        <v>9</v>
      </c>
      <c r="X16">
        <v>3704.3650991975533</v>
      </c>
      <c r="Y16" t="s">
        <v>9</v>
      </c>
      <c r="Z16">
        <v>3704.3650991975533</v>
      </c>
      <c r="AA16">
        <v>-26.444909450000001</v>
      </c>
      <c r="AB16">
        <v>205.96492402693255</v>
      </c>
    </row>
    <row r="17" spans="1:31">
      <c r="A17">
        <v>1</v>
      </c>
      <c r="C17" t="s">
        <v>16</v>
      </c>
      <c r="E17">
        <v>21.52</v>
      </c>
      <c r="G17">
        <v>2.3999999999999998E-3</v>
      </c>
      <c r="H17">
        <v>21.52</v>
      </c>
      <c r="J17">
        <v>0.84358970065481675</v>
      </c>
      <c r="K17">
        <v>0.29776985639956804</v>
      </c>
      <c r="L17">
        <v>0.10133965790046084</v>
      </c>
      <c r="M17">
        <v>0.12473817190983383</v>
      </c>
      <c r="N17">
        <v>0.66777891109579568</v>
      </c>
      <c r="P17">
        <v>0.22928433884306404</v>
      </c>
      <c r="Q17">
        <v>7.8032063894037482E-2</v>
      </c>
      <c r="R17">
        <v>9.6049041433060936E-2</v>
      </c>
      <c r="S17">
        <v>0.51419323626393387</v>
      </c>
      <c r="U17">
        <v>0.22938967010852407</v>
      </c>
      <c r="V17">
        <v>2056.860708639766</v>
      </c>
      <c r="W17" t="s">
        <v>27</v>
      </c>
      <c r="X17">
        <v>2749.9778449354594</v>
      </c>
      <c r="Y17" t="s">
        <v>27</v>
      </c>
      <c r="Z17">
        <v>2749.9778449354594</v>
      </c>
      <c r="AA17">
        <v>-27.458819399999999</v>
      </c>
      <c r="AB17">
        <v>196.65185208148773</v>
      </c>
      <c r="AC17">
        <v>201.9969381699766</v>
      </c>
      <c r="AD17">
        <v>-26.876902283878483</v>
      </c>
      <c r="AE17" t="s">
        <v>120</v>
      </c>
    </row>
    <row r="18" spans="1:31">
      <c r="A18">
        <v>1</v>
      </c>
      <c r="C18" t="s">
        <v>17</v>
      </c>
      <c r="E18">
        <v>83.23</v>
      </c>
      <c r="G18">
        <v>2.3999999999999998E-3</v>
      </c>
      <c r="H18">
        <v>83.23</v>
      </c>
      <c r="J18">
        <v>0.81648999999999938</v>
      </c>
      <c r="K18">
        <v>0.78950617283950564</v>
      </c>
      <c r="L18">
        <v>0.58371690350793859</v>
      </c>
      <c r="M18">
        <v>0.99891951826797887</v>
      </c>
      <c r="N18">
        <v>0.85676710774992559</v>
      </c>
      <c r="O18">
        <v>0.8518828833292047</v>
      </c>
      <c r="P18">
        <v>0.15213570925831607</v>
      </c>
      <c r="Q18">
        <v>0.1124806723193294</v>
      </c>
      <c r="R18">
        <v>0.1924890958826839</v>
      </c>
      <c r="S18">
        <v>0.16509670993190337</v>
      </c>
      <c r="T18">
        <v>0.16415553306465902</v>
      </c>
      <c r="U18">
        <v>0.15727154409137836</v>
      </c>
      <c r="V18">
        <v>5454.0460894689259</v>
      </c>
      <c r="W18" t="s">
        <v>10</v>
      </c>
      <c r="X18">
        <v>3744.2995869561232</v>
      </c>
      <c r="Y18" t="s">
        <v>10</v>
      </c>
      <c r="Z18">
        <v>3744.2995869561232</v>
      </c>
      <c r="AA18">
        <v>-26.296340749999999</v>
      </c>
      <c r="AB18">
        <v>185.735362801267</v>
      </c>
      <c r="AC18">
        <v>216.13624411405337</v>
      </c>
      <c r="AD18">
        <v>-27.187570071372804</v>
      </c>
      <c r="AE18" t="s">
        <v>121</v>
      </c>
    </row>
    <row r="19" spans="1:31">
      <c r="A19">
        <v>1</v>
      </c>
      <c r="C19" t="s">
        <v>18</v>
      </c>
      <c r="E19">
        <v>66.2</v>
      </c>
      <c r="G19">
        <v>2.3999999999999998E-3</v>
      </c>
      <c r="H19">
        <v>66.2</v>
      </c>
      <c r="J19">
        <v>0.90174231454005915</v>
      </c>
      <c r="K19">
        <v>0.52935248943625601</v>
      </c>
      <c r="L19">
        <v>0.4473284899211859</v>
      </c>
      <c r="M19">
        <v>0.39199603666088673</v>
      </c>
      <c r="N19">
        <v>0.50795255172413722</v>
      </c>
      <c r="P19">
        <v>0.14163613857762489</v>
      </c>
      <c r="Q19">
        <v>0.11968939648450684</v>
      </c>
      <c r="R19">
        <v>0.10488437492663727</v>
      </c>
      <c r="S19">
        <v>0.13591026667972539</v>
      </c>
      <c r="U19">
        <v>0.1255300441671236</v>
      </c>
      <c r="V19">
        <v>3462.5370516098269</v>
      </c>
      <c r="W19" t="s">
        <v>28</v>
      </c>
      <c r="X19">
        <v>5095.111165561726</v>
      </c>
      <c r="Y19" t="s">
        <v>28</v>
      </c>
      <c r="Z19">
        <v>5095.111165561726</v>
      </c>
      <c r="AA19">
        <v>-27.667189775000004</v>
      </c>
      <c r="AB19">
        <v>153.92421436218328</v>
      </c>
      <c r="AC19">
        <v>216.76126266296538</v>
      </c>
      <c r="AD19">
        <v>-27.296763283811668</v>
      </c>
      <c r="AE19" t="s">
        <v>122</v>
      </c>
    </row>
    <row r="20" spans="1:31">
      <c r="A20">
        <v>1</v>
      </c>
      <c r="C20" t="s">
        <v>19</v>
      </c>
      <c r="E20">
        <v>84.5</v>
      </c>
      <c r="G20">
        <v>2.3999999999999998E-3</v>
      </c>
      <c r="H20">
        <v>84.5</v>
      </c>
      <c r="J20">
        <v>0.82377173394495395</v>
      </c>
      <c r="K20">
        <v>0.5991968316831684</v>
      </c>
      <c r="L20">
        <v>0.25675999999999988</v>
      </c>
      <c r="M20">
        <v>0.67027980702963408</v>
      </c>
      <c r="P20">
        <v>0.11474250936410885</v>
      </c>
      <c r="Q20">
        <v>4.9167961421909739E-2</v>
      </c>
      <c r="R20">
        <v>0.12835446211994925</v>
      </c>
      <c r="U20">
        <v>9.7421644301989282E-2</v>
      </c>
      <c r="V20">
        <v>3430.0537264658733</v>
      </c>
      <c r="W20" t="s">
        <v>11</v>
      </c>
      <c r="X20">
        <v>3372.9714212449267</v>
      </c>
      <c r="Y20" t="s">
        <v>11</v>
      </c>
      <c r="Z20">
        <v>3372.9714212449267</v>
      </c>
      <c r="AA20">
        <v>-26.629163250000001</v>
      </c>
      <c r="AB20">
        <v>174.96701076591293</v>
      </c>
    </row>
    <row r="21" spans="1:31">
      <c r="A21">
        <v>1</v>
      </c>
      <c r="C21" t="s">
        <v>20</v>
      </c>
      <c r="E21">
        <v>92.43</v>
      </c>
      <c r="G21">
        <v>2.3999999999999998E-3</v>
      </c>
      <c r="H21">
        <v>92.43</v>
      </c>
      <c r="J21">
        <v>0.8628167016205911</v>
      </c>
      <c r="K21">
        <v>0.11614788797464501</v>
      </c>
      <c r="L21">
        <v>0.61227193310979366</v>
      </c>
      <c r="M21">
        <v>0.3226990099009901</v>
      </c>
      <c r="N21">
        <v>0.15800000000000036</v>
      </c>
      <c r="O21">
        <v>0.12067815299793194</v>
      </c>
      <c r="P21">
        <v>2.1297153707579716E-2</v>
      </c>
      <c r="Q21">
        <v>0.11226764169076228</v>
      </c>
      <c r="R21">
        <v>5.9170859969881265E-2</v>
      </c>
      <c r="S21">
        <v>2.8971256769922227E-2</v>
      </c>
      <c r="T21">
        <v>2.2127833905209102E-2</v>
      </c>
      <c r="U21">
        <v>4.8766949208670918E-2</v>
      </c>
      <c r="V21">
        <v>1878.1371313989391</v>
      </c>
      <c r="W21" t="s">
        <v>29</v>
      </c>
      <c r="X21">
        <v>3930.8290002471772</v>
      </c>
      <c r="Y21" t="s">
        <v>29</v>
      </c>
      <c r="Z21">
        <v>3930.8290002471772</v>
      </c>
      <c r="AA21">
        <v>-25.338596350000003</v>
      </c>
      <c r="AB21">
        <v>167.48153302296399</v>
      </c>
    </row>
    <row r="22" spans="1:31">
      <c r="A22">
        <v>1</v>
      </c>
      <c r="C22" t="s">
        <v>33</v>
      </c>
      <c r="E22">
        <v>52.62</v>
      </c>
      <c r="G22">
        <v>1.9516090000000007E-2</v>
      </c>
      <c r="H22">
        <v>8.17</v>
      </c>
      <c r="J22">
        <v>0.91154497005988089</v>
      </c>
      <c r="K22">
        <v>1.4733468493150692</v>
      </c>
      <c r="L22">
        <v>0.55593705087405465</v>
      </c>
      <c r="M22">
        <v>0.99718903820501725</v>
      </c>
      <c r="N22">
        <v>1.0946173605869975</v>
      </c>
      <c r="P22">
        <v>3.2289825594758641</v>
      </c>
      <c r="Q22">
        <v>1.2183899821506941</v>
      </c>
      <c r="R22">
        <v>2.1854365211839863</v>
      </c>
      <c r="S22">
        <v>2.3989601418552864</v>
      </c>
      <c r="U22">
        <v>2.2579423011664579</v>
      </c>
      <c r="V22">
        <v>6087.9471188839043</v>
      </c>
      <c r="W22" t="s">
        <v>12</v>
      </c>
      <c r="X22">
        <v>3215.3051890669431</v>
      </c>
      <c r="Y22" t="s">
        <v>12</v>
      </c>
      <c r="Z22">
        <v>3215.3051890669431</v>
      </c>
      <c r="AA22">
        <v>-26.691257</v>
      </c>
      <c r="AB22">
        <v>174.6750956370835</v>
      </c>
    </row>
    <row r="23" spans="1:31">
      <c r="A23">
        <v>1</v>
      </c>
      <c r="C23" t="s">
        <v>34</v>
      </c>
      <c r="E23">
        <v>66.400000000000006</v>
      </c>
      <c r="G23">
        <v>1.9516090000000007E-2</v>
      </c>
      <c r="H23">
        <v>6.35</v>
      </c>
      <c r="J23">
        <v>0.90412715559960377</v>
      </c>
      <c r="K23">
        <v>0.3598898264420205</v>
      </c>
      <c r="L23">
        <v>0.48418953299620604</v>
      </c>
      <c r="M23">
        <v>0.55539866078640787</v>
      </c>
      <c r="P23">
        <v>1.0065376311059759</v>
      </c>
      <c r="Q23">
        <v>1.3541782782982463</v>
      </c>
      <c r="R23">
        <v>1.5533355245801705</v>
      </c>
      <c r="U23">
        <v>1.3046838113281309</v>
      </c>
      <c r="V23">
        <v>4438.9529394560013</v>
      </c>
      <c r="W23" t="s">
        <v>30</v>
      </c>
      <c r="X23">
        <v>2791.2421102771145</v>
      </c>
      <c r="Y23" t="s">
        <v>30</v>
      </c>
      <c r="Z23">
        <v>2791.2421102771145</v>
      </c>
      <c r="AA23">
        <v>-27.759286150000001</v>
      </c>
      <c r="AB23">
        <v>263.89643136253295</v>
      </c>
    </row>
    <row r="24" spans="1:31">
      <c r="A24">
        <v>1</v>
      </c>
      <c r="C24" t="s">
        <v>35</v>
      </c>
      <c r="E24">
        <v>32.19</v>
      </c>
      <c r="G24">
        <v>1.9516090000000007E-2</v>
      </c>
      <c r="H24">
        <v>7.27</v>
      </c>
      <c r="J24">
        <v>0.89860792899408182</v>
      </c>
      <c r="K24">
        <v>0.16461834407535947</v>
      </c>
      <c r="L24">
        <v>0.51468322981366443</v>
      </c>
      <c r="M24">
        <v>1.5221897048730271</v>
      </c>
      <c r="P24">
        <v>0.39968580312535212</v>
      </c>
      <c r="Q24">
        <v>1.2496273195960068</v>
      </c>
      <c r="R24">
        <v>3.695806917015303</v>
      </c>
      <c r="U24">
        <v>1.7817066799122205</v>
      </c>
      <c r="V24">
        <v>2938.7617102797926</v>
      </c>
      <c r="W24" t="s">
        <v>13</v>
      </c>
      <c r="X24">
        <v>3814.0904880078451</v>
      </c>
      <c r="Y24" t="s">
        <v>13</v>
      </c>
      <c r="Z24">
        <v>3814.0904880078451</v>
      </c>
      <c r="AA24">
        <v>-27.113788324999998</v>
      </c>
      <c r="AB24">
        <v>214.01132546765123</v>
      </c>
    </row>
    <row r="25" spans="1:31">
      <c r="A25">
        <v>1</v>
      </c>
      <c r="C25" t="s">
        <v>36</v>
      </c>
      <c r="E25">
        <v>41.46</v>
      </c>
      <c r="G25">
        <v>1.9516090000000007E-2</v>
      </c>
      <c r="H25">
        <v>7.01</v>
      </c>
      <c r="J25">
        <v>0.91140152694610832</v>
      </c>
      <c r="K25">
        <v>0.79741248266296771</v>
      </c>
      <c r="L25">
        <v>0.47987907430734178</v>
      </c>
      <c r="M25">
        <v>0.40257786441140597</v>
      </c>
      <c r="N25">
        <v>0.76275963215681342</v>
      </c>
      <c r="O25">
        <v>0.80027807031715315</v>
      </c>
      <c r="P25">
        <v>2.036476588891909</v>
      </c>
      <c r="Q25">
        <v>1.2255420144194924</v>
      </c>
      <c r="R25">
        <v>1.0281258619655205</v>
      </c>
      <c r="S25">
        <v>1.9479782015096521</v>
      </c>
      <c r="T25">
        <v>2.0437948868845335</v>
      </c>
      <c r="U25">
        <v>1.6563835107342215</v>
      </c>
      <c r="V25">
        <v>3518.8226922011941</v>
      </c>
      <c r="W25" t="s">
        <v>31</v>
      </c>
      <c r="X25">
        <v>3498.8864521563187</v>
      </c>
      <c r="Y25" t="s">
        <v>31</v>
      </c>
      <c r="Z25">
        <v>3498.8864521563187</v>
      </c>
      <c r="AA25">
        <v>-27.496221900000002</v>
      </c>
      <c r="AB25">
        <v>219.75893333410212</v>
      </c>
    </row>
    <row r="26" spans="1:31">
      <c r="A26">
        <v>1</v>
      </c>
      <c r="C26" t="s">
        <v>37</v>
      </c>
      <c r="E26">
        <v>22.51</v>
      </c>
      <c r="G26">
        <v>1.9516090000000007E-2</v>
      </c>
      <c r="H26">
        <v>6.41</v>
      </c>
      <c r="J26">
        <v>0.96155361169102338</v>
      </c>
      <c r="K26">
        <v>0.6381093845395599</v>
      </c>
      <c r="L26">
        <v>0.81062857142857137</v>
      </c>
      <c r="M26">
        <v>0.9105490683229811</v>
      </c>
      <c r="P26">
        <v>1.8802485560891042</v>
      </c>
      <c r="Q26">
        <v>2.388592360309743</v>
      </c>
      <c r="R26">
        <v>2.6830173829804007</v>
      </c>
      <c r="U26">
        <v>2.3172860997930829</v>
      </c>
      <c r="V26">
        <v>2672.7746237254632</v>
      </c>
      <c r="W26" t="s">
        <v>14</v>
      </c>
      <c r="X26">
        <v>2339.688315149132</v>
      </c>
      <c r="Y26" t="s">
        <v>14</v>
      </c>
      <c r="Z26">
        <v>2339.688315149132</v>
      </c>
      <c r="AA26">
        <v>-27.218308750000002</v>
      </c>
      <c r="AB26">
        <v>204.63133849046255</v>
      </c>
    </row>
    <row r="27" spans="1:31">
      <c r="A27">
        <v>1</v>
      </c>
      <c r="C27" t="s">
        <v>38</v>
      </c>
      <c r="E27">
        <v>25.01</v>
      </c>
      <c r="G27">
        <v>1.9516090000000007E-2</v>
      </c>
      <c r="H27">
        <v>7.04</v>
      </c>
      <c r="J27">
        <v>0.90849626865671629</v>
      </c>
      <c r="K27">
        <v>0.75621428571428573</v>
      </c>
      <c r="L27">
        <v>0.35539999999999994</v>
      </c>
      <c r="M27">
        <v>0.7350062111801241</v>
      </c>
      <c r="P27">
        <v>1.9169025024451241</v>
      </c>
      <c r="Q27">
        <v>0.90089166819362976</v>
      </c>
      <c r="R27">
        <v>1.8631428579705724</v>
      </c>
      <c r="U27">
        <v>1.5603123428697756</v>
      </c>
      <c r="V27">
        <v>1999.5507140607097</v>
      </c>
      <c r="W27" t="s">
        <v>32</v>
      </c>
      <c r="X27">
        <v>3918.0412481107678</v>
      </c>
      <c r="Y27" t="s">
        <v>32</v>
      </c>
      <c r="Z27">
        <v>3918.0412481107678</v>
      </c>
      <c r="AA27">
        <v>-27.486497249999999</v>
      </c>
      <c r="AB27">
        <v>165.97928484784231</v>
      </c>
    </row>
    <row r="28" spans="1:31">
      <c r="D28" t="s">
        <v>123</v>
      </c>
    </row>
    <row r="29" spans="1:31">
      <c r="B29" t="s">
        <v>124</v>
      </c>
      <c r="C29" t="s">
        <v>125</v>
      </c>
      <c r="D29" t="s">
        <v>126</v>
      </c>
      <c r="E29" t="s">
        <v>127</v>
      </c>
      <c r="F29" t="s">
        <v>128</v>
      </c>
      <c r="G29" t="s">
        <v>129</v>
      </c>
      <c r="H29" t="s">
        <v>130</v>
      </c>
      <c r="I29" t="s">
        <v>131</v>
      </c>
    </row>
    <row r="30" spans="1:31">
      <c r="A30" t="s">
        <v>132</v>
      </c>
      <c r="B30">
        <v>87.34</v>
      </c>
      <c r="C30">
        <v>9.26</v>
      </c>
      <c r="D30">
        <v>78.08</v>
      </c>
      <c r="E30">
        <v>23.51</v>
      </c>
      <c r="F30">
        <v>54.569999999999993</v>
      </c>
      <c r="G30">
        <v>72.87</v>
      </c>
      <c r="H30">
        <v>40.1</v>
      </c>
      <c r="I30">
        <v>0.36084788029925163</v>
      </c>
      <c r="J30">
        <v>36.084788029925164</v>
      </c>
    </row>
    <row r="31" spans="1:31">
      <c r="A31" t="s">
        <v>133</v>
      </c>
      <c r="B31">
        <v>123.25</v>
      </c>
      <c r="C31">
        <v>19.489999999999998</v>
      </c>
      <c r="D31">
        <v>103.76</v>
      </c>
      <c r="E31">
        <v>24</v>
      </c>
      <c r="F31">
        <v>79.760000000000005</v>
      </c>
      <c r="G31">
        <v>102.96</v>
      </c>
      <c r="H31">
        <v>59.47</v>
      </c>
      <c r="I31">
        <v>0.34118042710610402</v>
      </c>
      <c r="J31">
        <v>34.118042710610403</v>
      </c>
    </row>
    <row r="32" spans="1:31">
      <c r="A32" t="s">
        <v>134</v>
      </c>
      <c r="B32">
        <v>137.82</v>
      </c>
      <c r="C32">
        <v>24.91</v>
      </c>
      <c r="D32">
        <v>112.91</v>
      </c>
      <c r="E32">
        <v>24.03</v>
      </c>
      <c r="F32">
        <v>88.88</v>
      </c>
      <c r="G32">
        <v>119.78</v>
      </c>
      <c r="H32">
        <v>70.84</v>
      </c>
      <c r="I32">
        <v>0.25465838509316757</v>
      </c>
      <c r="J32">
        <v>25.465838509316757</v>
      </c>
    </row>
    <row r="33" spans="1:11">
      <c r="A33" t="s">
        <v>135</v>
      </c>
      <c r="B33">
        <v>145.36000000000001</v>
      </c>
      <c r="C33">
        <v>26.84</v>
      </c>
      <c r="D33">
        <v>118.52000000000001</v>
      </c>
      <c r="E33">
        <v>23.61</v>
      </c>
      <c r="F33">
        <v>94.910000000000011</v>
      </c>
      <c r="G33">
        <v>123.49</v>
      </c>
      <c r="H33">
        <v>73.039999999999992</v>
      </c>
      <c r="I33">
        <v>0.29942497261774398</v>
      </c>
      <c r="J33">
        <v>29.942497261774399</v>
      </c>
    </row>
    <row r="34" spans="1:11">
      <c r="A34" t="s">
        <v>136</v>
      </c>
      <c r="B34">
        <v>143.16</v>
      </c>
      <c r="C34">
        <v>26.7</v>
      </c>
      <c r="D34">
        <v>116.46</v>
      </c>
      <c r="E34">
        <v>23.78</v>
      </c>
      <c r="F34">
        <v>92.679999999999993</v>
      </c>
      <c r="G34">
        <v>128.78</v>
      </c>
      <c r="H34">
        <v>78.3</v>
      </c>
      <c r="I34">
        <v>0.1836526181353767</v>
      </c>
      <c r="J34">
        <v>18.365261813537671</v>
      </c>
    </row>
    <row r="35" spans="1:11">
      <c r="A35" t="s">
        <v>137</v>
      </c>
      <c r="B35">
        <v>144.19</v>
      </c>
      <c r="C35">
        <v>59.23</v>
      </c>
      <c r="D35">
        <v>84.960000000000008</v>
      </c>
      <c r="E35">
        <v>23.82</v>
      </c>
      <c r="F35">
        <v>61.140000000000008</v>
      </c>
      <c r="G35">
        <v>128.78</v>
      </c>
      <c r="H35">
        <v>45.730000000000004</v>
      </c>
      <c r="I35">
        <v>0.33697791384211684</v>
      </c>
      <c r="J35">
        <v>33.697791384211683</v>
      </c>
      <c r="K35">
        <v>29.61236995156268</v>
      </c>
    </row>
    <row r="36" spans="1:11">
      <c r="A36" t="s">
        <v>138</v>
      </c>
      <c r="B36">
        <v>91.84</v>
      </c>
      <c r="C36">
        <v>13.99</v>
      </c>
      <c r="D36">
        <v>77.850000000000009</v>
      </c>
      <c r="E36">
        <v>24.22</v>
      </c>
      <c r="F36">
        <v>53.63000000000001</v>
      </c>
      <c r="G36">
        <v>79.400000000000006</v>
      </c>
      <c r="H36">
        <v>41.190000000000005</v>
      </c>
      <c r="I36">
        <v>0.30201505219713531</v>
      </c>
      <c r="J36">
        <v>30.201505219713532</v>
      </c>
      <c r="K36">
        <v>6.6735912309040417</v>
      </c>
    </row>
    <row r="37" spans="1:11">
      <c r="A37" t="s">
        <v>139</v>
      </c>
      <c r="B37">
        <v>157.03</v>
      </c>
      <c r="C37">
        <v>23.93</v>
      </c>
      <c r="D37">
        <v>133.1</v>
      </c>
      <c r="E37">
        <v>111.58</v>
      </c>
      <c r="F37">
        <v>21.519999999999996</v>
      </c>
      <c r="G37">
        <v>149.96</v>
      </c>
      <c r="H37">
        <v>14.450000000000017</v>
      </c>
      <c r="I37">
        <v>0.48927335640138203</v>
      </c>
      <c r="J37">
        <v>48.927335640138203</v>
      </c>
    </row>
    <row r="38" spans="1:11">
      <c r="A38" t="s">
        <v>140</v>
      </c>
      <c r="B38">
        <v>226.84</v>
      </c>
      <c r="C38">
        <v>30.29</v>
      </c>
      <c r="D38">
        <v>196.55</v>
      </c>
      <c r="E38">
        <v>113.32</v>
      </c>
      <c r="F38">
        <v>83.230000000000018</v>
      </c>
      <c r="G38">
        <v>209.56</v>
      </c>
      <c r="H38">
        <v>65.950000000000017</v>
      </c>
      <c r="I38">
        <v>0.26201667930250183</v>
      </c>
      <c r="J38">
        <v>26.201667930250181</v>
      </c>
    </row>
    <row r="39" spans="1:11">
      <c r="A39" t="s">
        <v>141</v>
      </c>
      <c r="B39">
        <v>109.48</v>
      </c>
      <c r="C39">
        <v>19.399999999999999</v>
      </c>
      <c r="D39">
        <v>90.080000000000013</v>
      </c>
      <c r="E39">
        <v>23.88</v>
      </c>
      <c r="F39">
        <v>66.200000000000017</v>
      </c>
      <c r="G39">
        <v>95.62</v>
      </c>
      <c r="H39">
        <v>52.34</v>
      </c>
      <c r="I39">
        <v>0.2648070309514714</v>
      </c>
      <c r="J39">
        <v>26.480703095147142</v>
      </c>
    </row>
    <row r="40" spans="1:11">
      <c r="A40" t="s">
        <v>142</v>
      </c>
      <c r="B40">
        <v>230.69</v>
      </c>
      <c r="C40">
        <v>35.299999999999997</v>
      </c>
      <c r="D40">
        <v>195.39</v>
      </c>
      <c r="E40">
        <v>110.89</v>
      </c>
      <c r="F40">
        <v>84.499999999999986</v>
      </c>
      <c r="G40">
        <v>212.09</v>
      </c>
      <c r="H40">
        <v>65.900000000000006</v>
      </c>
      <c r="I40">
        <v>0.28224582701062184</v>
      </c>
      <c r="J40">
        <v>28.224582701062182</v>
      </c>
    </row>
    <row r="41" spans="1:11">
      <c r="A41" t="s">
        <v>143</v>
      </c>
      <c r="B41">
        <v>231.85</v>
      </c>
      <c r="C41">
        <v>28.07</v>
      </c>
      <c r="D41">
        <v>203.78</v>
      </c>
      <c r="E41">
        <v>111.35</v>
      </c>
      <c r="F41">
        <v>92.43</v>
      </c>
      <c r="G41">
        <v>215.13</v>
      </c>
      <c r="H41">
        <v>75.710000000000008</v>
      </c>
      <c r="I41">
        <v>0.22084268920882311</v>
      </c>
      <c r="J41">
        <v>22.084268920882309</v>
      </c>
      <c r="K41">
        <v>30.35334391786559</v>
      </c>
    </row>
    <row r="42" spans="1:11">
      <c r="B42" t="s">
        <v>144</v>
      </c>
      <c r="C42" t="s">
        <v>145</v>
      </c>
      <c r="D42" t="s">
        <v>146</v>
      </c>
      <c r="E42" t="s">
        <v>130</v>
      </c>
      <c r="F42">
        <v>111.785</v>
      </c>
      <c r="G42" t="s">
        <v>147</v>
      </c>
      <c r="K42">
        <v>9.4885110482218007</v>
      </c>
    </row>
    <row r="43" spans="1:11">
      <c r="F43" t="s">
        <v>131</v>
      </c>
      <c r="G43" t="s">
        <v>148</v>
      </c>
      <c r="H43" t="s">
        <v>149</v>
      </c>
      <c r="J43" t="s">
        <v>150</v>
      </c>
    </row>
    <row r="44" spans="1:11">
      <c r="A44" t="s">
        <v>151</v>
      </c>
      <c r="B44">
        <v>4.8499999999999996</v>
      </c>
      <c r="C44">
        <v>5.24</v>
      </c>
      <c r="D44">
        <v>7.59</v>
      </c>
      <c r="E44">
        <v>2.3499999999999996</v>
      </c>
      <c r="F44">
        <v>1.0638297872340428</v>
      </c>
      <c r="G44">
        <v>57.13</v>
      </c>
      <c r="H44">
        <v>24.18</v>
      </c>
      <c r="J44">
        <v>32.950000000000003</v>
      </c>
      <c r="K44">
        <v>106.38297872340428</v>
      </c>
    </row>
    <row r="45" spans="1:11">
      <c r="A45" t="s">
        <v>152</v>
      </c>
      <c r="B45">
        <v>6.92</v>
      </c>
      <c r="C45">
        <v>5.18</v>
      </c>
      <c r="D45">
        <v>8.77</v>
      </c>
      <c r="E45">
        <v>3.59</v>
      </c>
      <c r="F45">
        <v>0.92757660167130929</v>
      </c>
      <c r="G45">
        <v>83.44</v>
      </c>
      <c r="H45">
        <v>24.18</v>
      </c>
      <c r="J45">
        <v>59.26</v>
      </c>
      <c r="K45">
        <v>92.757660167130922</v>
      </c>
    </row>
    <row r="46" spans="1:11">
      <c r="A46" t="s">
        <v>153</v>
      </c>
      <c r="B46">
        <v>5.67</v>
      </c>
      <c r="C46">
        <v>5.88</v>
      </c>
      <c r="D46">
        <v>8.9499999999999993</v>
      </c>
      <c r="E46">
        <v>3.0699999999999994</v>
      </c>
      <c r="F46">
        <v>0.84690553745928376</v>
      </c>
      <c r="G46">
        <v>69.12</v>
      </c>
      <c r="H46">
        <v>24.18</v>
      </c>
      <c r="J46">
        <v>44.940000000000005</v>
      </c>
      <c r="K46">
        <v>84.690553745928383</v>
      </c>
    </row>
    <row r="47" spans="1:11">
      <c r="A47" t="s">
        <v>154</v>
      </c>
      <c r="B47">
        <v>6.73</v>
      </c>
      <c r="C47">
        <v>5.74</v>
      </c>
      <c r="D47">
        <v>9.41</v>
      </c>
      <c r="E47">
        <v>3.67</v>
      </c>
      <c r="F47">
        <v>0.8337874659400546</v>
      </c>
      <c r="G47">
        <v>64.930000000000007</v>
      </c>
      <c r="H47">
        <v>24.18</v>
      </c>
      <c r="J47">
        <v>40.750000000000007</v>
      </c>
      <c r="K47">
        <v>83.378746594005463</v>
      </c>
    </row>
    <row r="48" spans="1:11">
      <c r="A48" t="s">
        <v>155</v>
      </c>
      <c r="B48">
        <v>7.35</v>
      </c>
      <c r="C48">
        <v>5.84</v>
      </c>
      <c r="D48">
        <v>9.8000000000000007</v>
      </c>
      <c r="E48">
        <v>3.9600000000000009</v>
      </c>
      <c r="F48">
        <v>0.85606060606060552</v>
      </c>
      <c r="G48">
        <v>75.599999999999994</v>
      </c>
      <c r="H48">
        <v>24.18</v>
      </c>
      <c r="J48">
        <v>51.419999999999995</v>
      </c>
      <c r="K48">
        <v>85.606060606060552</v>
      </c>
    </row>
    <row r="49" spans="1:12">
      <c r="A49" t="s">
        <v>156</v>
      </c>
      <c r="B49">
        <v>7.09</v>
      </c>
      <c r="C49">
        <v>5.74</v>
      </c>
      <c r="D49">
        <v>9.41</v>
      </c>
      <c r="E49">
        <v>3.67</v>
      </c>
      <c r="F49">
        <v>0.93188010899182561</v>
      </c>
      <c r="G49">
        <v>71.56</v>
      </c>
      <c r="H49">
        <v>24.18</v>
      </c>
      <c r="J49">
        <v>47.38</v>
      </c>
      <c r="K49">
        <v>93.188010899182558</v>
      </c>
      <c r="L49">
        <v>91.000668455952038</v>
      </c>
    </row>
    <row r="50" spans="1:12">
      <c r="A50" t="s">
        <v>157</v>
      </c>
      <c r="B50">
        <v>8.17</v>
      </c>
      <c r="C50">
        <v>5.51</v>
      </c>
      <c r="D50">
        <v>10.36</v>
      </c>
      <c r="E50">
        <v>4.8499999999999996</v>
      </c>
      <c r="F50">
        <v>0.68453608247422693</v>
      </c>
      <c r="G50">
        <v>64.77</v>
      </c>
      <c r="H50">
        <v>12.15</v>
      </c>
      <c r="J50">
        <v>52.62</v>
      </c>
      <c r="K50">
        <v>68.453608247422693</v>
      </c>
      <c r="L50">
        <v>8.6197446641842284</v>
      </c>
    </row>
    <row r="51" spans="1:12">
      <c r="A51" t="s">
        <v>158</v>
      </c>
      <c r="B51">
        <v>6.35</v>
      </c>
      <c r="C51">
        <v>5.57</v>
      </c>
      <c r="D51">
        <v>10.210000000000001</v>
      </c>
      <c r="E51">
        <v>4.6400000000000006</v>
      </c>
      <c r="F51">
        <v>0.36853448275862044</v>
      </c>
      <c r="G51">
        <v>78.55</v>
      </c>
      <c r="H51">
        <v>12.15</v>
      </c>
      <c r="J51">
        <v>66.399999999999991</v>
      </c>
      <c r="K51">
        <v>36.853448275862043</v>
      </c>
    </row>
    <row r="52" spans="1:12">
      <c r="A52" t="s">
        <v>159</v>
      </c>
      <c r="B52">
        <v>7.27</v>
      </c>
      <c r="C52">
        <v>5.28</v>
      </c>
      <c r="D52">
        <v>9.4</v>
      </c>
      <c r="E52">
        <v>4.12</v>
      </c>
      <c r="F52">
        <v>0.76456310679611639</v>
      </c>
      <c r="G52">
        <v>44.34</v>
      </c>
      <c r="H52">
        <v>12.15</v>
      </c>
      <c r="J52">
        <v>32.190000000000005</v>
      </c>
      <c r="K52">
        <v>76.456310679611633</v>
      </c>
    </row>
    <row r="53" spans="1:12">
      <c r="A53" t="s">
        <v>160</v>
      </c>
      <c r="B53">
        <v>7.01</v>
      </c>
      <c r="C53">
        <v>5.39</v>
      </c>
      <c r="D53">
        <v>9.7899999999999991</v>
      </c>
      <c r="E53">
        <v>4.3999999999999995</v>
      </c>
      <c r="F53">
        <v>0.59318181818181837</v>
      </c>
      <c r="G53">
        <v>53.61</v>
      </c>
      <c r="H53">
        <v>12.15</v>
      </c>
      <c r="J53">
        <v>41.46</v>
      </c>
      <c r="K53">
        <v>59.318181818181834</v>
      </c>
    </row>
    <row r="54" spans="1:12">
      <c r="A54" t="s">
        <v>161</v>
      </c>
      <c r="B54">
        <v>6.41</v>
      </c>
      <c r="C54">
        <v>4.83</v>
      </c>
      <c r="D54">
        <v>9.09</v>
      </c>
      <c r="E54">
        <v>4.26</v>
      </c>
      <c r="F54">
        <v>0.50469483568075124</v>
      </c>
      <c r="G54">
        <v>34.659999999999997</v>
      </c>
      <c r="H54">
        <v>12.15</v>
      </c>
      <c r="J54">
        <v>22.509999999999998</v>
      </c>
      <c r="K54">
        <v>50.469483568075127</v>
      </c>
    </row>
    <row r="55" spans="1:12">
      <c r="A55" t="s">
        <v>162</v>
      </c>
      <c r="B55">
        <v>7.04</v>
      </c>
      <c r="C55">
        <v>5.57</v>
      </c>
      <c r="D55">
        <v>10.88</v>
      </c>
      <c r="E55">
        <v>5.3100000000000005</v>
      </c>
      <c r="F55">
        <v>0.32580037664783418</v>
      </c>
      <c r="G55">
        <v>37.160000000000004</v>
      </c>
      <c r="H55">
        <v>12.15</v>
      </c>
      <c r="J55">
        <v>25.010000000000005</v>
      </c>
      <c r="K55">
        <v>32.580037664783418</v>
      </c>
      <c r="L55">
        <v>54.021845042322788</v>
      </c>
    </row>
    <row r="56" spans="1:12">
      <c r="L56">
        <v>17.359472596089599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K24" sqref="K24"/>
    </sheetView>
  </sheetViews>
  <sheetFormatPr baseColWidth="10" defaultRowHeight="15" x14ac:dyDescent="0"/>
  <cols>
    <col min="5" max="5" width="18.1640625" bestFit="1" customWidth="1"/>
    <col min="6" max="6" width="25.83203125" bestFit="1" customWidth="1"/>
    <col min="7" max="7" width="9.5" bestFit="1" customWidth="1"/>
    <col min="8" max="8" width="11.1640625" customWidth="1"/>
    <col min="9" max="9" width="13.1640625" bestFit="1" customWidth="1"/>
    <col min="10" max="10" width="12" bestFit="1" customWidth="1"/>
  </cols>
  <sheetData>
    <row r="1" spans="1:13">
      <c r="A1" t="s">
        <v>74</v>
      </c>
      <c r="B1" t="s">
        <v>76</v>
      </c>
      <c r="C1" t="s">
        <v>73</v>
      </c>
      <c r="D1" t="s">
        <v>164</v>
      </c>
      <c r="E1" t="s">
        <v>71</v>
      </c>
      <c r="F1" t="s">
        <v>72</v>
      </c>
      <c r="G1" t="s">
        <v>86</v>
      </c>
      <c r="H1" t="s">
        <v>163</v>
      </c>
      <c r="I1" t="s">
        <v>84</v>
      </c>
      <c r="J1" t="s">
        <v>85</v>
      </c>
      <c r="K1" t="s">
        <v>165</v>
      </c>
      <c r="L1" t="s">
        <v>167</v>
      </c>
      <c r="M1" t="s">
        <v>166</v>
      </c>
    </row>
    <row r="2" spans="1:13">
      <c r="A2" t="str">
        <f>IF(LEFT(B2,1)="W","WB "&amp;LEFT(RIGHT(B2,4),2)&amp;" C","TVA "&amp;LEFT(RIGHT(B2,4),2)&amp;" C")</f>
        <v>TVA 2B C</v>
      </c>
      <c r="B2" t="str">
        <f>IF(RIGHT(C2,1)=" ",LEFT(C2,LEN(C2)-1),C2)</f>
        <v>TVA-2B-C</v>
      </c>
      <c r="C2" t="s">
        <v>15</v>
      </c>
      <c r="D2" t="s">
        <v>138</v>
      </c>
      <c r="E2" s="14">
        <f>VLOOKUP(C2,summary!$A$3:$O$15,14,FALSE)</f>
        <v>3.2566826410460306</v>
      </c>
      <c r="F2">
        <f t="shared" ref="F2:F13" si="0">E2/H2</f>
        <v>7.9064885677252492E-2</v>
      </c>
      <c r="G2">
        <v>24.87</v>
      </c>
      <c r="H2">
        <f>VLOOKUP(D2,d14C!$A$30:$H$41,8,FALSE)</f>
        <v>41.190000000000005</v>
      </c>
      <c r="I2">
        <f t="shared" ref="I2:I13" si="1">H2*(H2*10^-3)*G2</f>
        <v>42.19484240700001</v>
      </c>
      <c r="J2">
        <f>VLOOKUP(C2,summary!$A$4:$O$15,15,FALSE)</f>
        <v>13</v>
      </c>
      <c r="K2">
        <f>VLOOKUP($D2,d14C!$A$30:$J$41,10,FALSE)</f>
        <v>30.201505219713532</v>
      </c>
      <c r="L2">
        <f>VLOOKUP($C2,d14C!$C$4:$AB$27,25,FALSE)</f>
        <v>-26.444909450000001</v>
      </c>
      <c r="M2">
        <f>VLOOKUP($C2,d14C!$C$4:$AB$27,26,FALSE)</f>
        <v>205.96492402693255</v>
      </c>
    </row>
    <row r="3" spans="1:13">
      <c r="A3" t="str">
        <f t="shared" ref="A3:A13" si="2">IF(LEFT(B3,1)="W","WB "&amp;LEFT(RIGHT(B3,4),2)&amp;" C","TVA "&amp;LEFT(RIGHT(B3,4),2)&amp;" C")</f>
        <v>TVA 3B C</v>
      </c>
      <c r="B3" t="str">
        <f t="shared" ref="B3:B13" si="3">IF(RIGHT(C3,1)=" ",LEFT(C3,LEN(C3)-1),C3)</f>
        <v>TVA-3B-C</v>
      </c>
      <c r="C3" t="s">
        <v>16</v>
      </c>
      <c r="D3" t="s">
        <v>139</v>
      </c>
      <c r="E3" s="14">
        <f>VLOOKUP(C3,summary!$A$3:$O$15,14,FALSE)</f>
        <v>2.5494593742324616</v>
      </c>
      <c r="F3">
        <f t="shared" si="0"/>
        <v>0.17643317468736738</v>
      </c>
      <c r="G3">
        <v>24.87</v>
      </c>
      <c r="H3">
        <f>VLOOKUP(D3,d14C!$A$30:$H$41,8,FALSE)</f>
        <v>14.450000000000017</v>
      </c>
      <c r="I3">
        <f t="shared" si="1"/>
        <v>5.1929181750000124</v>
      </c>
      <c r="J3">
        <f>VLOOKUP(C3,summary!$A$4:$O$15,15,FALSE)</f>
        <v>15</v>
      </c>
      <c r="K3">
        <f>VLOOKUP(D3,d14C!$A$30:$J$41,10,FALSE)</f>
        <v>48.927335640138203</v>
      </c>
      <c r="L3">
        <f>VLOOKUP($C3,d14C!$C$4:$AB$27,25,FALSE)</f>
        <v>-27.458819399999999</v>
      </c>
      <c r="M3">
        <f>VLOOKUP($C3,d14C!$C$4:$AB$27,26,FALSE)</f>
        <v>196.65185208148773</v>
      </c>
    </row>
    <row r="4" spans="1:13">
      <c r="A4" t="str">
        <f t="shared" si="2"/>
        <v>TVA 4E C</v>
      </c>
      <c r="B4" t="str">
        <f t="shared" si="3"/>
        <v>TVA-4E-C</v>
      </c>
      <c r="C4" t="s">
        <v>17</v>
      </c>
      <c r="D4" t="s">
        <v>140</v>
      </c>
      <c r="E4" s="14">
        <f>VLOOKUP(C4,summary!$A$3:$O$15,14,FALSE)</f>
        <v>3.5004222461474841</v>
      </c>
      <c r="F4">
        <f t="shared" si="0"/>
        <v>5.3076910479870856E-2</v>
      </c>
      <c r="G4">
        <v>24.87</v>
      </c>
      <c r="H4">
        <f>VLOOKUP(D4,d14C!$A$30:$H$41,8,FALSE)</f>
        <v>65.950000000000017</v>
      </c>
      <c r="I4">
        <f t="shared" si="1"/>
        <v>108.16964017500007</v>
      </c>
      <c r="J4">
        <f>VLOOKUP(C4,summary!$A$4:$O$15,15,FALSE)</f>
        <v>12</v>
      </c>
      <c r="K4">
        <f>VLOOKUP(D4,d14C!$A$30:$J$41,10,FALSE)</f>
        <v>26.201667930250181</v>
      </c>
      <c r="L4">
        <f>VLOOKUP($C4,d14C!$C$4:$AB$27,25,FALSE)</f>
        <v>-26.296340749999999</v>
      </c>
      <c r="M4">
        <f>VLOOKUP($C4,d14C!$C$4:$AB$27,26,FALSE)</f>
        <v>185.735362801267</v>
      </c>
    </row>
    <row r="5" spans="1:13">
      <c r="A5" t="str">
        <f t="shared" si="2"/>
        <v>TVA 5B C</v>
      </c>
      <c r="B5" t="str">
        <f t="shared" si="3"/>
        <v>TVA-5B-C</v>
      </c>
      <c r="C5" t="s">
        <v>18</v>
      </c>
      <c r="D5" t="s">
        <v>141</v>
      </c>
      <c r="E5" s="14">
        <f>VLOOKUP(C5,summary!$A$3:$O$15,14,FALSE)</f>
        <v>3.9192962846802195</v>
      </c>
      <c r="F5">
        <f t="shared" si="0"/>
        <v>7.4881472768059218E-2</v>
      </c>
      <c r="G5">
        <v>24.87</v>
      </c>
      <c r="H5">
        <f>VLOOKUP(D5,d14C!$A$30:$H$41,8,FALSE)</f>
        <v>52.34</v>
      </c>
      <c r="I5">
        <f t="shared" si="1"/>
        <v>68.130758172000014</v>
      </c>
      <c r="J5">
        <f>VLOOKUP(C5,summary!$A$4:$O$15,15,FALSE)</f>
        <v>14</v>
      </c>
      <c r="K5">
        <f>VLOOKUP(D5,d14C!$A$30:$J$41,10,FALSE)</f>
        <v>26.480703095147142</v>
      </c>
      <c r="L5">
        <f>VLOOKUP($C5,d14C!$C$4:$AB$27,25,FALSE)</f>
        <v>-27.667189775000004</v>
      </c>
      <c r="M5">
        <f>VLOOKUP($C5,d14C!$C$4:$AB$27,26,FALSE)</f>
        <v>153.92421436218328</v>
      </c>
    </row>
    <row r="6" spans="1:13">
      <c r="A6" t="str">
        <f t="shared" si="2"/>
        <v>TVA 6E C</v>
      </c>
      <c r="B6" t="str">
        <f t="shared" si="3"/>
        <v>TVA-6E-C</v>
      </c>
      <c r="C6" t="s">
        <v>19</v>
      </c>
      <c r="D6" t="s">
        <v>142</v>
      </c>
      <c r="E6" s="14">
        <f>VLOOKUP(C6,summary!$A$3:$O$15,14,FALSE)</f>
        <v>3.1215947541732914</v>
      </c>
      <c r="F6">
        <f t="shared" si="0"/>
        <v>4.7368660913100019E-2</v>
      </c>
      <c r="G6">
        <v>24.87</v>
      </c>
      <c r="H6">
        <f>VLOOKUP(D6,d14C!$A$30:$H$41,8,FALSE)</f>
        <v>65.900000000000006</v>
      </c>
      <c r="I6">
        <f t="shared" si="1"/>
        <v>108.0056847</v>
      </c>
      <c r="J6">
        <f>VLOOKUP(C6,summary!$A$4:$O$15,15,FALSE)</f>
        <v>14</v>
      </c>
      <c r="K6">
        <f>VLOOKUP(D6,d14C!$A$30:$J$41,10,FALSE)</f>
        <v>28.224582701062182</v>
      </c>
      <c r="L6">
        <f>VLOOKUP($C6,d14C!$C$4:$AB$27,25,FALSE)</f>
        <v>-26.629163250000001</v>
      </c>
      <c r="M6">
        <f>VLOOKUP($C6,d14C!$C$4:$AB$27,26,FALSE)</f>
        <v>174.96701076591293</v>
      </c>
    </row>
    <row r="7" spans="1:13">
      <c r="A7" t="str">
        <f t="shared" si="2"/>
        <v>TVA 8E C</v>
      </c>
      <c r="B7" t="str">
        <f t="shared" si="3"/>
        <v>TVA-8E-C</v>
      </c>
      <c r="C7" t="s">
        <v>20</v>
      </c>
      <c r="D7" t="s">
        <v>143</v>
      </c>
      <c r="E7" s="14">
        <f>VLOOKUP(C7,summary!$A$3:$O$15,14,FALSE)</f>
        <v>3.4853172389828453</v>
      </c>
      <c r="F7">
        <f t="shared" si="0"/>
        <v>4.6035097595863758E-2</v>
      </c>
      <c r="G7">
        <v>24.87</v>
      </c>
      <c r="H7">
        <f>VLOOKUP(D7,d14C!$A$30:$H$41,8,FALSE)</f>
        <v>75.710000000000008</v>
      </c>
      <c r="I7">
        <f t="shared" si="1"/>
        <v>142.55494196700005</v>
      </c>
      <c r="J7">
        <f>VLOOKUP(C7,summary!$A$4:$O$15,15,FALSE)</f>
        <v>14</v>
      </c>
      <c r="K7">
        <f>VLOOKUP(D7,d14C!$A$30:$J$41,10,FALSE)</f>
        <v>22.084268920882309</v>
      </c>
      <c r="L7">
        <f>VLOOKUP($C7,d14C!$C$4:$AB$27,25,FALSE)</f>
        <v>-25.338596350000003</v>
      </c>
      <c r="M7">
        <f>VLOOKUP($C7,d14C!$C$4:$AB$27,26,FALSE)</f>
        <v>167.48153302296399</v>
      </c>
    </row>
    <row r="8" spans="1:13">
      <c r="A8" t="str">
        <f t="shared" si="2"/>
        <v>WB 3E C</v>
      </c>
      <c r="B8" t="str">
        <f t="shared" si="3"/>
        <v>WB-3E-C</v>
      </c>
      <c r="C8" t="s">
        <v>9</v>
      </c>
      <c r="D8" t="s">
        <v>132</v>
      </c>
      <c r="E8" s="14">
        <f>VLOOKUP(C8,summary!$A$3:$O$15,14,FALSE)</f>
        <v>3.1198045577185658</v>
      </c>
      <c r="F8">
        <f t="shared" si="0"/>
        <v>7.7800612411934311E-2</v>
      </c>
      <c r="G8">
        <v>24.89</v>
      </c>
      <c r="H8">
        <f>VLOOKUP(D8,d14C!$A$30:$H$41,8,FALSE)</f>
        <v>40.1</v>
      </c>
      <c r="I8">
        <f t="shared" si="1"/>
        <v>40.023368900000008</v>
      </c>
      <c r="J8">
        <f>VLOOKUP(C8,summary!$A$4:$O$15,15,FALSE)</f>
        <v>8</v>
      </c>
      <c r="K8">
        <f>VLOOKUP(D8,d14C!$A$30:$J$41,10,FALSE)</f>
        <v>36.084788029925164</v>
      </c>
      <c r="L8">
        <f>VLOOKUP($C8,d14C!$C$4:$AB$27,25,FALSE)</f>
        <v>-27.224269750000001</v>
      </c>
      <c r="M8">
        <f>VLOOKUP($C8,d14C!$C$4:$AB$27,26,FALSE)</f>
        <v>380.88596619884549</v>
      </c>
    </row>
    <row r="9" spans="1:13">
      <c r="A9" t="str">
        <f t="shared" si="2"/>
        <v>WB 4B C</v>
      </c>
      <c r="B9" t="str">
        <f t="shared" si="3"/>
        <v>WB-4B-C</v>
      </c>
      <c r="C9" t="s">
        <v>10</v>
      </c>
      <c r="D9" t="s">
        <v>133</v>
      </c>
      <c r="E9" s="14">
        <f>VLOOKUP(C9,summary!$A$3:$O$15,14,FALSE)</f>
        <v>4.150009906795769</v>
      </c>
      <c r="F9">
        <f t="shared" si="0"/>
        <v>6.9783250492614246E-2</v>
      </c>
      <c r="G9">
        <v>24.89</v>
      </c>
      <c r="H9">
        <f>VLOOKUP(D9,d14C!$A$30:$H$41,8,FALSE)</f>
        <v>59.47</v>
      </c>
      <c r="I9">
        <f t="shared" si="1"/>
        <v>88.027987601000007</v>
      </c>
      <c r="J9">
        <f>VLOOKUP(C9,summary!$A$4:$O$15,15,FALSE)</f>
        <v>14</v>
      </c>
      <c r="K9">
        <f>VLOOKUP(D9,d14C!$A$30:$J$41,10,FALSE)</f>
        <v>34.118042710610403</v>
      </c>
      <c r="L9">
        <f>VLOOKUP($C9,d14C!$C$4:$AB$27,25,FALSE)</f>
        <v>-27.717386600000001</v>
      </c>
      <c r="M9">
        <f>VLOOKUP($C9,d14C!$C$4:$AB$27,26,FALSE)</f>
        <v>254.86760860379621</v>
      </c>
    </row>
    <row r="10" spans="1:13">
      <c r="A10" t="str">
        <f t="shared" si="2"/>
        <v>WB 5B C</v>
      </c>
      <c r="B10" t="str">
        <f t="shared" si="3"/>
        <v>WB-5B-C</v>
      </c>
      <c r="C10" t="s">
        <v>11</v>
      </c>
      <c r="D10" t="s">
        <v>134</v>
      </c>
      <c r="E10" s="14">
        <f>VLOOKUP(C10,summary!$A$3:$O$15,14,FALSE)</f>
        <v>3.5762544548195714</v>
      </c>
      <c r="F10">
        <f t="shared" si="0"/>
        <v>5.0483546793048721E-2</v>
      </c>
      <c r="G10">
        <v>24.89</v>
      </c>
      <c r="H10">
        <f>VLOOKUP(D10,d14C!$A$30:$H$41,8,FALSE)</f>
        <v>70.84</v>
      </c>
      <c r="I10">
        <f t="shared" si="1"/>
        <v>124.90562638400002</v>
      </c>
      <c r="J10">
        <f>VLOOKUP(C10,summary!$A$4:$O$15,15,FALSE)</f>
        <v>14</v>
      </c>
      <c r="K10">
        <f>VLOOKUP(D10,d14C!$A$30:$J$41,10,FALSE)</f>
        <v>25.465838509316757</v>
      </c>
      <c r="L10">
        <f>VLOOKUP($C10,d14C!$C$4:$AB$27,25,FALSE)</f>
        <v>-26.823392500000001</v>
      </c>
      <c r="M10">
        <f>VLOOKUP($C10,d14C!$C$4:$AB$27,26,FALSE)</f>
        <v>315.64760764651891</v>
      </c>
    </row>
    <row r="11" spans="1:13">
      <c r="A11" t="str">
        <f t="shared" si="2"/>
        <v>WB 6E C</v>
      </c>
      <c r="B11" t="str">
        <f t="shared" si="3"/>
        <v>WB-6E-C</v>
      </c>
      <c r="C11" t="s">
        <v>12</v>
      </c>
      <c r="D11" t="s">
        <v>135</v>
      </c>
      <c r="E11" s="14">
        <f>VLOOKUP(C11,summary!$A$3:$O$15,14,FALSE)</f>
        <v>3.6482437275723343</v>
      </c>
      <c r="F11">
        <f t="shared" si="0"/>
        <v>4.9948572392830431E-2</v>
      </c>
      <c r="G11">
        <v>24.89</v>
      </c>
      <c r="H11">
        <f>VLOOKUP(D11,d14C!$A$30:$H$41,8,FALSE)</f>
        <v>73.039999999999992</v>
      </c>
      <c r="I11">
        <f t="shared" si="1"/>
        <v>132.78420742399999</v>
      </c>
      <c r="J11">
        <f>VLOOKUP(C11,summary!$A$4:$O$15,15,FALSE)</f>
        <v>14</v>
      </c>
      <c r="K11">
        <f>VLOOKUP(D11,d14C!$A$30:$J$41,10,FALSE)</f>
        <v>29.942497261774399</v>
      </c>
      <c r="L11">
        <f>VLOOKUP($C11,d14C!$C$4:$AB$27,25,FALSE)</f>
        <v>-27.942159575000002</v>
      </c>
      <c r="M11">
        <f>VLOOKUP($C11,d14C!$C$4:$AB$27,26,FALSE)</f>
        <v>233.94798760744573</v>
      </c>
    </row>
    <row r="12" spans="1:13">
      <c r="A12" t="str">
        <f t="shared" si="2"/>
        <v>WB 7E C</v>
      </c>
      <c r="B12" t="str">
        <f t="shared" si="3"/>
        <v>WB-7E-C</v>
      </c>
      <c r="C12" t="s">
        <v>13</v>
      </c>
      <c r="D12" t="s">
        <v>136</v>
      </c>
      <c r="E12" s="14">
        <f>VLOOKUP(C12,summary!$A$3:$O$15,14,FALSE)</f>
        <v>3.4931079217158678</v>
      </c>
      <c r="F12">
        <f t="shared" si="0"/>
        <v>4.4611850852054505E-2</v>
      </c>
      <c r="G12">
        <v>24.89</v>
      </c>
      <c r="H12">
        <f>VLOOKUP(D12,d14C!$A$30:$H$41,8,FALSE)</f>
        <v>78.3</v>
      </c>
      <c r="I12">
        <f t="shared" si="1"/>
        <v>152.59785209999998</v>
      </c>
      <c r="J12">
        <f>VLOOKUP(C12,summary!$A$4:$O$15,15,FALSE)</f>
        <v>9</v>
      </c>
      <c r="K12">
        <f>VLOOKUP(D12,d14C!$A$30:$J$41,10,FALSE)</f>
        <v>18.365261813537671</v>
      </c>
      <c r="L12">
        <f>VLOOKUP($C12,d14C!$C$4:$AB$27,25,FALSE)</f>
        <v>-27.600948900000006</v>
      </c>
      <c r="M12">
        <f>VLOOKUP($C12,d14C!$C$4:$AB$27,26,FALSE)</f>
        <v>412.71385456572563</v>
      </c>
    </row>
    <row r="13" spans="1:13">
      <c r="A13" t="str">
        <f t="shared" si="2"/>
        <v>WB 8B C</v>
      </c>
      <c r="B13" t="str">
        <f t="shared" si="3"/>
        <v>WB-8B-C</v>
      </c>
      <c r="C13" t="s">
        <v>14</v>
      </c>
      <c r="D13" t="s">
        <v>137</v>
      </c>
      <c r="E13" s="14">
        <f>VLOOKUP(C13,summary!$A$3:$O$15,14,FALSE)</f>
        <v>2.9997835695184385</v>
      </c>
      <c r="F13">
        <f t="shared" si="0"/>
        <v>6.5597716368214265E-2</v>
      </c>
      <c r="G13">
        <v>24.89</v>
      </c>
      <c r="H13">
        <f>VLOOKUP(D13,d14C!$A$30:$H$41,8,FALSE)</f>
        <v>45.730000000000004</v>
      </c>
      <c r="I13">
        <f t="shared" si="1"/>
        <v>52.050786881000015</v>
      </c>
      <c r="J13">
        <f>VLOOKUP(C13,summary!$A$4:$O$15,15,FALSE)</f>
        <v>13</v>
      </c>
      <c r="K13">
        <f>VLOOKUP(D13,d14C!$A$30:$J$41,10,FALSE)</f>
        <v>33.697791384211683</v>
      </c>
      <c r="L13">
        <f>VLOOKUP($C13,d14C!$C$4:$AB$27,25,FALSE)</f>
        <v>-28.776365125000002</v>
      </c>
      <c r="M13">
        <f>VLOOKUP($C13,d14C!$C$4:$AB$27,26,FALSE)</f>
        <v>385.06930973413444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66</v>
      </c>
      <c r="B1" t="s">
        <v>62</v>
      </c>
      <c r="C1" t="s">
        <v>63</v>
      </c>
      <c r="D1" t="s">
        <v>64</v>
      </c>
      <c r="E1" t="s">
        <v>65</v>
      </c>
      <c r="F1" t="s">
        <v>67</v>
      </c>
    </row>
    <row r="2" spans="1:6">
      <c r="A2">
        <v>273.14999999999998</v>
      </c>
      <c r="B2">
        <v>12.0107</v>
      </c>
      <c r="C2">
        <v>15.999000000000001</v>
      </c>
      <c r="D2">
        <v>44.01</v>
      </c>
      <c r="E2">
        <v>8.2057337999999994E-2</v>
      </c>
      <c r="F2" s="13">
        <f>AVERAGE(timeSeries!Q38:Q153)</f>
        <v>20.598962264150966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jarInfo</vt:lpstr>
      <vt:lpstr>timeSeries</vt:lpstr>
      <vt:lpstr>summary</vt:lpstr>
      <vt:lpstr>d14C</vt:lpstr>
      <vt:lpstr>arc-tme-ornl</vt:lpstr>
      <vt:lpstr>constants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2020-04-09T16:43:10Z</dcterms:created>
  <dcterms:modified xsi:type="dcterms:W3CDTF">2020-04-28T12:52:43Z</dcterms:modified>
</cp:coreProperties>
</file>