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220" windowWidth="25340" windowHeight="15220" tabRatio="634" activeTab="8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" sheetId="18" r:id="rId8"/>
    <sheet name="Pre12.11.19" sheetId="6" r:id="rId9"/>
    <sheet name="Pre13.11.19" sheetId="10" r:id="rId10"/>
    <sheet name="Pre14.11.19" sheetId="11" r:id="rId11"/>
    <sheet name="Pre15.11.19" sheetId="12" r:id="rId12"/>
    <sheet name="Inc18.11.19" sheetId="15" r:id="rId13"/>
    <sheet name="Inc21.11.19" sheetId="16" r:id="rId14"/>
    <sheet name="Inc22.11.19" sheetId="17" r:id="rId15"/>
    <sheet name="dried-2019-flux" sheetId="19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2" i="19"/>
  <c r="I3" i="19"/>
  <c r="I2" i="19"/>
  <c r="D3" i="19"/>
  <c r="F3" i="19"/>
  <c r="G3" i="19"/>
  <c r="H3" i="19"/>
  <c r="J3" i="19"/>
  <c r="K3" i="19"/>
  <c r="L3" i="19"/>
  <c r="N3" i="19"/>
  <c r="O3" i="19"/>
  <c r="P3" i="19"/>
  <c r="I4" i="19"/>
  <c r="D4" i="19"/>
  <c r="F4" i="19"/>
  <c r="G4" i="19"/>
  <c r="H4" i="19"/>
  <c r="J4" i="19"/>
  <c r="K4" i="19"/>
  <c r="L4" i="19"/>
  <c r="N4" i="19"/>
  <c r="O4" i="19"/>
  <c r="P4" i="19"/>
  <c r="I5" i="19"/>
  <c r="D5" i="19"/>
  <c r="F5" i="19"/>
  <c r="G5" i="19"/>
  <c r="H5" i="19"/>
  <c r="J5" i="19"/>
  <c r="K5" i="19"/>
  <c r="L5" i="19"/>
  <c r="N5" i="19"/>
  <c r="O5" i="19"/>
  <c r="P5" i="19"/>
  <c r="I6" i="19"/>
  <c r="D6" i="19"/>
  <c r="F6" i="19"/>
  <c r="G6" i="19"/>
  <c r="H6" i="19"/>
  <c r="J6" i="19"/>
  <c r="K6" i="19"/>
  <c r="L6" i="19"/>
  <c r="N6" i="19"/>
  <c r="O6" i="19"/>
  <c r="P6" i="19"/>
  <c r="I7" i="19"/>
  <c r="D7" i="19"/>
  <c r="F7" i="19"/>
  <c r="G7" i="19"/>
  <c r="H7" i="19"/>
  <c r="J7" i="19"/>
  <c r="K7" i="19"/>
  <c r="L7" i="19"/>
  <c r="N7" i="19"/>
  <c r="O7" i="19"/>
  <c r="P7" i="19"/>
  <c r="I8" i="19"/>
  <c r="D8" i="19"/>
  <c r="F8" i="19"/>
  <c r="G8" i="19"/>
  <c r="H8" i="19"/>
  <c r="J8" i="19"/>
  <c r="K8" i="19"/>
  <c r="L8" i="19"/>
  <c r="N8" i="19"/>
  <c r="O8" i="19"/>
  <c r="P8" i="19"/>
  <c r="I9" i="19"/>
  <c r="D9" i="19"/>
  <c r="F9" i="19"/>
  <c r="G9" i="19"/>
  <c r="H9" i="19"/>
  <c r="J9" i="19"/>
  <c r="K9" i="19"/>
  <c r="L9" i="19"/>
  <c r="N9" i="19"/>
  <c r="O9" i="19"/>
  <c r="P9" i="19"/>
  <c r="I10" i="19"/>
  <c r="D10" i="19"/>
  <c r="F10" i="19"/>
  <c r="G10" i="19"/>
  <c r="H10" i="19"/>
  <c r="J10" i="19"/>
  <c r="K10" i="19"/>
  <c r="L10" i="19"/>
  <c r="N10" i="19"/>
  <c r="O10" i="19"/>
  <c r="P10" i="19"/>
  <c r="I11" i="19"/>
  <c r="D11" i="19"/>
  <c r="F11" i="19"/>
  <c r="G11" i="19"/>
  <c r="H11" i="19"/>
  <c r="J11" i="19"/>
  <c r="K11" i="19"/>
  <c r="L11" i="19"/>
  <c r="N11" i="19"/>
  <c r="O11" i="19"/>
  <c r="P11" i="19"/>
  <c r="I12" i="19"/>
  <c r="D12" i="19"/>
  <c r="F12" i="19"/>
  <c r="G12" i="19"/>
  <c r="H12" i="19"/>
  <c r="J12" i="19"/>
  <c r="K12" i="19"/>
  <c r="L12" i="19"/>
  <c r="N12" i="19"/>
  <c r="O12" i="19"/>
  <c r="P12" i="19"/>
  <c r="I13" i="19"/>
  <c r="D13" i="19"/>
  <c r="F13" i="19"/>
  <c r="G13" i="19"/>
  <c r="H13" i="19"/>
  <c r="J13" i="19"/>
  <c r="K13" i="19"/>
  <c r="L13" i="19"/>
  <c r="N13" i="19"/>
  <c r="O13" i="19"/>
  <c r="P13" i="19"/>
  <c r="I14" i="19"/>
  <c r="D14" i="19"/>
  <c r="F14" i="19"/>
  <c r="G14" i="19"/>
  <c r="H14" i="19"/>
  <c r="J14" i="19"/>
  <c r="K14" i="19"/>
  <c r="L14" i="19"/>
  <c r="N14" i="19"/>
  <c r="O14" i="19"/>
  <c r="P14" i="19"/>
  <c r="I15" i="19"/>
  <c r="D15" i="19"/>
  <c r="F15" i="19"/>
  <c r="G15" i="19"/>
  <c r="H15" i="19"/>
  <c r="J15" i="19"/>
  <c r="K15" i="19"/>
  <c r="L15" i="19"/>
  <c r="N15" i="19"/>
  <c r="O15" i="19"/>
  <c r="P15" i="19"/>
  <c r="I16" i="19"/>
  <c r="D16" i="19"/>
  <c r="F16" i="19"/>
  <c r="G16" i="19"/>
  <c r="H16" i="19"/>
  <c r="J16" i="19"/>
  <c r="K16" i="19"/>
  <c r="L16" i="19"/>
  <c r="N16" i="19"/>
  <c r="O16" i="19"/>
  <c r="P16" i="19"/>
  <c r="I17" i="19"/>
  <c r="D17" i="19"/>
  <c r="F17" i="19"/>
  <c r="G17" i="19"/>
  <c r="H17" i="19"/>
  <c r="J17" i="19"/>
  <c r="K17" i="19"/>
  <c r="L17" i="19"/>
  <c r="N17" i="19"/>
  <c r="O17" i="19"/>
  <c r="P17" i="19"/>
  <c r="I18" i="19"/>
  <c r="D18" i="19"/>
  <c r="F18" i="19"/>
  <c r="G18" i="19"/>
  <c r="H18" i="19"/>
  <c r="J18" i="19"/>
  <c r="K18" i="19"/>
  <c r="L18" i="19"/>
  <c r="N18" i="19"/>
  <c r="O18" i="19"/>
  <c r="P18" i="19"/>
  <c r="I19" i="19"/>
  <c r="D19" i="19"/>
  <c r="F19" i="19"/>
  <c r="G19" i="19"/>
  <c r="H19" i="19"/>
  <c r="J19" i="19"/>
  <c r="K19" i="19"/>
  <c r="L19" i="19"/>
  <c r="N19" i="19"/>
  <c r="O19" i="19"/>
  <c r="P19" i="19"/>
  <c r="I20" i="19"/>
  <c r="D20" i="19"/>
  <c r="F20" i="19"/>
  <c r="G20" i="19"/>
  <c r="H20" i="19"/>
  <c r="J20" i="19"/>
  <c r="K20" i="19"/>
  <c r="L20" i="19"/>
  <c r="N20" i="19"/>
  <c r="O20" i="19"/>
  <c r="P20" i="19"/>
  <c r="I21" i="19"/>
  <c r="D21" i="19"/>
  <c r="F21" i="19"/>
  <c r="G21" i="19"/>
  <c r="H21" i="19"/>
  <c r="J21" i="19"/>
  <c r="K21" i="19"/>
  <c r="L21" i="19"/>
  <c r="N21" i="19"/>
  <c r="O21" i="19"/>
  <c r="P21" i="19"/>
  <c r="I22" i="19"/>
  <c r="D22" i="19"/>
  <c r="F22" i="19"/>
  <c r="G22" i="19"/>
  <c r="H22" i="19"/>
  <c r="J22" i="19"/>
  <c r="K22" i="19"/>
  <c r="L22" i="19"/>
  <c r="N22" i="19"/>
  <c r="O22" i="19"/>
  <c r="P22" i="19"/>
  <c r="I23" i="19"/>
  <c r="D23" i="19"/>
  <c r="F23" i="19"/>
  <c r="G23" i="19"/>
  <c r="H23" i="19"/>
  <c r="J23" i="19"/>
  <c r="K23" i="19"/>
  <c r="L23" i="19"/>
  <c r="N23" i="19"/>
  <c r="O23" i="19"/>
  <c r="P23" i="19"/>
  <c r="I24" i="19"/>
  <c r="D24" i="19"/>
  <c r="F24" i="19"/>
  <c r="G24" i="19"/>
  <c r="H24" i="19"/>
  <c r="J24" i="19"/>
  <c r="K24" i="19"/>
  <c r="L24" i="19"/>
  <c r="N24" i="19"/>
  <c r="O24" i="19"/>
  <c r="P24" i="19"/>
  <c r="I25" i="19"/>
  <c r="D25" i="19"/>
  <c r="F25" i="19"/>
  <c r="G25" i="19"/>
  <c r="H25" i="19"/>
  <c r="J25" i="19"/>
  <c r="K25" i="19"/>
  <c r="L25" i="19"/>
  <c r="N25" i="19"/>
  <c r="O25" i="19"/>
  <c r="P25" i="19"/>
  <c r="I26" i="19"/>
  <c r="D26" i="19"/>
  <c r="F26" i="19"/>
  <c r="G26" i="19"/>
  <c r="H26" i="19"/>
  <c r="J26" i="19"/>
  <c r="K26" i="19"/>
  <c r="L26" i="19"/>
  <c r="N26" i="19"/>
  <c r="O26" i="19"/>
  <c r="P26" i="19"/>
  <c r="I27" i="19"/>
  <c r="D27" i="19"/>
  <c r="F27" i="19"/>
  <c r="G27" i="19"/>
  <c r="H27" i="19"/>
  <c r="J27" i="19"/>
  <c r="K27" i="19"/>
  <c r="L27" i="19"/>
  <c r="N27" i="19"/>
  <c r="O27" i="19"/>
  <c r="P27" i="19"/>
  <c r="I28" i="19"/>
  <c r="D28" i="19"/>
  <c r="F28" i="19"/>
  <c r="G28" i="19"/>
  <c r="H28" i="19"/>
  <c r="J28" i="19"/>
  <c r="K28" i="19"/>
  <c r="L28" i="19"/>
  <c r="N28" i="19"/>
  <c r="O28" i="19"/>
  <c r="P28" i="19"/>
  <c r="I29" i="19"/>
  <c r="D29" i="19"/>
  <c r="F29" i="19"/>
  <c r="G29" i="19"/>
  <c r="H29" i="19"/>
  <c r="J29" i="19"/>
  <c r="K29" i="19"/>
  <c r="L29" i="19"/>
  <c r="N29" i="19"/>
  <c r="O29" i="19"/>
  <c r="P29" i="19"/>
  <c r="I30" i="19"/>
  <c r="D30" i="19"/>
  <c r="F30" i="19"/>
  <c r="G30" i="19"/>
  <c r="H30" i="19"/>
  <c r="J30" i="19"/>
  <c r="K30" i="19"/>
  <c r="L30" i="19"/>
  <c r="N30" i="19"/>
  <c r="O30" i="19"/>
  <c r="P30" i="19"/>
  <c r="I31" i="19"/>
  <c r="D31" i="19"/>
  <c r="F31" i="19"/>
  <c r="G31" i="19"/>
  <c r="H31" i="19"/>
  <c r="J31" i="19"/>
  <c r="K31" i="19"/>
  <c r="L31" i="19"/>
  <c r="N31" i="19"/>
  <c r="O31" i="19"/>
  <c r="P31" i="19"/>
  <c r="I32" i="19"/>
  <c r="D32" i="19"/>
  <c r="F32" i="19"/>
  <c r="G32" i="19"/>
  <c r="H32" i="19"/>
  <c r="J32" i="19"/>
  <c r="K32" i="19"/>
  <c r="L32" i="19"/>
  <c r="N32" i="19"/>
  <c r="O32" i="19"/>
  <c r="P32" i="19"/>
  <c r="I33" i="19"/>
  <c r="D33" i="19"/>
  <c r="F33" i="19"/>
  <c r="G33" i="19"/>
  <c r="H33" i="19"/>
  <c r="J33" i="19"/>
  <c r="K33" i="19"/>
  <c r="L33" i="19"/>
  <c r="N33" i="19"/>
  <c r="O33" i="19"/>
  <c r="P33" i="19"/>
  <c r="I34" i="19"/>
  <c r="D34" i="19"/>
  <c r="F34" i="19"/>
  <c r="G34" i="19"/>
  <c r="H34" i="19"/>
  <c r="J34" i="19"/>
  <c r="K34" i="19"/>
  <c r="L34" i="19"/>
  <c r="N34" i="19"/>
  <c r="O34" i="19"/>
  <c r="P34" i="19"/>
  <c r="I35" i="19"/>
  <c r="D35" i="19"/>
  <c r="F35" i="19"/>
  <c r="G35" i="19"/>
  <c r="H35" i="19"/>
  <c r="J35" i="19"/>
  <c r="K35" i="19"/>
  <c r="L35" i="19"/>
  <c r="N35" i="19"/>
  <c r="O35" i="19"/>
  <c r="P35" i="19"/>
  <c r="I36" i="19"/>
  <c r="D36" i="19"/>
  <c r="F36" i="19"/>
  <c r="G36" i="19"/>
  <c r="H36" i="19"/>
  <c r="J36" i="19"/>
  <c r="K36" i="19"/>
  <c r="L36" i="19"/>
  <c r="N36" i="19"/>
  <c r="O36" i="19"/>
  <c r="P36" i="19"/>
  <c r="I37" i="19"/>
  <c r="D37" i="19"/>
  <c r="F37" i="19"/>
  <c r="G37" i="19"/>
  <c r="H37" i="19"/>
  <c r="J37" i="19"/>
  <c r="K37" i="19"/>
  <c r="L37" i="19"/>
  <c r="N37" i="19"/>
  <c r="O37" i="19"/>
  <c r="P37" i="19"/>
  <c r="I38" i="19"/>
  <c r="D38" i="19"/>
  <c r="F38" i="19"/>
  <c r="G38" i="19"/>
  <c r="H38" i="19"/>
  <c r="J38" i="19"/>
  <c r="K38" i="19"/>
  <c r="L38" i="19"/>
  <c r="N38" i="19"/>
  <c r="O38" i="19"/>
  <c r="P38" i="19"/>
  <c r="I39" i="19"/>
  <c r="D39" i="19"/>
  <c r="F39" i="19"/>
  <c r="G39" i="19"/>
  <c r="H39" i="19"/>
  <c r="J39" i="19"/>
  <c r="K39" i="19"/>
  <c r="L39" i="19"/>
  <c r="N39" i="19"/>
  <c r="O39" i="19"/>
  <c r="P39" i="19"/>
  <c r="I40" i="19"/>
  <c r="D40" i="19"/>
  <c r="F40" i="19"/>
  <c r="G40" i="19"/>
  <c r="H40" i="19"/>
  <c r="J40" i="19"/>
  <c r="K40" i="19"/>
  <c r="L40" i="19"/>
  <c r="N40" i="19"/>
  <c r="O40" i="19"/>
  <c r="P40" i="19"/>
  <c r="I41" i="19"/>
  <c r="D41" i="19"/>
  <c r="F41" i="19"/>
  <c r="G41" i="19"/>
  <c r="H41" i="19"/>
  <c r="J41" i="19"/>
  <c r="K41" i="19"/>
  <c r="L41" i="19"/>
  <c r="N41" i="19"/>
  <c r="O41" i="19"/>
  <c r="P41" i="19"/>
  <c r="I42" i="19"/>
  <c r="D42" i="19"/>
  <c r="F42" i="19"/>
  <c r="G42" i="19"/>
  <c r="H42" i="19"/>
  <c r="J42" i="19"/>
  <c r="K42" i="19"/>
  <c r="L42" i="19"/>
  <c r="N42" i="19"/>
  <c r="O42" i="19"/>
  <c r="P42" i="19"/>
  <c r="I43" i="19"/>
  <c r="D43" i="19"/>
  <c r="F43" i="19"/>
  <c r="G43" i="19"/>
  <c r="H43" i="19"/>
  <c r="J43" i="19"/>
  <c r="K43" i="19"/>
  <c r="L43" i="19"/>
  <c r="N43" i="19"/>
  <c r="O43" i="19"/>
  <c r="P43" i="19"/>
  <c r="I44" i="19"/>
  <c r="D44" i="19"/>
  <c r="F44" i="19"/>
  <c r="G44" i="19"/>
  <c r="H44" i="19"/>
  <c r="J44" i="19"/>
  <c r="K44" i="19"/>
  <c r="L44" i="19"/>
  <c r="N44" i="19"/>
  <c r="O44" i="19"/>
  <c r="P44" i="19"/>
  <c r="I45" i="19"/>
  <c r="D45" i="19"/>
  <c r="F45" i="19"/>
  <c r="G45" i="19"/>
  <c r="H45" i="19"/>
  <c r="J45" i="19"/>
  <c r="K45" i="19"/>
  <c r="L45" i="19"/>
  <c r="N45" i="19"/>
  <c r="O45" i="19"/>
  <c r="P45" i="19"/>
  <c r="I46" i="19"/>
  <c r="D46" i="19"/>
  <c r="F46" i="19"/>
  <c r="G46" i="19"/>
  <c r="H46" i="19"/>
  <c r="J46" i="19"/>
  <c r="K46" i="19"/>
  <c r="L46" i="19"/>
  <c r="N46" i="19"/>
  <c r="O46" i="19"/>
  <c r="P46" i="19"/>
  <c r="I47" i="19"/>
  <c r="D47" i="19"/>
  <c r="F47" i="19"/>
  <c r="G47" i="19"/>
  <c r="H47" i="19"/>
  <c r="J47" i="19"/>
  <c r="K47" i="19"/>
  <c r="L47" i="19"/>
  <c r="N47" i="19"/>
  <c r="O47" i="19"/>
  <c r="P47" i="19"/>
  <c r="I48" i="19"/>
  <c r="D48" i="19"/>
  <c r="F48" i="19"/>
  <c r="G48" i="19"/>
  <c r="H48" i="19"/>
  <c r="J48" i="19"/>
  <c r="K48" i="19"/>
  <c r="L48" i="19"/>
  <c r="N48" i="19"/>
  <c r="O48" i="19"/>
  <c r="P48" i="19"/>
  <c r="I49" i="19"/>
  <c r="D49" i="19"/>
  <c r="F49" i="19"/>
  <c r="G49" i="19"/>
  <c r="H49" i="19"/>
  <c r="J49" i="19"/>
  <c r="K49" i="19"/>
  <c r="L49" i="19"/>
  <c r="N49" i="19"/>
  <c r="O49" i="19"/>
  <c r="P49" i="19"/>
  <c r="I50" i="19"/>
  <c r="D50" i="19"/>
  <c r="F50" i="19"/>
  <c r="G50" i="19"/>
  <c r="H50" i="19"/>
  <c r="J50" i="19"/>
  <c r="K50" i="19"/>
  <c r="L50" i="19"/>
  <c r="N50" i="19"/>
  <c r="O50" i="19"/>
  <c r="P50" i="19"/>
  <c r="I51" i="19"/>
  <c r="D51" i="19"/>
  <c r="F51" i="19"/>
  <c r="G51" i="19"/>
  <c r="H51" i="19"/>
  <c r="J51" i="19"/>
  <c r="K51" i="19"/>
  <c r="L51" i="19"/>
  <c r="N51" i="19"/>
  <c r="O51" i="19"/>
  <c r="P51" i="19"/>
  <c r="I52" i="19"/>
  <c r="D52" i="19"/>
  <c r="F52" i="19"/>
  <c r="G52" i="19"/>
  <c r="H52" i="19"/>
  <c r="J52" i="19"/>
  <c r="K52" i="19"/>
  <c r="L52" i="19"/>
  <c r="N52" i="19"/>
  <c r="O52" i="19"/>
  <c r="P52" i="19"/>
  <c r="I53" i="19"/>
  <c r="D53" i="19"/>
  <c r="F53" i="19"/>
  <c r="G53" i="19"/>
  <c r="H53" i="19"/>
  <c r="J53" i="19"/>
  <c r="K53" i="19"/>
  <c r="L53" i="19"/>
  <c r="N53" i="19"/>
  <c r="O53" i="19"/>
  <c r="P53" i="19"/>
  <c r="I54" i="19"/>
  <c r="D54" i="19"/>
  <c r="F54" i="19"/>
  <c r="G54" i="19"/>
  <c r="H54" i="19"/>
  <c r="J54" i="19"/>
  <c r="K54" i="19"/>
  <c r="L54" i="19"/>
  <c r="N54" i="19"/>
  <c r="O54" i="19"/>
  <c r="P54" i="19"/>
  <c r="I55" i="19"/>
  <c r="D55" i="19"/>
  <c r="F55" i="19"/>
  <c r="G55" i="19"/>
  <c r="H55" i="19"/>
  <c r="J55" i="19"/>
  <c r="K55" i="19"/>
  <c r="L55" i="19"/>
  <c r="N55" i="19"/>
  <c r="O55" i="19"/>
  <c r="P55" i="19"/>
  <c r="I56" i="19"/>
  <c r="D56" i="19"/>
  <c r="F56" i="19"/>
  <c r="G56" i="19"/>
  <c r="H56" i="19"/>
  <c r="J56" i="19"/>
  <c r="K56" i="19"/>
  <c r="L56" i="19"/>
  <c r="N56" i="19"/>
  <c r="O56" i="19"/>
  <c r="P56" i="19"/>
  <c r="I57" i="19"/>
  <c r="D57" i="19"/>
  <c r="F57" i="19"/>
  <c r="G57" i="19"/>
  <c r="H57" i="19"/>
  <c r="J57" i="19"/>
  <c r="K57" i="19"/>
  <c r="L57" i="19"/>
  <c r="N57" i="19"/>
  <c r="O57" i="19"/>
  <c r="P57" i="19"/>
  <c r="I58" i="19"/>
  <c r="D58" i="19"/>
  <c r="F58" i="19"/>
  <c r="G58" i="19"/>
  <c r="H58" i="19"/>
  <c r="J58" i="19"/>
  <c r="K58" i="19"/>
  <c r="L58" i="19"/>
  <c r="N58" i="19"/>
  <c r="O58" i="19"/>
  <c r="P58" i="19"/>
  <c r="I59" i="19"/>
  <c r="D59" i="19"/>
  <c r="F59" i="19"/>
  <c r="G59" i="19"/>
  <c r="H59" i="19"/>
  <c r="J59" i="19"/>
  <c r="K59" i="19"/>
  <c r="L59" i="19"/>
  <c r="N59" i="19"/>
  <c r="O59" i="19"/>
  <c r="P59" i="19"/>
  <c r="I60" i="19"/>
  <c r="D60" i="19"/>
  <c r="F60" i="19"/>
  <c r="G60" i="19"/>
  <c r="H60" i="19"/>
  <c r="J60" i="19"/>
  <c r="K60" i="19"/>
  <c r="L60" i="19"/>
  <c r="N60" i="19"/>
  <c r="O60" i="19"/>
  <c r="P60" i="19"/>
  <c r="I61" i="19"/>
  <c r="D61" i="19"/>
  <c r="F61" i="19"/>
  <c r="G61" i="19"/>
  <c r="H61" i="19"/>
  <c r="J61" i="19"/>
  <c r="K61" i="19"/>
  <c r="L61" i="19"/>
  <c r="N61" i="19"/>
  <c r="O61" i="19"/>
  <c r="P61" i="19"/>
  <c r="I62" i="19"/>
  <c r="D62" i="19"/>
  <c r="F62" i="19"/>
  <c r="G62" i="19"/>
  <c r="H62" i="19"/>
  <c r="J62" i="19"/>
  <c r="K62" i="19"/>
  <c r="L62" i="19"/>
  <c r="N62" i="19"/>
  <c r="O62" i="19"/>
  <c r="P62" i="19"/>
  <c r="I63" i="19"/>
  <c r="D63" i="19"/>
  <c r="F63" i="19"/>
  <c r="G63" i="19"/>
  <c r="H63" i="19"/>
  <c r="J63" i="19"/>
  <c r="K63" i="19"/>
  <c r="L63" i="19"/>
  <c r="N63" i="19"/>
  <c r="O63" i="19"/>
  <c r="P63" i="19"/>
  <c r="I64" i="19"/>
  <c r="D64" i="19"/>
  <c r="F64" i="19"/>
  <c r="G64" i="19"/>
  <c r="H64" i="19"/>
  <c r="J64" i="19"/>
  <c r="K64" i="19"/>
  <c r="L64" i="19"/>
  <c r="N64" i="19"/>
  <c r="O64" i="19"/>
  <c r="P64" i="19"/>
  <c r="I65" i="19"/>
  <c r="D65" i="19"/>
  <c r="F65" i="19"/>
  <c r="G65" i="19"/>
  <c r="H65" i="19"/>
  <c r="J65" i="19"/>
  <c r="K65" i="19"/>
  <c r="L65" i="19"/>
  <c r="N65" i="19"/>
  <c r="O65" i="19"/>
  <c r="P65" i="19"/>
  <c r="I66" i="19"/>
  <c r="D66" i="19"/>
  <c r="F66" i="19"/>
  <c r="G66" i="19"/>
  <c r="H66" i="19"/>
  <c r="J66" i="19"/>
  <c r="K66" i="19"/>
  <c r="L66" i="19"/>
  <c r="N66" i="19"/>
  <c r="O66" i="19"/>
  <c r="P66" i="19"/>
  <c r="I67" i="19"/>
  <c r="D67" i="19"/>
  <c r="F67" i="19"/>
  <c r="G67" i="19"/>
  <c r="H67" i="19"/>
  <c r="J67" i="19"/>
  <c r="K67" i="19"/>
  <c r="L67" i="19"/>
  <c r="N67" i="19"/>
  <c r="O67" i="19"/>
  <c r="P67" i="19"/>
  <c r="I68" i="19"/>
  <c r="D68" i="19"/>
  <c r="F68" i="19"/>
  <c r="G68" i="19"/>
  <c r="H68" i="19"/>
  <c r="J68" i="19"/>
  <c r="K68" i="19"/>
  <c r="L68" i="19"/>
  <c r="N68" i="19"/>
  <c r="O68" i="19"/>
  <c r="P68" i="19"/>
  <c r="I69" i="19"/>
  <c r="D69" i="19"/>
  <c r="F69" i="19"/>
  <c r="G69" i="19"/>
  <c r="H69" i="19"/>
  <c r="J69" i="19"/>
  <c r="K69" i="19"/>
  <c r="L69" i="19"/>
  <c r="N69" i="19"/>
  <c r="O69" i="19"/>
  <c r="P69" i="19"/>
  <c r="I70" i="19"/>
  <c r="D70" i="19"/>
  <c r="F70" i="19"/>
  <c r="G70" i="19"/>
  <c r="H70" i="19"/>
  <c r="J70" i="19"/>
  <c r="K70" i="19"/>
  <c r="L70" i="19"/>
  <c r="N70" i="19"/>
  <c r="O70" i="19"/>
  <c r="P70" i="19"/>
  <c r="I71" i="19"/>
  <c r="D71" i="19"/>
  <c r="F71" i="19"/>
  <c r="G71" i="19"/>
  <c r="H71" i="19"/>
  <c r="J71" i="19"/>
  <c r="K71" i="19"/>
  <c r="L71" i="19"/>
  <c r="N71" i="19"/>
  <c r="O71" i="19"/>
  <c r="P71" i="19"/>
  <c r="I72" i="19"/>
  <c r="D72" i="19"/>
  <c r="F72" i="19"/>
  <c r="G72" i="19"/>
  <c r="H72" i="19"/>
  <c r="J72" i="19"/>
  <c r="K72" i="19"/>
  <c r="L72" i="19"/>
  <c r="N72" i="19"/>
  <c r="O72" i="19"/>
  <c r="P72" i="19"/>
  <c r="I73" i="19"/>
  <c r="D73" i="19"/>
  <c r="F73" i="19"/>
  <c r="G73" i="19"/>
  <c r="H73" i="19"/>
  <c r="J73" i="19"/>
  <c r="K73" i="19"/>
  <c r="L73" i="19"/>
  <c r="N73" i="19"/>
  <c r="O73" i="19"/>
  <c r="P73" i="19"/>
  <c r="I74" i="19"/>
  <c r="D74" i="19"/>
  <c r="F74" i="19"/>
  <c r="G74" i="19"/>
  <c r="H74" i="19"/>
  <c r="J74" i="19"/>
  <c r="K74" i="19"/>
  <c r="L74" i="19"/>
  <c r="N74" i="19"/>
  <c r="O74" i="19"/>
  <c r="P74" i="19"/>
  <c r="I75" i="19"/>
  <c r="D75" i="19"/>
  <c r="F75" i="19"/>
  <c r="G75" i="19"/>
  <c r="H75" i="19"/>
  <c r="J75" i="19"/>
  <c r="K75" i="19"/>
  <c r="L75" i="19"/>
  <c r="N75" i="19"/>
  <c r="O75" i="19"/>
  <c r="P75" i="19"/>
  <c r="I76" i="19"/>
  <c r="D76" i="19"/>
  <c r="F76" i="19"/>
  <c r="G76" i="19"/>
  <c r="H76" i="19"/>
  <c r="J76" i="19"/>
  <c r="K76" i="19"/>
  <c r="L76" i="19"/>
  <c r="N76" i="19"/>
  <c r="O76" i="19"/>
  <c r="P76" i="19"/>
  <c r="I77" i="19"/>
  <c r="D77" i="19"/>
  <c r="F77" i="19"/>
  <c r="G77" i="19"/>
  <c r="H77" i="19"/>
  <c r="J77" i="19"/>
  <c r="K77" i="19"/>
  <c r="L77" i="19"/>
  <c r="N77" i="19"/>
  <c r="O77" i="19"/>
  <c r="P77" i="19"/>
  <c r="I78" i="19"/>
  <c r="D78" i="19"/>
  <c r="F78" i="19"/>
  <c r="G78" i="19"/>
  <c r="H78" i="19"/>
  <c r="J78" i="19"/>
  <c r="K78" i="19"/>
  <c r="L78" i="19"/>
  <c r="N78" i="19"/>
  <c r="O78" i="19"/>
  <c r="P78" i="19"/>
  <c r="I79" i="19"/>
  <c r="D79" i="19"/>
  <c r="F79" i="19"/>
  <c r="G79" i="19"/>
  <c r="H79" i="19"/>
  <c r="J79" i="19"/>
  <c r="K79" i="19"/>
  <c r="L79" i="19"/>
  <c r="N79" i="19"/>
  <c r="O79" i="19"/>
  <c r="P79" i="19"/>
  <c r="I80" i="19"/>
  <c r="D80" i="19"/>
  <c r="F80" i="19"/>
  <c r="G80" i="19"/>
  <c r="H80" i="19"/>
  <c r="J80" i="19"/>
  <c r="K80" i="19"/>
  <c r="L80" i="19"/>
  <c r="N80" i="19"/>
  <c r="O80" i="19"/>
  <c r="P80" i="19"/>
  <c r="I81" i="19"/>
  <c r="D81" i="19"/>
  <c r="F81" i="19"/>
  <c r="G81" i="19"/>
  <c r="H81" i="19"/>
  <c r="J81" i="19"/>
  <c r="K81" i="19"/>
  <c r="L81" i="19"/>
  <c r="N81" i="19"/>
  <c r="O81" i="19"/>
  <c r="P81" i="19"/>
  <c r="I82" i="19"/>
  <c r="D82" i="19"/>
  <c r="F82" i="19"/>
  <c r="G82" i="19"/>
  <c r="H82" i="19"/>
  <c r="J82" i="19"/>
  <c r="K82" i="19"/>
  <c r="L82" i="19"/>
  <c r="N82" i="19"/>
  <c r="O82" i="19"/>
  <c r="P82" i="19"/>
  <c r="I83" i="19"/>
  <c r="D83" i="19"/>
  <c r="F83" i="19"/>
  <c r="G83" i="19"/>
  <c r="H83" i="19"/>
  <c r="J83" i="19"/>
  <c r="K83" i="19"/>
  <c r="L83" i="19"/>
  <c r="N83" i="19"/>
  <c r="O83" i="19"/>
  <c r="P83" i="19"/>
  <c r="I84" i="19"/>
  <c r="D84" i="19"/>
  <c r="F84" i="19"/>
  <c r="G84" i="19"/>
  <c r="H84" i="19"/>
  <c r="J84" i="19"/>
  <c r="K84" i="19"/>
  <c r="L84" i="19"/>
  <c r="N84" i="19"/>
  <c r="O84" i="19"/>
  <c r="P84" i="19"/>
  <c r="I85" i="19"/>
  <c r="D85" i="19"/>
  <c r="F85" i="19"/>
  <c r="G85" i="19"/>
  <c r="H85" i="19"/>
  <c r="J85" i="19"/>
  <c r="K85" i="19"/>
  <c r="L85" i="19"/>
  <c r="N85" i="19"/>
  <c r="O85" i="19"/>
  <c r="P8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C15" i="19"/>
  <c r="C16" i="19"/>
  <c r="C17" i="19"/>
  <c r="C18" i="19"/>
  <c r="C19" i="19"/>
  <c r="C20" i="19"/>
  <c r="C21" i="19"/>
  <c r="C22" i="19"/>
  <c r="C23" i="19"/>
  <c r="C24" i="19"/>
  <c r="C25" i="19"/>
  <c r="C27" i="19"/>
  <c r="C28" i="19"/>
  <c r="C29" i="19"/>
  <c r="C30" i="19"/>
  <c r="C31" i="19"/>
  <c r="C32" i="19"/>
  <c r="C33" i="19"/>
  <c r="C34" i="19"/>
  <c r="C35" i="19"/>
  <c r="C36" i="19"/>
  <c r="C37" i="19"/>
  <c r="C39" i="19"/>
  <c r="C40" i="19"/>
  <c r="C41" i="19"/>
  <c r="C42" i="19"/>
  <c r="C43" i="19"/>
  <c r="C44" i="19"/>
  <c r="C45" i="19"/>
  <c r="C46" i="19"/>
  <c r="C47" i="19"/>
  <c r="C48" i="19"/>
  <c r="C49" i="19"/>
  <c r="C51" i="19"/>
  <c r="C52" i="19"/>
  <c r="C53" i="19"/>
  <c r="C54" i="19"/>
  <c r="C55" i="19"/>
  <c r="C56" i="19"/>
  <c r="C57" i="19"/>
  <c r="C58" i="19"/>
  <c r="C59" i="19"/>
  <c r="C60" i="19"/>
  <c r="C61" i="19"/>
  <c r="C63" i="19"/>
  <c r="C64" i="19"/>
  <c r="C65" i="19"/>
  <c r="C66" i="19"/>
  <c r="C67" i="19"/>
  <c r="C68" i="19"/>
  <c r="C69" i="19"/>
  <c r="C70" i="19"/>
  <c r="C71" i="19"/>
  <c r="C72" i="19"/>
  <c r="C73" i="19"/>
  <c r="C75" i="19"/>
  <c r="C76" i="19"/>
  <c r="C77" i="19"/>
  <c r="C78" i="19"/>
  <c r="C79" i="19"/>
  <c r="C80" i="19"/>
  <c r="C81" i="19"/>
  <c r="C82" i="19"/>
  <c r="C83" i="19"/>
  <c r="C84" i="19"/>
  <c r="C85" i="19"/>
  <c r="C4" i="19"/>
  <c r="C5" i="19"/>
  <c r="C6" i="19"/>
  <c r="C7" i="19"/>
  <c r="C8" i="19"/>
  <c r="C9" i="19"/>
  <c r="C10" i="19"/>
  <c r="C11" i="19"/>
  <c r="C12" i="19"/>
  <c r="C13" i="19"/>
  <c r="C3" i="19"/>
  <c r="O2" i="19"/>
  <c r="N2" i="19"/>
  <c r="P2" i="19"/>
  <c r="L2" i="19"/>
  <c r="K2" i="19"/>
  <c r="J2" i="19"/>
  <c r="H2" i="19"/>
  <c r="G2" i="19"/>
  <c r="F2" i="19"/>
  <c r="D2" i="19"/>
  <c r="B2" i="19"/>
  <c r="N55" i="18"/>
  <c r="N53" i="18"/>
  <c r="N51" i="18"/>
  <c r="N49" i="18"/>
  <c r="N47" i="18"/>
  <c r="N45" i="18"/>
  <c r="N43" i="18"/>
  <c r="N41" i="18"/>
  <c r="N39" i="18"/>
  <c r="N37" i="18"/>
  <c r="N35" i="18"/>
  <c r="N33" i="18"/>
  <c r="N31" i="18"/>
  <c r="N28" i="18"/>
  <c r="N26" i="18"/>
  <c r="N24" i="18"/>
  <c r="N22" i="18"/>
  <c r="N20" i="18"/>
  <c r="N18" i="18"/>
  <c r="N16" i="18"/>
  <c r="N14" i="18"/>
  <c r="N12" i="18"/>
  <c r="N10" i="18"/>
  <c r="N8" i="18"/>
  <c r="N6" i="18"/>
  <c r="N4" i="18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30" i="17"/>
  <c r="R28" i="17"/>
  <c r="K14" i="5"/>
  <c r="F14" i="5"/>
  <c r="G14" i="5"/>
  <c r="L28" i="17"/>
  <c r="I28" i="17"/>
  <c r="B28" i="17"/>
  <c r="J28" i="17"/>
  <c r="K28" i="17"/>
  <c r="R27" i="17"/>
  <c r="K13" i="5"/>
  <c r="F13" i="5"/>
  <c r="G13" i="5"/>
  <c r="L27" i="17"/>
  <c r="I27" i="17"/>
  <c r="B27" i="17"/>
  <c r="J27" i="17"/>
  <c r="K27" i="17"/>
  <c r="R26" i="17"/>
  <c r="K12" i="5"/>
  <c r="F12" i="5"/>
  <c r="G12" i="5"/>
  <c r="L26" i="17"/>
  <c r="I26" i="17"/>
  <c r="B26" i="17"/>
  <c r="J26" i="17"/>
  <c r="K26" i="17"/>
  <c r="R25" i="17"/>
  <c r="K11" i="5"/>
  <c r="F11" i="5"/>
  <c r="G11" i="5"/>
  <c r="L25" i="17"/>
  <c r="I25" i="17"/>
  <c r="B25" i="17"/>
  <c r="J25" i="17"/>
  <c r="K25" i="17"/>
  <c r="R24" i="17"/>
  <c r="K10" i="5"/>
  <c r="F10" i="5"/>
  <c r="G10" i="5"/>
  <c r="L24" i="17"/>
  <c r="I24" i="17"/>
  <c r="B24" i="17"/>
  <c r="J24" i="17"/>
  <c r="K24" i="17"/>
  <c r="R23" i="17"/>
  <c r="K9" i="5"/>
  <c r="F9" i="5"/>
  <c r="G9" i="5"/>
  <c r="L23" i="17"/>
  <c r="I23" i="17"/>
  <c r="B23" i="17"/>
  <c r="J23" i="17"/>
  <c r="K23" i="17"/>
  <c r="R22" i="17"/>
  <c r="K8" i="5"/>
  <c r="F8" i="5"/>
  <c r="G8" i="5"/>
  <c r="L22" i="17"/>
  <c r="I22" i="17"/>
  <c r="B22" i="17"/>
  <c r="J22" i="17"/>
  <c r="K22" i="17"/>
  <c r="R21" i="17"/>
  <c r="K7" i="5"/>
  <c r="F7" i="5"/>
  <c r="G7" i="5"/>
  <c r="L21" i="17"/>
  <c r="I21" i="17"/>
  <c r="B21" i="17"/>
  <c r="J21" i="17"/>
  <c r="K21" i="17"/>
  <c r="R20" i="17"/>
  <c r="K6" i="5"/>
  <c r="F6" i="5"/>
  <c r="G6" i="5"/>
  <c r="L20" i="17"/>
  <c r="I20" i="17"/>
  <c r="B20" i="17"/>
  <c r="J20" i="17"/>
  <c r="K20" i="17"/>
  <c r="R19" i="17"/>
  <c r="K5" i="5"/>
  <c r="F5" i="5"/>
  <c r="G5" i="5"/>
  <c r="L19" i="17"/>
  <c r="I19" i="17"/>
  <c r="B19" i="17"/>
  <c r="J19" i="17"/>
  <c r="K19" i="17"/>
  <c r="R18" i="17"/>
  <c r="K4" i="5"/>
  <c r="F4" i="5"/>
  <c r="G4" i="5"/>
  <c r="L18" i="17"/>
  <c r="I18" i="17"/>
  <c r="B18" i="17"/>
  <c r="J18" i="17"/>
  <c r="K18" i="17"/>
  <c r="R17" i="17"/>
  <c r="K3" i="5"/>
  <c r="F3" i="5"/>
  <c r="G3" i="5"/>
  <c r="L17" i="17"/>
  <c r="I17" i="17"/>
  <c r="B17" i="17"/>
  <c r="J17" i="17"/>
  <c r="K17" i="17"/>
  <c r="F14" i="17"/>
  <c r="F13" i="17"/>
  <c r="F12" i="17"/>
  <c r="F11" i="17"/>
  <c r="F10" i="17"/>
  <c r="F9" i="17"/>
  <c r="F8" i="17"/>
  <c r="F7" i="17"/>
  <c r="F6" i="17"/>
  <c r="F5" i="17"/>
  <c r="F4" i="17"/>
  <c r="F3" i="17"/>
  <c r="I9" i="17"/>
  <c r="I12" i="17"/>
  <c r="I10" i="17"/>
  <c r="F25" i="17"/>
  <c r="I13" i="17"/>
  <c r="D32" i="12"/>
  <c r="D33" i="12"/>
  <c r="D34" i="12"/>
  <c r="D35" i="12"/>
  <c r="D36" i="12"/>
  <c r="D37" i="12"/>
  <c r="D38" i="12"/>
  <c r="D39" i="12"/>
  <c r="D40" i="12"/>
  <c r="D41" i="12"/>
  <c r="D42" i="12"/>
  <c r="D43" i="12"/>
  <c r="D31" i="12"/>
  <c r="F18" i="17"/>
  <c r="T18" i="17"/>
  <c r="F22" i="17"/>
  <c r="M22" i="17"/>
  <c r="F26" i="17"/>
  <c r="M26" i="17"/>
  <c r="M25" i="17"/>
  <c r="T25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F15" i="15"/>
  <c r="M18" i="17"/>
  <c r="N18" i="17"/>
  <c r="O18" i="17"/>
  <c r="T22" i="17"/>
  <c r="T26" i="17"/>
  <c r="M17" i="17"/>
  <c r="T17" i="17"/>
  <c r="M27" i="17"/>
  <c r="T27" i="17"/>
  <c r="U26" i="17"/>
  <c r="N26" i="17"/>
  <c r="O26" i="17"/>
  <c r="M28" i="17"/>
  <c r="T28" i="17"/>
  <c r="M23" i="17"/>
  <c r="T23" i="17"/>
  <c r="M24" i="17"/>
  <c r="T24" i="17"/>
  <c r="M19" i="17"/>
  <c r="T19" i="17"/>
  <c r="U22" i="17"/>
  <c r="N22" i="17"/>
  <c r="O22" i="17"/>
  <c r="U25" i="17"/>
  <c r="N25" i="17"/>
  <c r="O25" i="17"/>
  <c r="M21" i="17"/>
  <c r="T21" i="17"/>
  <c r="M20" i="17"/>
  <c r="T20" i="17"/>
  <c r="F15" i="12"/>
  <c r="F15" i="11"/>
  <c r="F15" i="6"/>
  <c r="F15" i="10"/>
  <c r="U18" i="17"/>
  <c r="U20" i="17"/>
  <c r="N20" i="17"/>
  <c r="O20" i="17"/>
  <c r="U19" i="17"/>
  <c r="N19" i="17"/>
  <c r="O19" i="17"/>
  <c r="U23" i="17"/>
  <c r="N23" i="17"/>
  <c r="O23" i="17"/>
  <c r="U27" i="17"/>
  <c r="N27" i="17"/>
  <c r="O27" i="17"/>
  <c r="V22" i="17"/>
  <c r="P22" i="17"/>
  <c r="S22" i="17"/>
  <c r="V26" i="17"/>
  <c r="P26" i="17"/>
  <c r="S26" i="17"/>
  <c r="U21" i="17"/>
  <c r="N21" i="17"/>
  <c r="O21" i="17"/>
  <c r="U24" i="17"/>
  <c r="N24" i="17"/>
  <c r="O24" i="17"/>
  <c r="U28" i="17"/>
  <c r="N28" i="17"/>
  <c r="O28" i="17"/>
  <c r="U17" i="17"/>
  <c r="N17" i="17"/>
  <c r="O17" i="17"/>
  <c r="V25" i="17"/>
  <c r="P25" i="17"/>
  <c r="S25" i="17"/>
  <c r="V18" i="17"/>
  <c r="P18" i="17"/>
  <c r="S18" i="17"/>
  <c r="B18" i="16"/>
  <c r="B19" i="16"/>
  <c r="B20" i="16"/>
  <c r="B21" i="16"/>
  <c r="B22" i="16"/>
  <c r="B23" i="16"/>
  <c r="B24" i="16"/>
  <c r="B25" i="16"/>
  <c r="B26" i="16"/>
  <c r="B27" i="16"/>
  <c r="B28" i="16"/>
  <c r="B17" i="16"/>
  <c r="B19" i="12"/>
  <c r="B20" i="12"/>
  <c r="B21" i="12"/>
  <c r="B22" i="12"/>
  <c r="B23" i="12"/>
  <c r="B24" i="12"/>
  <c r="B25" i="12"/>
  <c r="B26" i="12"/>
  <c r="B27" i="12"/>
  <c r="B28" i="12"/>
  <c r="B29" i="12"/>
  <c r="B18" i="12"/>
  <c r="B19" i="11"/>
  <c r="B20" i="11"/>
  <c r="B21" i="11"/>
  <c r="B22" i="11"/>
  <c r="B23" i="11"/>
  <c r="B24" i="11"/>
  <c r="B25" i="11"/>
  <c r="B26" i="11"/>
  <c r="B27" i="11"/>
  <c r="B28" i="11"/>
  <c r="B29" i="11"/>
  <c r="B18" i="11"/>
  <c r="B19" i="10"/>
  <c r="B20" i="10"/>
  <c r="B21" i="10"/>
  <c r="B22" i="10"/>
  <c r="B23" i="10"/>
  <c r="B24" i="10"/>
  <c r="B25" i="10"/>
  <c r="B26" i="10"/>
  <c r="B27" i="10"/>
  <c r="B28" i="10"/>
  <c r="B29" i="10"/>
  <c r="B18" i="10"/>
  <c r="V28" i="17"/>
  <c r="P28" i="17"/>
  <c r="S28" i="17"/>
  <c r="V21" i="17"/>
  <c r="P21" i="17"/>
  <c r="S21" i="17"/>
  <c r="V23" i="17"/>
  <c r="P23" i="17"/>
  <c r="S23" i="17"/>
  <c r="V20" i="17"/>
  <c r="P20" i="17"/>
  <c r="S20" i="17"/>
  <c r="V17" i="17"/>
  <c r="P17" i="17"/>
  <c r="S17" i="17"/>
  <c r="V24" i="17"/>
  <c r="P24" i="17"/>
  <c r="S24" i="17"/>
  <c r="V27" i="17"/>
  <c r="P27" i="17"/>
  <c r="S27" i="17"/>
  <c r="V19" i="17"/>
  <c r="P19" i="17"/>
  <c r="S19" i="17"/>
  <c r="B19" i="6"/>
  <c r="B20" i="6"/>
  <c r="B21" i="6"/>
  <c r="B22" i="6"/>
  <c r="B23" i="6"/>
  <c r="B24" i="6"/>
  <c r="B25" i="6"/>
  <c r="B26" i="6"/>
  <c r="B27" i="6"/>
  <c r="B28" i="6"/>
  <c r="B29" i="6"/>
  <c r="B18" i="6"/>
  <c r="D5" i="4"/>
  <c r="I5" i="4"/>
  <c r="M5" i="4"/>
  <c r="R28" i="16"/>
  <c r="I28" i="16"/>
  <c r="J28" i="16"/>
  <c r="K28" i="16"/>
  <c r="R27" i="16"/>
  <c r="I27" i="16"/>
  <c r="J27" i="16"/>
  <c r="K27" i="16"/>
  <c r="R26" i="16"/>
  <c r="I26" i="16"/>
  <c r="R25" i="16"/>
  <c r="I25" i="16"/>
  <c r="R24" i="16"/>
  <c r="I24" i="16"/>
  <c r="J24" i="16"/>
  <c r="K24" i="16"/>
  <c r="R23" i="16"/>
  <c r="I23" i="16"/>
  <c r="J23" i="16"/>
  <c r="K23" i="16"/>
  <c r="R22" i="16"/>
  <c r="I22" i="16"/>
  <c r="R21" i="16"/>
  <c r="I21" i="16"/>
  <c r="R20" i="16"/>
  <c r="I20" i="16"/>
  <c r="J20" i="16"/>
  <c r="K20" i="16"/>
  <c r="R19" i="16"/>
  <c r="I19" i="16"/>
  <c r="J19" i="16"/>
  <c r="K19" i="16"/>
  <c r="R18" i="16"/>
  <c r="I18" i="16"/>
  <c r="R17" i="16"/>
  <c r="I17" i="16"/>
  <c r="F14" i="16"/>
  <c r="F13" i="16"/>
  <c r="F12" i="16"/>
  <c r="F11" i="16"/>
  <c r="F10" i="16"/>
  <c r="F3" i="16"/>
  <c r="F4" i="16"/>
  <c r="F5" i="16"/>
  <c r="F6" i="16"/>
  <c r="F7" i="16"/>
  <c r="F8" i="16"/>
  <c r="F9" i="16"/>
  <c r="I9" i="16"/>
  <c r="I13" i="16"/>
  <c r="J21" i="16"/>
  <c r="K21" i="16"/>
  <c r="J25" i="16"/>
  <c r="K25" i="16"/>
  <c r="J18" i="16"/>
  <c r="K18" i="16"/>
  <c r="J22" i="16"/>
  <c r="K22" i="16"/>
  <c r="J26" i="16"/>
  <c r="K26" i="16"/>
  <c r="J17" i="16"/>
  <c r="K17" i="16"/>
  <c r="I12" i="16"/>
  <c r="I10" i="16"/>
  <c r="F17" i="16"/>
  <c r="F20" i="16"/>
  <c r="T20" i="16"/>
  <c r="F24" i="16"/>
  <c r="T17" i="16"/>
  <c r="F27" i="16"/>
  <c r="F23" i="16"/>
  <c r="F1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F26" i="16"/>
  <c r="F22" i="16"/>
  <c r="F18" i="16"/>
  <c r="F28" i="16"/>
  <c r="F25" i="16"/>
  <c r="F21" i="16"/>
  <c r="I19" i="12"/>
  <c r="I20" i="12"/>
  <c r="I21" i="12"/>
  <c r="I22" i="12"/>
  <c r="I23" i="12"/>
  <c r="I24" i="12"/>
  <c r="I25" i="12"/>
  <c r="I26" i="12"/>
  <c r="I27" i="12"/>
  <c r="I28" i="12"/>
  <c r="I29" i="12"/>
  <c r="I18" i="12"/>
  <c r="I19" i="11"/>
  <c r="I20" i="11"/>
  <c r="I21" i="11"/>
  <c r="I22" i="11"/>
  <c r="I23" i="11"/>
  <c r="I24" i="11"/>
  <c r="I25" i="11"/>
  <c r="I26" i="11"/>
  <c r="I27" i="11"/>
  <c r="I28" i="11"/>
  <c r="I29" i="11"/>
  <c r="I18" i="11"/>
  <c r="I19" i="10"/>
  <c r="I20" i="10"/>
  <c r="I21" i="10"/>
  <c r="I22" i="10"/>
  <c r="I23" i="10"/>
  <c r="I24" i="10"/>
  <c r="I25" i="10"/>
  <c r="I26" i="10"/>
  <c r="I27" i="10"/>
  <c r="I28" i="10"/>
  <c r="I29" i="10"/>
  <c r="I18" i="10"/>
  <c r="I19" i="6"/>
  <c r="I20" i="6"/>
  <c r="I21" i="6"/>
  <c r="I22" i="6"/>
  <c r="I23" i="6"/>
  <c r="I24" i="6"/>
  <c r="I25" i="6"/>
  <c r="I26" i="6"/>
  <c r="I27" i="6"/>
  <c r="I28" i="6"/>
  <c r="I29" i="6"/>
  <c r="I18" i="6"/>
  <c r="T24" i="16"/>
  <c r="T19" i="16"/>
  <c r="T18" i="16"/>
  <c r="T23" i="16"/>
  <c r="T21" i="16"/>
  <c r="T22" i="16"/>
  <c r="T27" i="16"/>
  <c r="T25" i="16"/>
  <c r="T26" i="16"/>
  <c r="T28" i="16"/>
  <c r="B19" i="15"/>
  <c r="B20" i="15"/>
  <c r="B21" i="15"/>
  <c r="B22" i="15"/>
  <c r="B23" i="15"/>
  <c r="B24" i="15"/>
  <c r="B25" i="15"/>
  <c r="B26" i="15"/>
  <c r="B27" i="15"/>
  <c r="B28" i="15"/>
  <c r="B29" i="15"/>
  <c r="B18" i="15"/>
  <c r="R29" i="15"/>
  <c r="I29" i="15"/>
  <c r="R28" i="15"/>
  <c r="I28" i="15"/>
  <c r="J28" i="15"/>
  <c r="K28" i="15"/>
  <c r="R27" i="15"/>
  <c r="I27" i="15"/>
  <c r="R26" i="15"/>
  <c r="I26" i="15"/>
  <c r="R25" i="15"/>
  <c r="I25" i="15"/>
  <c r="R24" i="15"/>
  <c r="I24" i="15"/>
  <c r="J24" i="15"/>
  <c r="K24" i="15"/>
  <c r="R23" i="15"/>
  <c r="I23" i="15"/>
  <c r="J23" i="15"/>
  <c r="K23" i="15"/>
  <c r="R22" i="15"/>
  <c r="I22" i="15"/>
  <c r="R21" i="15"/>
  <c r="I21" i="15"/>
  <c r="J21" i="15"/>
  <c r="K21" i="15"/>
  <c r="R20" i="15"/>
  <c r="I20" i="15"/>
  <c r="R19" i="15"/>
  <c r="I19" i="15"/>
  <c r="R18" i="15"/>
  <c r="I18" i="15"/>
  <c r="J18" i="15"/>
  <c r="K18" i="15"/>
  <c r="F14" i="15"/>
  <c r="F13" i="15"/>
  <c r="F12" i="15"/>
  <c r="F11" i="15"/>
  <c r="F10" i="15"/>
  <c r="F9" i="15"/>
  <c r="F8" i="15"/>
  <c r="F7" i="15"/>
  <c r="F6" i="15"/>
  <c r="F5" i="15"/>
  <c r="F4" i="15"/>
  <c r="F3" i="15"/>
  <c r="J19" i="15"/>
  <c r="K19" i="15"/>
  <c r="J25" i="15"/>
  <c r="K25" i="15"/>
  <c r="R29" i="12"/>
  <c r="J29" i="12"/>
  <c r="K29" i="12"/>
  <c r="R28" i="12"/>
  <c r="J28" i="12"/>
  <c r="K28" i="12"/>
  <c r="R27" i="12"/>
  <c r="J27" i="12"/>
  <c r="K27" i="12"/>
  <c r="R26" i="12"/>
  <c r="J26" i="12"/>
  <c r="K26" i="12"/>
  <c r="R25" i="12"/>
  <c r="J25" i="12"/>
  <c r="K25" i="12"/>
  <c r="R24" i="12"/>
  <c r="J24" i="12"/>
  <c r="K24" i="12"/>
  <c r="R23" i="12"/>
  <c r="J23" i="12"/>
  <c r="K23" i="12"/>
  <c r="R22" i="12"/>
  <c r="J22" i="12"/>
  <c r="K22" i="12"/>
  <c r="R21" i="12"/>
  <c r="J21" i="12"/>
  <c r="K21" i="12"/>
  <c r="R20" i="12"/>
  <c r="J20" i="12"/>
  <c r="K20" i="12"/>
  <c r="R19" i="12"/>
  <c r="J19" i="12"/>
  <c r="K19" i="12"/>
  <c r="R18" i="12"/>
  <c r="J18" i="12"/>
  <c r="K18" i="12"/>
  <c r="F14" i="12"/>
  <c r="F13" i="12"/>
  <c r="F12" i="12"/>
  <c r="F11" i="12"/>
  <c r="F10" i="12"/>
  <c r="F9" i="12"/>
  <c r="F8" i="12"/>
  <c r="F7" i="12"/>
  <c r="F6" i="12"/>
  <c r="F5" i="12"/>
  <c r="F4" i="12"/>
  <c r="F3" i="12"/>
  <c r="R29" i="11"/>
  <c r="J29" i="11"/>
  <c r="K29" i="11"/>
  <c r="R28" i="11"/>
  <c r="J28" i="11"/>
  <c r="K28" i="11"/>
  <c r="R27" i="11"/>
  <c r="J27" i="11"/>
  <c r="K27" i="11"/>
  <c r="R26" i="11"/>
  <c r="J26" i="11"/>
  <c r="K26" i="11"/>
  <c r="R25" i="11"/>
  <c r="J25" i="11"/>
  <c r="K25" i="11"/>
  <c r="R24" i="11"/>
  <c r="J24" i="11"/>
  <c r="K24" i="11"/>
  <c r="R23" i="11"/>
  <c r="J23" i="11"/>
  <c r="K23" i="11"/>
  <c r="R22" i="11"/>
  <c r="J22" i="11"/>
  <c r="K22" i="11"/>
  <c r="R21" i="11"/>
  <c r="J21" i="11"/>
  <c r="K21" i="11"/>
  <c r="R20" i="11"/>
  <c r="J20" i="11"/>
  <c r="K20" i="11"/>
  <c r="R19" i="11"/>
  <c r="J19" i="11"/>
  <c r="K19" i="11"/>
  <c r="R18" i="11"/>
  <c r="J18" i="11"/>
  <c r="K18" i="11"/>
  <c r="F14" i="11"/>
  <c r="F13" i="11"/>
  <c r="F12" i="11"/>
  <c r="F11" i="11"/>
  <c r="F10" i="11"/>
  <c r="F9" i="11"/>
  <c r="F8" i="11"/>
  <c r="F7" i="11"/>
  <c r="F6" i="11"/>
  <c r="F5" i="11"/>
  <c r="F4" i="11"/>
  <c r="F3" i="11"/>
  <c r="R29" i="10"/>
  <c r="J29" i="10"/>
  <c r="K29" i="10"/>
  <c r="R28" i="10"/>
  <c r="J28" i="10"/>
  <c r="K28" i="10"/>
  <c r="R27" i="10"/>
  <c r="J27" i="10"/>
  <c r="K27" i="10"/>
  <c r="R26" i="10"/>
  <c r="J26" i="10"/>
  <c r="K26" i="10"/>
  <c r="R25" i="10"/>
  <c r="J25" i="10"/>
  <c r="K25" i="10"/>
  <c r="R24" i="10"/>
  <c r="J24" i="10"/>
  <c r="K24" i="10"/>
  <c r="R23" i="10"/>
  <c r="J23" i="10"/>
  <c r="K23" i="10"/>
  <c r="R22" i="10"/>
  <c r="J22" i="10"/>
  <c r="K22" i="10"/>
  <c r="R21" i="10"/>
  <c r="J21" i="10"/>
  <c r="K21" i="10"/>
  <c r="R20" i="10"/>
  <c r="J20" i="10"/>
  <c r="K20" i="10"/>
  <c r="R19" i="10"/>
  <c r="J19" i="10"/>
  <c r="K19" i="10"/>
  <c r="R18" i="10"/>
  <c r="J18" i="10"/>
  <c r="K18" i="10"/>
  <c r="F14" i="10"/>
  <c r="F13" i="10"/>
  <c r="F12" i="10"/>
  <c r="F11" i="10"/>
  <c r="F10" i="10"/>
  <c r="F9" i="10"/>
  <c r="F8" i="10"/>
  <c r="F7" i="10"/>
  <c r="F6" i="10"/>
  <c r="F5" i="10"/>
  <c r="F4" i="10"/>
  <c r="F3" i="10"/>
  <c r="O6" i="4"/>
  <c r="D6" i="4"/>
  <c r="I6" i="4"/>
  <c r="M6" i="4"/>
  <c r="Q6" i="4"/>
  <c r="O7" i="4"/>
  <c r="D7" i="4"/>
  <c r="I7" i="4"/>
  <c r="M7" i="4"/>
  <c r="Q7" i="4"/>
  <c r="O8" i="4"/>
  <c r="D8" i="4"/>
  <c r="I8" i="4"/>
  <c r="M8" i="4"/>
  <c r="Q8" i="4"/>
  <c r="T8" i="4"/>
  <c r="O9" i="4"/>
  <c r="D9" i="4"/>
  <c r="I9" i="4"/>
  <c r="M9" i="4"/>
  <c r="Q9" i="4"/>
  <c r="O10" i="4"/>
  <c r="D10" i="4"/>
  <c r="I10" i="4"/>
  <c r="M10" i="4"/>
  <c r="Q10" i="4"/>
  <c r="T6" i="4"/>
  <c r="T7" i="4"/>
  <c r="T9" i="4"/>
  <c r="T10" i="4"/>
  <c r="S20" i="4"/>
  <c r="S21" i="4"/>
  <c r="S22" i="4"/>
  <c r="S23" i="4"/>
  <c r="S24" i="4"/>
  <c r="S19" i="4"/>
  <c r="G6" i="4"/>
  <c r="H6" i="4"/>
  <c r="G7" i="4"/>
  <c r="H7" i="4"/>
  <c r="G8" i="4"/>
  <c r="H8" i="4"/>
  <c r="G9" i="4"/>
  <c r="H9" i="4"/>
  <c r="G10" i="4"/>
  <c r="H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G5" i="4"/>
  <c r="H5" i="4"/>
  <c r="J4" i="1"/>
  <c r="K4" i="1"/>
  <c r="L4" i="1"/>
  <c r="J5" i="1"/>
  <c r="K5" i="1"/>
  <c r="L5" i="1"/>
  <c r="J6" i="1"/>
  <c r="K6" i="1"/>
  <c r="L6" i="1"/>
  <c r="J7" i="1"/>
  <c r="K7" i="1"/>
  <c r="L7" i="1"/>
  <c r="J3" i="1"/>
  <c r="K3" i="1"/>
  <c r="L3" i="1"/>
  <c r="F14" i="6"/>
  <c r="J25" i="6"/>
  <c r="K25" i="6"/>
  <c r="J19" i="6"/>
  <c r="K19" i="6"/>
  <c r="J20" i="6"/>
  <c r="K20" i="6"/>
  <c r="J21" i="6"/>
  <c r="K21" i="6"/>
  <c r="J22" i="6"/>
  <c r="K22" i="6"/>
  <c r="J23" i="6"/>
  <c r="K23" i="6"/>
  <c r="J24" i="6"/>
  <c r="K24" i="6"/>
  <c r="J26" i="6"/>
  <c r="K26" i="6"/>
  <c r="J27" i="6"/>
  <c r="K27" i="6"/>
  <c r="J28" i="6"/>
  <c r="K28" i="6"/>
  <c r="J29" i="6"/>
  <c r="K29" i="6"/>
  <c r="J18" i="6"/>
  <c r="K18" i="6"/>
  <c r="R27" i="6"/>
  <c r="R29" i="6"/>
  <c r="R28" i="6"/>
  <c r="R26" i="6"/>
  <c r="R25" i="6"/>
  <c r="R24" i="6"/>
  <c r="R23" i="6"/>
  <c r="R22" i="6"/>
  <c r="R21" i="6"/>
  <c r="R20" i="6"/>
  <c r="R19" i="6"/>
  <c r="R18" i="6"/>
  <c r="F13" i="6"/>
  <c r="F12" i="6"/>
  <c r="F11" i="6"/>
  <c r="F10" i="6"/>
  <c r="F9" i="6"/>
  <c r="F8" i="6"/>
  <c r="F7" i="6"/>
  <c r="F6" i="6"/>
  <c r="F5" i="6"/>
  <c r="F4" i="6"/>
  <c r="F3" i="6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12" i="4"/>
  <c r="H12" i="4"/>
  <c r="G16" i="4"/>
  <c r="H16" i="4"/>
  <c r="O16" i="4"/>
  <c r="O15" i="4"/>
  <c r="O14" i="4"/>
  <c r="O13" i="4"/>
  <c r="O12" i="4"/>
  <c r="O11" i="4"/>
  <c r="G11" i="4"/>
  <c r="H11" i="4"/>
  <c r="O5" i="4"/>
  <c r="G13" i="4"/>
  <c r="H13" i="4"/>
  <c r="G14" i="4"/>
  <c r="H14" i="4"/>
  <c r="P7" i="4"/>
  <c r="G15" i="4"/>
  <c r="H15" i="4"/>
  <c r="P8" i="4"/>
  <c r="P6" i="4"/>
  <c r="P10" i="4"/>
  <c r="P9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P5" i="4"/>
  <c r="Q5" i="4"/>
  <c r="T5" i="4"/>
  <c r="I9" i="12"/>
  <c r="I13" i="12"/>
  <c r="I12" i="12"/>
  <c r="I10" i="12"/>
  <c r="J22" i="15"/>
  <c r="K22" i="15"/>
  <c r="J26" i="15"/>
  <c r="K26" i="15"/>
  <c r="J20" i="15"/>
  <c r="K20" i="15"/>
  <c r="J27" i="15"/>
  <c r="K27" i="15"/>
  <c r="L19" i="16"/>
  <c r="M19" i="16"/>
  <c r="N19" i="16"/>
  <c r="O19" i="16"/>
  <c r="L20" i="12"/>
  <c r="L20" i="6"/>
  <c r="L20" i="15"/>
  <c r="L20" i="10"/>
  <c r="L20" i="11"/>
  <c r="L22" i="16"/>
  <c r="M22" i="16"/>
  <c r="L23" i="15"/>
  <c r="L23" i="11"/>
  <c r="L23" i="10"/>
  <c r="L23" i="6"/>
  <c r="L23" i="12"/>
  <c r="L20" i="16"/>
  <c r="M20" i="16"/>
  <c r="L21" i="12"/>
  <c r="L21" i="15"/>
  <c r="L21" i="11"/>
  <c r="L21" i="10"/>
  <c r="L21" i="6"/>
  <c r="L25" i="16"/>
  <c r="M25" i="16"/>
  <c r="L26" i="15"/>
  <c r="L26" i="6"/>
  <c r="L26" i="12"/>
  <c r="L26" i="11"/>
  <c r="L26" i="10"/>
  <c r="L26" i="16"/>
  <c r="M26" i="16"/>
  <c r="U26" i="16"/>
  <c r="L27" i="10"/>
  <c r="L27" i="15"/>
  <c r="L27" i="12"/>
  <c r="L27" i="11"/>
  <c r="L27" i="6"/>
  <c r="L18" i="16"/>
  <c r="M18" i="16"/>
  <c r="N18" i="16"/>
  <c r="O18" i="16"/>
  <c r="L19" i="15"/>
  <c r="L19" i="11"/>
  <c r="L19" i="12"/>
  <c r="L19" i="10"/>
  <c r="L19" i="6"/>
  <c r="L23" i="16"/>
  <c r="M23" i="16"/>
  <c r="U23" i="16"/>
  <c r="L24" i="12"/>
  <c r="L24" i="11"/>
  <c r="L24" i="10"/>
  <c r="L24" i="6"/>
  <c r="L24" i="15"/>
  <c r="L28" i="16"/>
  <c r="M28" i="16"/>
  <c r="N28" i="16"/>
  <c r="O28" i="16"/>
  <c r="L29" i="12"/>
  <c r="L29" i="11"/>
  <c r="L29" i="15"/>
  <c r="L29" i="10"/>
  <c r="L29" i="6"/>
  <c r="L21" i="16"/>
  <c r="M21" i="16"/>
  <c r="N21" i="16"/>
  <c r="O21" i="16"/>
  <c r="L22" i="10"/>
  <c r="L22" i="6"/>
  <c r="L22" i="12"/>
  <c r="L22" i="15"/>
  <c r="L22" i="11"/>
  <c r="L24" i="16"/>
  <c r="M24" i="16"/>
  <c r="L25" i="15"/>
  <c r="L25" i="12"/>
  <c r="L25" i="11"/>
  <c r="L25" i="10"/>
  <c r="L25" i="6"/>
  <c r="L27" i="16"/>
  <c r="M27" i="16"/>
  <c r="N27" i="16"/>
  <c r="O27" i="16"/>
  <c r="L28" i="12"/>
  <c r="L28" i="11"/>
  <c r="L28" i="15"/>
  <c r="L28" i="10"/>
  <c r="L28" i="6"/>
  <c r="L17" i="16"/>
  <c r="M17" i="16"/>
  <c r="L18" i="15"/>
  <c r="L18" i="12"/>
  <c r="L18" i="10"/>
  <c r="L18" i="11"/>
  <c r="L18" i="6"/>
  <c r="F22" i="12"/>
  <c r="G20" i="12"/>
  <c r="F25" i="12"/>
  <c r="F21" i="12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U28" i="16"/>
  <c r="U25" i="16"/>
  <c r="N25" i="16"/>
  <c r="O25" i="16"/>
  <c r="U18" i="16"/>
  <c r="U22" i="16"/>
  <c r="N22" i="16"/>
  <c r="O22" i="16"/>
  <c r="J29" i="15"/>
  <c r="K29" i="15"/>
  <c r="F24" i="12"/>
  <c r="M24" i="12"/>
  <c r="G24" i="12"/>
  <c r="G27" i="12"/>
  <c r="G29" i="12"/>
  <c r="G19" i="12"/>
  <c r="G28" i="12"/>
  <c r="G22" i="12"/>
  <c r="G21" i="12"/>
  <c r="G26" i="12"/>
  <c r="G25" i="12"/>
  <c r="G23" i="12"/>
  <c r="F23" i="12"/>
  <c r="M23" i="12"/>
  <c r="N23" i="12"/>
  <c r="O23" i="12"/>
  <c r="P23" i="12"/>
  <c r="S23" i="12"/>
  <c r="F28" i="12"/>
  <c r="T28" i="12"/>
  <c r="F19" i="12"/>
  <c r="T19" i="12"/>
  <c r="T24" i="12"/>
  <c r="F29" i="12"/>
  <c r="F26" i="12"/>
  <c r="T26" i="12"/>
  <c r="T23" i="12"/>
  <c r="F18" i="12"/>
  <c r="G18" i="12"/>
  <c r="F20" i="12"/>
  <c r="T20" i="12"/>
  <c r="F27" i="12"/>
  <c r="M19" i="12"/>
  <c r="U19" i="12"/>
  <c r="U27" i="16"/>
  <c r="U19" i="16"/>
  <c r="U21" i="16"/>
  <c r="N23" i="16"/>
  <c r="O23" i="16"/>
  <c r="P23" i="16"/>
  <c r="S23" i="16"/>
  <c r="N26" i="16"/>
  <c r="O26" i="16"/>
  <c r="V26" i="16"/>
  <c r="N24" i="12"/>
  <c r="O24" i="12"/>
  <c r="P24" i="12"/>
  <c r="S24" i="12"/>
  <c r="U24" i="12"/>
  <c r="U24" i="16"/>
  <c r="N24" i="16"/>
  <c r="O24" i="16"/>
  <c r="U20" i="16"/>
  <c r="N20" i="16"/>
  <c r="O20" i="16"/>
  <c r="U17" i="16"/>
  <c r="N17" i="16"/>
  <c r="O17" i="16"/>
  <c r="M21" i="12"/>
  <c r="T21" i="12"/>
  <c r="M22" i="12"/>
  <c r="T22" i="12"/>
  <c r="T25" i="12"/>
  <c r="M25" i="12"/>
  <c r="T27" i="12"/>
  <c r="M27" i="12"/>
  <c r="N19" i="12"/>
  <c r="O19" i="12"/>
  <c r="V21" i="16"/>
  <c r="P21" i="16"/>
  <c r="S21" i="16"/>
  <c r="V25" i="16"/>
  <c r="P25" i="16"/>
  <c r="S25" i="16"/>
  <c r="V19" i="16"/>
  <c r="P19" i="16"/>
  <c r="S19" i="16"/>
  <c r="V22" i="16"/>
  <c r="P22" i="16"/>
  <c r="S22" i="16"/>
  <c r="V18" i="16"/>
  <c r="P18" i="16"/>
  <c r="S18" i="16"/>
  <c r="V27" i="16"/>
  <c r="P27" i="16"/>
  <c r="S27" i="16"/>
  <c r="V28" i="16"/>
  <c r="P28" i="16"/>
  <c r="S28" i="16"/>
  <c r="V23" i="16"/>
  <c r="M26" i="12"/>
  <c r="M20" i="12"/>
  <c r="N20" i="12"/>
  <c r="O20" i="12"/>
  <c r="T29" i="12"/>
  <c r="M29" i="12"/>
  <c r="U23" i="12"/>
  <c r="M18" i="12"/>
  <c r="T18" i="12"/>
  <c r="M28" i="12"/>
  <c r="V24" i="12"/>
  <c r="V23" i="12"/>
  <c r="P26" i="16"/>
  <c r="S26" i="16"/>
  <c r="P20" i="16"/>
  <c r="S20" i="16"/>
  <c r="V20" i="16"/>
  <c r="V24" i="16"/>
  <c r="P24" i="16"/>
  <c r="S24" i="16"/>
  <c r="P17" i="16"/>
  <c r="S17" i="16"/>
  <c r="V17" i="16"/>
  <c r="U21" i="12"/>
  <c r="N21" i="12"/>
  <c r="O21" i="12"/>
  <c r="U25" i="12"/>
  <c r="N25" i="12"/>
  <c r="O25" i="12"/>
  <c r="N22" i="12"/>
  <c r="O22" i="12"/>
  <c r="U22" i="12"/>
  <c r="N27" i="12"/>
  <c r="O27" i="12"/>
  <c r="U27" i="12"/>
  <c r="P19" i="12"/>
  <c r="S19" i="12"/>
  <c r="V19" i="12"/>
  <c r="N18" i="12"/>
  <c r="O18" i="12"/>
  <c r="U18" i="12"/>
  <c r="U20" i="12"/>
  <c r="U26" i="12"/>
  <c r="N26" i="12"/>
  <c r="O26" i="12"/>
  <c r="N28" i="12"/>
  <c r="O28" i="12"/>
  <c r="U28" i="12"/>
  <c r="N29" i="12"/>
  <c r="O29" i="12"/>
  <c r="U29" i="12"/>
  <c r="P22" i="12"/>
  <c r="S22" i="12"/>
  <c r="V22" i="12"/>
  <c r="P21" i="12"/>
  <c r="S21" i="12"/>
  <c r="V21" i="12"/>
  <c r="P27" i="12"/>
  <c r="S27" i="12"/>
  <c r="V27" i="12"/>
  <c r="P20" i="12"/>
  <c r="S20" i="12"/>
  <c r="V20" i="12"/>
  <c r="P25" i="12"/>
  <c r="S25" i="12"/>
  <c r="V25" i="12"/>
  <c r="V28" i="12"/>
  <c r="P28" i="12"/>
  <c r="S28" i="12"/>
  <c r="P26" i="12"/>
  <c r="S26" i="12"/>
  <c r="V26" i="12"/>
  <c r="P18" i="12"/>
  <c r="S18" i="12"/>
  <c r="V18" i="12"/>
  <c r="P29" i="12"/>
  <c r="S29" i="12"/>
  <c r="V29" i="12"/>
  <c r="I9" i="15"/>
  <c r="I10" i="15"/>
  <c r="F28" i="15"/>
  <c r="M28" i="15"/>
  <c r="N28" i="15"/>
  <c r="O28" i="15"/>
  <c r="V28" i="15"/>
  <c r="X28" i="15"/>
  <c r="Z28" i="15"/>
  <c r="W28" i="15"/>
  <c r="Y28" i="15"/>
  <c r="F21" i="15"/>
  <c r="M21" i="15"/>
  <c r="N21" i="15"/>
  <c r="O21" i="15"/>
  <c r="V21" i="15"/>
  <c r="W21" i="15"/>
  <c r="Y21" i="15"/>
  <c r="X21" i="15"/>
  <c r="Z21" i="15"/>
  <c r="F26" i="15"/>
  <c r="M26" i="15"/>
  <c r="N26" i="15"/>
  <c r="O26" i="15"/>
  <c r="V26" i="15"/>
  <c r="W26" i="15"/>
  <c r="Y26" i="15"/>
  <c r="X26" i="15"/>
  <c r="Z26" i="15"/>
  <c r="F23" i="15"/>
  <c r="M23" i="15"/>
  <c r="N23" i="15"/>
  <c r="O23" i="15"/>
  <c r="V23" i="15"/>
  <c r="W23" i="15"/>
  <c r="Y23" i="15"/>
  <c r="X23" i="15"/>
  <c r="Z23" i="15"/>
  <c r="I9" i="6"/>
  <c r="I10" i="6"/>
  <c r="F24" i="6"/>
  <c r="M24" i="6"/>
  <c r="N24" i="6"/>
  <c r="O24" i="6"/>
  <c r="V24" i="6"/>
  <c r="P24" i="6"/>
  <c r="S24" i="6"/>
  <c r="F20" i="6"/>
  <c r="M20" i="6"/>
  <c r="N20" i="6"/>
  <c r="O20" i="6"/>
  <c r="V20" i="6"/>
  <c r="P20" i="6"/>
  <c r="S20" i="6"/>
  <c r="F18" i="6"/>
  <c r="M18" i="6"/>
  <c r="N18" i="6"/>
  <c r="O18" i="6"/>
  <c r="V18" i="6"/>
  <c r="P18" i="6"/>
  <c r="S18" i="6"/>
  <c r="F22" i="6"/>
  <c r="M22" i="6"/>
  <c r="N22" i="6"/>
  <c r="O22" i="6"/>
  <c r="V22" i="6"/>
  <c r="P22" i="6"/>
  <c r="S22" i="6"/>
  <c r="F29" i="6"/>
  <c r="M29" i="6"/>
  <c r="N29" i="6"/>
  <c r="O29" i="6"/>
  <c r="V29" i="6"/>
  <c r="P29" i="6"/>
  <c r="S29" i="6"/>
  <c r="F23" i="6"/>
  <c r="M23" i="6"/>
  <c r="N23" i="6"/>
  <c r="O23" i="6"/>
  <c r="V23" i="6"/>
  <c r="P23" i="6"/>
  <c r="S23" i="6"/>
  <c r="F21" i="6"/>
  <c r="M21" i="6"/>
  <c r="N21" i="6"/>
  <c r="O21" i="6"/>
  <c r="V21" i="6"/>
  <c r="P21" i="6"/>
  <c r="S21" i="6"/>
  <c r="F19" i="6"/>
  <c r="M19" i="6"/>
  <c r="N19" i="6"/>
  <c r="O19" i="6"/>
  <c r="V19" i="6"/>
  <c r="P19" i="6"/>
  <c r="S19" i="6"/>
  <c r="F26" i="6"/>
  <c r="M26" i="6"/>
  <c r="N26" i="6"/>
  <c r="O26" i="6"/>
  <c r="V26" i="6"/>
  <c r="P26" i="6"/>
  <c r="S26" i="6"/>
  <c r="F25" i="6"/>
  <c r="M25" i="6"/>
  <c r="N25" i="6"/>
  <c r="O25" i="6"/>
  <c r="V25" i="6"/>
  <c r="P25" i="6"/>
  <c r="S25" i="6"/>
  <c r="F27" i="15"/>
  <c r="M27" i="15"/>
  <c r="N27" i="15"/>
  <c r="O27" i="15"/>
  <c r="V27" i="15"/>
  <c r="X27" i="15"/>
  <c r="Z27" i="15"/>
  <c r="W27" i="15"/>
  <c r="Y27" i="15"/>
  <c r="F20" i="15"/>
  <c r="M20" i="15"/>
  <c r="N20" i="15"/>
  <c r="O20" i="15"/>
  <c r="V20" i="15"/>
  <c r="W20" i="15"/>
  <c r="Y20" i="15"/>
  <c r="X20" i="15"/>
  <c r="Z20" i="15"/>
  <c r="F25" i="15"/>
  <c r="M25" i="15"/>
  <c r="N25" i="15"/>
  <c r="O25" i="15"/>
  <c r="V25" i="15"/>
  <c r="W25" i="15"/>
  <c r="Y25" i="15"/>
  <c r="F22" i="15"/>
  <c r="M22" i="15"/>
  <c r="N22" i="15"/>
  <c r="O22" i="15"/>
  <c r="V22" i="15"/>
  <c r="W22" i="15"/>
  <c r="Y22" i="15"/>
  <c r="I9" i="10"/>
  <c r="I10" i="10"/>
  <c r="F26" i="10"/>
  <c r="M26" i="10"/>
  <c r="N26" i="10"/>
  <c r="O26" i="10"/>
  <c r="P26" i="10"/>
  <c r="S26" i="10"/>
  <c r="V26" i="10"/>
  <c r="F25" i="10"/>
  <c r="M25" i="10"/>
  <c r="N25" i="10"/>
  <c r="O25" i="10"/>
  <c r="V25" i="10"/>
  <c r="P25" i="10"/>
  <c r="S25" i="10"/>
  <c r="F21" i="10"/>
  <c r="M21" i="10"/>
  <c r="N21" i="10"/>
  <c r="O21" i="10"/>
  <c r="V21" i="10"/>
  <c r="P21" i="10"/>
  <c r="S21" i="10"/>
  <c r="I9" i="11"/>
  <c r="I10" i="11"/>
  <c r="F19" i="11"/>
  <c r="M19" i="11"/>
  <c r="N19" i="11"/>
  <c r="O19" i="11"/>
  <c r="V19" i="11"/>
  <c r="P19" i="11"/>
  <c r="S19" i="11"/>
  <c r="F25" i="11"/>
  <c r="M25" i="11"/>
  <c r="N25" i="11"/>
  <c r="O25" i="11"/>
  <c r="V25" i="11"/>
  <c r="P25" i="11"/>
  <c r="S25" i="11"/>
  <c r="P23" i="15"/>
  <c r="S23" i="15"/>
  <c r="P28" i="15"/>
  <c r="S28" i="15"/>
  <c r="P26" i="15"/>
  <c r="S26" i="15"/>
  <c r="F18" i="15"/>
  <c r="M18" i="15"/>
  <c r="N18" i="15"/>
  <c r="O18" i="15"/>
  <c r="V18" i="15"/>
  <c r="X18" i="15"/>
  <c r="Z18" i="15"/>
  <c r="W18" i="15"/>
  <c r="Y18" i="15"/>
  <c r="P21" i="15"/>
  <c r="S21" i="15"/>
  <c r="F24" i="15"/>
  <c r="M24" i="15"/>
  <c r="N24" i="15"/>
  <c r="O24" i="15"/>
  <c r="V24" i="15"/>
  <c r="X24" i="15"/>
  <c r="Z24" i="15"/>
  <c r="W24" i="15"/>
  <c r="Y24" i="15"/>
  <c r="F20" i="10"/>
  <c r="M20" i="10"/>
  <c r="N20" i="10"/>
  <c r="O20" i="10"/>
  <c r="V20" i="10"/>
  <c r="F24" i="10"/>
  <c r="M24" i="10"/>
  <c r="N24" i="10"/>
  <c r="O24" i="10"/>
  <c r="P24" i="10"/>
  <c r="S24" i="10"/>
  <c r="U25" i="6"/>
  <c r="U23" i="6"/>
  <c r="U20" i="6"/>
  <c r="U29" i="6"/>
  <c r="U26" i="6"/>
  <c r="U22" i="6"/>
  <c r="U19" i="6"/>
  <c r="U18" i="6"/>
  <c r="U24" i="6"/>
  <c r="U21" i="6"/>
  <c r="P27" i="15"/>
  <c r="S27" i="15"/>
  <c r="F29" i="15"/>
  <c r="M29" i="15"/>
  <c r="N29" i="15"/>
  <c r="O29" i="15"/>
  <c r="V29" i="15"/>
  <c r="W29" i="15"/>
  <c r="Y29" i="15"/>
  <c r="X22" i="15"/>
  <c r="Z22" i="15"/>
  <c r="X25" i="15"/>
  <c r="Z25" i="15"/>
  <c r="F27" i="6"/>
  <c r="M27" i="6"/>
  <c r="N27" i="6"/>
  <c r="O27" i="6"/>
  <c r="V27" i="6"/>
  <c r="P27" i="6"/>
  <c r="S27" i="6"/>
  <c r="U26" i="10"/>
  <c r="U25" i="10"/>
  <c r="U21" i="10"/>
  <c r="F19" i="10"/>
  <c r="M19" i="10"/>
  <c r="N19" i="10"/>
  <c r="O19" i="10"/>
  <c r="V19" i="10"/>
  <c r="P19" i="10"/>
  <c r="S19" i="10"/>
  <c r="F22" i="10"/>
  <c r="M22" i="10"/>
  <c r="N22" i="10"/>
  <c r="O22" i="10"/>
  <c r="V22" i="10"/>
  <c r="P22" i="10"/>
  <c r="S22" i="10"/>
  <c r="F18" i="10"/>
  <c r="M18" i="10"/>
  <c r="N18" i="10"/>
  <c r="O18" i="10"/>
  <c r="V18" i="10"/>
  <c r="P18" i="10"/>
  <c r="S18" i="10"/>
  <c r="F29" i="11"/>
  <c r="M29" i="11"/>
  <c r="N29" i="11"/>
  <c r="O29" i="11"/>
  <c r="V29" i="11"/>
  <c r="P29" i="11"/>
  <c r="S29" i="11"/>
  <c r="F24" i="11"/>
  <c r="M24" i="11"/>
  <c r="N24" i="11"/>
  <c r="O24" i="11"/>
  <c r="V24" i="11"/>
  <c r="P24" i="11"/>
  <c r="S24" i="11"/>
  <c r="U19" i="11"/>
  <c r="F21" i="11"/>
  <c r="M21" i="11"/>
  <c r="N21" i="11"/>
  <c r="O21" i="11"/>
  <c r="V21" i="11"/>
  <c r="P21" i="11"/>
  <c r="S21" i="11"/>
  <c r="U25" i="11"/>
  <c r="U28" i="15"/>
  <c r="U23" i="15"/>
  <c r="U21" i="15"/>
  <c r="U26" i="15"/>
  <c r="F18" i="11"/>
  <c r="M18" i="11"/>
  <c r="N18" i="11"/>
  <c r="O18" i="11"/>
  <c r="V18" i="11"/>
  <c r="P18" i="11"/>
  <c r="S18" i="11"/>
  <c r="F28" i="6"/>
  <c r="M28" i="6"/>
  <c r="N28" i="6"/>
  <c r="O28" i="6"/>
  <c r="V28" i="6"/>
  <c r="P28" i="6"/>
  <c r="S28" i="6"/>
  <c r="F27" i="10"/>
  <c r="M27" i="10"/>
  <c r="N27" i="10"/>
  <c r="O27" i="10"/>
  <c r="V27" i="10"/>
  <c r="P27" i="10"/>
  <c r="S27" i="10"/>
  <c r="F26" i="11"/>
  <c r="M26" i="11"/>
  <c r="N26" i="11"/>
  <c r="O26" i="11"/>
  <c r="V26" i="11"/>
  <c r="P26" i="11"/>
  <c r="S26" i="11"/>
  <c r="F28" i="10"/>
  <c r="M28" i="10"/>
  <c r="N28" i="10"/>
  <c r="O28" i="10"/>
  <c r="P28" i="10"/>
  <c r="S28" i="10"/>
  <c r="F20" i="11"/>
  <c r="M20" i="11"/>
  <c r="N20" i="11"/>
  <c r="O20" i="11"/>
  <c r="V20" i="11"/>
  <c r="P20" i="11"/>
  <c r="S20" i="11"/>
  <c r="X29" i="15"/>
  <c r="Z29" i="15"/>
  <c r="F23" i="11"/>
  <c r="M23" i="11"/>
  <c r="N23" i="11"/>
  <c r="O23" i="11"/>
  <c r="V23" i="11"/>
  <c r="F27" i="11"/>
  <c r="M27" i="11"/>
  <c r="N27" i="11"/>
  <c r="O27" i="11"/>
  <c r="V27" i="11"/>
  <c r="F19" i="15"/>
  <c r="M19" i="15"/>
  <c r="N19" i="15"/>
  <c r="O19" i="15"/>
  <c r="V19" i="15"/>
  <c r="W19" i="15"/>
  <c r="Y19" i="15"/>
  <c r="U22" i="10"/>
  <c r="F23" i="10"/>
  <c r="M23" i="10"/>
  <c r="N23" i="10"/>
  <c r="O23" i="10"/>
  <c r="V23" i="10"/>
  <c r="U23" i="10"/>
  <c r="P20" i="10"/>
  <c r="S20" i="10"/>
  <c r="V24" i="10"/>
  <c r="U18" i="10"/>
  <c r="U19" i="10"/>
  <c r="T20" i="6"/>
  <c r="T23" i="6"/>
  <c r="T25" i="6"/>
  <c r="U28" i="6"/>
  <c r="V28" i="10"/>
  <c r="U27" i="15"/>
  <c r="P20" i="15"/>
  <c r="S20" i="15"/>
  <c r="P22" i="15"/>
  <c r="S22" i="15"/>
  <c r="P18" i="15"/>
  <c r="S18" i="15"/>
  <c r="P25" i="15"/>
  <c r="S25" i="15"/>
  <c r="T19" i="15"/>
  <c r="U29" i="15"/>
  <c r="T25" i="10"/>
  <c r="T21" i="10"/>
  <c r="T26" i="10"/>
  <c r="F28" i="11"/>
  <c r="M28" i="11"/>
  <c r="N28" i="11"/>
  <c r="O28" i="11"/>
  <c r="V28" i="11"/>
  <c r="U29" i="11"/>
  <c r="T25" i="11"/>
  <c r="U21" i="11"/>
  <c r="T19" i="11"/>
  <c r="T26" i="15"/>
  <c r="T28" i="15"/>
  <c r="T23" i="15"/>
  <c r="U18" i="11"/>
  <c r="U27" i="10"/>
  <c r="U26" i="11"/>
  <c r="F22" i="11"/>
  <c r="M22" i="11"/>
  <c r="N22" i="11"/>
  <c r="O22" i="11"/>
  <c r="V22" i="11"/>
  <c r="F29" i="10"/>
  <c r="M29" i="10"/>
  <c r="N29" i="10"/>
  <c r="O29" i="10"/>
  <c r="V29" i="10"/>
  <c r="P29" i="10"/>
  <c r="S29" i="10"/>
  <c r="P19" i="15"/>
  <c r="S19" i="15"/>
  <c r="U23" i="11"/>
  <c r="P23" i="11"/>
  <c r="S23" i="11"/>
  <c r="U27" i="11"/>
  <c r="P27" i="11"/>
  <c r="S27" i="11"/>
  <c r="U20" i="11"/>
  <c r="U24" i="15"/>
  <c r="U22" i="11"/>
  <c r="U19" i="15"/>
  <c r="U29" i="10"/>
  <c r="U27" i="6"/>
  <c r="U20" i="10"/>
  <c r="U28" i="10"/>
  <c r="P23" i="10"/>
  <c r="S23" i="10"/>
  <c r="T29" i="10"/>
  <c r="U24" i="10"/>
  <c r="T19" i="10"/>
  <c r="T22" i="6"/>
  <c r="T19" i="6"/>
  <c r="T28" i="6"/>
  <c r="T24" i="6"/>
  <c r="T21" i="6"/>
  <c r="T18" i="6"/>
  <c r="T26" i="6"/>
  <c r="T29" i="6"/>
  <c r="I12" i="6"/>
  <c r="I13" i="6"/>
  <c r="G24" i="6"/>
  <c r="G21" i="6"/>
  <c r="G18" i="6"/>
  <c r="G26" i="6"/>
  <c r="G23" i="6"/>
  <c r="G20" i="6"/>
  <c r="G29" i="6"/>
  <c r="G25" i="6"/>
  <c r="G22" i="6"/>
  <c r="G19" i="6"/>
  <c r="G27" i="6"/>
  <c r="G28" i="6"/>
  <c r="U28" i="11"/>
  <c r="U22" i="15"/>
  <c r="U18" i="15"/>
  <c r="U20" i="15"/>
  <c r="P24" i="15"/>
  <c r="S24" i="15"/>
  <c r="U25" i="15"/>
  <c r="P29" i="15"/>
  <c r="S29" i="15"/>
  <c r="X19" i="15"/>
  <c r="Z19" i="15"/>
  <c r="I12" i="15"/>
  <c r="I13" i="15"/>
  <c r="G27" i="15"/>
  <c r="T21" i="15"/>
  <c r="G29" i="15"/>
  <c r="G28" i="15"/>
  <c r="G21" i="15"/>
  <c r="G25" i="15"/>
  <c r="G23" i="15"/>
  <c r="I12" i="10"/>
  <c r="I13" i="10"/>
  <c r="G26" i="10"/>
  <c r="G23" i="10"/>
  <c r="T23" i="11"/>
  <c r="T18" i="11"/>
  <c r="T20" i="11"/>
  <c r="I12" i="11"/>
  <c r="I13" i="11"/>
  <c r="G26" i="11"/>
  <c r="G23" i="11"/>
  <c r="T27" i="11"/>
  <c r="U24" i="11"/>
  <c r="T21" i="11"/>
  <c r="T27" i="15"/>
  <c r="G22" i="15"/>
  <c r="G19" i="15"/>
  <c r="G24" i="15"/>
  <c r="P28" i="11"/>
  <c r="S28" i="11"/>
  <c r="P22" i="11"/>
  <c r="S22" i="11"/>
  <c r="T23" i="10"/>
  <c r="T28" i="10"/>
  <c r="T18" i="10"/>
  <c r="T27" i="10"/>
  <c r="T20" i="10"/>
  <c r="T22" i="10"/>
  <c r="T24" i="10"/>
  <c r="G25" i="10"/>
  <c r="G27" i="10"/>
  <c r="G24" i="10"/>
  <c r="G22" i="10"/>
  <c r="G20" i="10"/>
  <c r="G21" i="10"/>
  <c r="G18" i="10"/>
  <c r="G28" i="10"/>
  <c r="G19" i="10"/>
  <c r="G29" i="10"/>
  <c r="T27" i="6"/>
  <c r="T22" i="15"/>
  <c r="T18" i="15"/>
  <c r="T25" i="15"/>
  <c r="T29" i="15"/>
  <c r="T20" i="15"/>
  <c r="G20" i="15"/>
  <c r="G26" i="15"/>
  <c r="G18" i="15"/>
  <c r="T24" i="15"/>
  <c r="T22" i="11"/>
  <c r="T26" i="11"/>
  <c r="T29" i="11"/>
  <c r="G19" i="11"/>
  <c r="G27" i="11"/>
  <c r="G18" i="11"/>
  <c r="G22" i="11"/>
  <c r="G21" i="11"/>
  <c r="G25" i="11"/>
  <c r="G29" i="11"/>
  <c r="G24" i="11"/>
  <c r="G28" i="11"/>
  <c r="T28" i="11"/>
  <c r="T24" i="11"/>
  <c r="G20" i="11"/>
</calcChain>
</file>

<file path=xl/sharedStrings.xml><?xml version="1.0" encoding="utf-8"?>
<sst xmlns="http://schemas.openxmlformats.org/spreadsheetml/2006/main" count="1341" uniqueCount="352">
  <si>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</si>
  <si>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</si>
  <si>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</si>
  <si>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</si>
  <si>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</si>
  <si>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</si>
  <si>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</si>
  <si>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</si>
  <si>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</si>
  <si>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</si>
  <si>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</si>
  <si>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</si>
  <si>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</si>
  <si>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</si>
  <si>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</si>
  <si>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</si>
  <si>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</si>
  <si>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</si>
  <si>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</si>
  <si>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</si>
  <si>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</si>
  <si>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</si>
  <si>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</si>
  <si>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</si>
  <si>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</si>
  <si>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</si>
  <si>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</si>
  <si>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</si>
  <si>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</si>
  <si>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</si>
  <si>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</si>
  <si>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</si>
  <si>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</si>
  <si>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</si>
  <si>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</si>
  <si>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</si>
  <si>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</si>
  <si>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</si>
  <si>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</si>
  <si>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</si>
  <si>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</si>
  <si>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</si>
  <si>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</si>
  <si>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</si>
  <si>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</si>
  <si>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</si>
  <si>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</si>
  <si>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</si>
  <si>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</si>
  <si>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</si>
  <si>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</si>
  <si>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</si>
  <si>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</si>
  <si>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</si>
  <si>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</si>
  <si>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</si>
  <si>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</si>
  <si>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</si>
  <si>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</si>
  <si>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</si>
  <si>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</si>
  <si>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</si>
  <si>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</si>
  <si>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</si>
  <si>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</si>
  <si>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</si>
  <si>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</si>
  <si>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</si>
  <si>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</si>
  <si>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</si>
  <si>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</si>
  <si>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</si>
  <si>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</si>
  <si>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</si>
  <si>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</si>
  <si>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</si>
  <si>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</si>
  <si>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</si>
  <si>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</si>
  <si>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</si>
  <si>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</si>
  <si>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</si>
  <si>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</si>
  <si>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</si>
  <si>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</si>
  <si>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</si>
  <si>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</si>
  <si>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</si>
  <si>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</si>
  <si>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</si>
  <si>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</si>
  <si>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</si>
  <si>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</si>
  <si>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</si>
  <si>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</si>
  <si>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</si>
  <si>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</si>
  <si>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</si>
  <si>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</si>
  <si>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</si>
  <si>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</si>
  <si>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</si>
  <si>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</si>
  <si>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</si>
  <si>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</si>
  <si>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</si>
  <si>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</si>
  <si>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</si>
  <si>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</si>
  <si>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</si>
  <si>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</si>
  <si>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</si>
  <si>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</si>
  <si>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</si>
  <si>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</si>
  <si>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</si>
  <si>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</si>
  <si>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</si>
  <si>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</si>
  <si>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</si>
  <si>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</si>
  <si>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</si>
  <si>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</si>
  <si>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</si>
  <si>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</si>
  <si>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</si>
  <si>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</si>
  <si>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</si>
  <si>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</si>
  <si>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</si>
  <si>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</si>
  <si>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</si>
  <si>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</si>
  <si>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</si>
  <si>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</si>
  <si>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</si>
  <si>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</si>
  <si>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</si>
  <si>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</si>
  <si>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</si>
  <si>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</si>
  <si>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</si>
  <si>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</si>
  <si>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</si>
  <si>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</si>
  <si>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</si>
  <si>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</si>
  <si>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</si>
  <si>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</si>
  <si>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</si>
  <si>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</si>
  <si>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Dried</t>
  </si>
  <si>
    <t>HEW22-1_dry</t>
  </si>
  <si>
    <t>HEW22-2_dry</t>
  </si>
  <si>
    <t>HEW41-1_dry</t>
  </si>
  <si>
    <t>HEW41-2_dry</t>
  </si>
  <si>
    <t>HEW42-1_dry</t>
  </si>
  <si>
    <t>HEW42-2_dry</t>
  </si>
  <si>
    <t>HEG10-1_dry</t>
  </si>
  <si>
    <t>HEG10-2_dry</t>
  </si>
  <si>
    <t>HEG32-1_dry</t>
  </si>
  <si>
    <t>HEG32-2_dry</t>
  </si>
  <si>
    <t>HEG48-1_dry</t>
  </si>
  <si>
    <t>HEG48-2_dry</t>
  </si>
  <si>
    <t>equivalent of dry soil approved by Jeff</t>
  </si>
  <si>
    <t>13C/14C sampled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</si>
  <si>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</si>
  <si>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</si>
  <si>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</si>
  <si>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</si>
  <si>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</si>
  <si>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</si>
  <si>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</si>
  <si>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</si>
  <si>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</si>
  <si>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</si>
  <si>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</si>
  <si>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</si>
  <si>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41_</t>
  </si>
  <si>
    <t>42_</t>
  </si>
  <si>
    <t>39_</t>
  </si>
  <si>
    <t>40_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</si>
  <si>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</si>
  <si>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</si>
  <si>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</si>
  <si>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</si>
  <si>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</si>
  <si>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</si>
  <si>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</si>
  <si>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</si>
  <si>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</si>
  <si>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</si>
  <si>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Std_flushed</t>
  </si>
  <si>
    <t>53_</t>
  </si>
  <si>
    <t>Std_</t>
  </si>
  <si>
    <t>15min</t>
  </si>
  <si>
    <t>_15112019</t>
  </si>
  <si>
    <t>1_</t>
  </si>
  <si>
    <t>2_</t>
  </si>
  <si>
    <t>3_</t>
  </si>
  <si>
    <t>4_</t>
  </si>
  <si>
    <t>5_</t>
  </si>
  <si>
    <t>6_</t>
  </si>
  <si>
    <t>7_</t>
  </si>
  <si>
    <t>10_</t>
  </si>
  <si>
    <t>8_</t>
  </si>
  <si>
    <t>9_</t>
  </si>
  <si>
    <t>11_</t>
  </si>
  <si>
    <t>12_</t>
  </si>
  <si>
    <t>13_</t>
  </si>
  <si>
    <t>_22112019</t>
  </si>
  <si>
    <t>13C/14C sampled 22.11.19</t>
  </si>
  <si>
    <t>_PRE_15112019</t>
  </si>
  <si>
    <t>_INC_22112019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</si>
  <si>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</si>
  <si>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</si>
  <si>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</si>
  <si>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</si>
  <si>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</si>
  <si>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</si>
  <si>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</si>
  <si>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</si>
  <si>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r>
      <t xml:space="preserve">final time </t>
    </r>
    <r>
      <rPr>
        <b/>
        <sz val="9"/>
        <rFont val="Arial"/>
        <family val="2"/>
      </rPr>
      <t>date</t>
    </r>
  </si>
  <si>
    <t>error  *</t>
  </si>
  <si>
    <t>offset corr sample</t>
  </si>
  <si>
    <t xml:space="preserve">dilution </t>
  </si>
  <si>
    <t>ppm</t>
  </si>
  <si>
    <t>diff.abs.</t>
  </si>
  <si>
    <t>Attention! Please note that values with Amplitude low can have a higher error bar.</t>
  </si>
  <si>
    <t>d13C</t>
  </si>
  <si>
    <t>17306</t>
  </si>
  <si>
    <t>27</t>
  </si>
  <si>
    <t>27_HEW22-1_dry_15112019</t>
  </si>
  <si>
    <t/>
  </si>
  <si>
    <t>17307</t>
  </si>
  <si>
    <t>17308</t>
  </si>
  <si>
    <t>28</t>
  </si>
  <si>
    <t>28_HEW22-2_dry_15112019</t>
  </si>
  <si>
    <t>17309</t>
  </si>
  <si>
    <t>17311</t>
  </si>
  <si>
    <t>29</t>
  </si>
  <si>
    <t>29_HEW41-1_dry_15112019</t>
  </si>
  <si>
    <t>17312</t>
  </si>
  <si>
    <t>17313</t>
  </si>
  <si>
    <t>30</t>
  </si>
  <si>
    <t>30_HEW41-2_dry_15112019</t>
  </si>
  <si>
    <t>17314</t>
  </si>
  <si>
    <t>17317</t>
  </si>
  <si>
    <t>31</t>
  </si>
  <si>
    <t>31_HEW42-1_dry_15112019</t>
  </si>
  <si>
    <t>17318</t>
  </si>
  <si>
    <t>17319</t>
  </si>
  <si>
    <t>32</t>
  </si>
  <si>
    <t>32_HEW42-2_dry_15112019</t>
  </si>
  <si>
    <t>17320</t>
  </si>
  <si>
    <t>17322</t>
  </si>
  <si>
    <t>33</t>
  </si>
  <si>
    <t>33_HEG10-1_dry_15112019</t>
  </si>
  <si>
    <t>17323</t>
  </si>
  <si>
    <t>17324</t>
  </si>
  <si>
    <t>34</t>
  </si>
  <si>
    <t>34_HEG10-2_dry_15112019</t>
  </si>
  <si>
    <t>17325</t>
  </si>
  <si>
    <t>17328</t>
  </si>
  <si>
    <t>35</t>
  </si>
  <si>
    <t>35_HEG32-1_dry_15112019</t>
  </si>
  <si>
    <t>17329</t>
  </si>
  <si>
    <t>17330</t>
  </si>
  <si>
    <t>36</t>
  </si>
  <si>
    <t>36_HEG32-2_dry_15112019</t>
  </si>
  <si>
    <t>17331</t>
  </si>
  <si>
    <t>17333</t>
  </si>
  <si>
    <t>37</t>
  </si>
  <si>
    <t>37_HEG48-1_dry_15112019</t>
  </si>
  <si>
    <t>17334</t>
  </si>
  <si>
    <t>17335</t>
  </si>
  <si>
    <t>38</t>
  </si>
  <si>
    <t>38_HEG48-2_dry_15112019</t>
  </si>
  <si>
    <t>17336</t>
  </si>
  <si>
    <t>17339</t>
  </si>
  <si>
    <t>39</t>
  </si>
  <si>
    <t>39_Std_flushed_15112019</t>
  </si>
  <si>
    <t>17340</t>
  </si>
  <si>
    <t>17515</t>
  </si>
  <si>
    <t>1</t>
  </si>
  <si>
    <t>1_HEW22-1_dry_22112019</t>
  </si>
  <si>
    <t>17516</t>
  </si>
  <si>
    <t>17517</t>
  </si>
  <si>
    <t>2</t>
  </si>
  <si>
    <t>2_HEW22-2_dry_22112019</t>
  </si>
  <si>
    <t>17518</t>
  </si>
  <si>
    <t>17520</t>
  </si>
  <si>
    <t>3</t>
  </si>
  <si>
    <t>3_HEW41-1_dry_22112019</t>
  </si>
  <si>
    <t>17521</t>
  </si>
  <si>
    <t>17522</t>
  </si>
  <si>
    <t>4</t>
  </si>
  <si>
    <t>4_HEW41-2_dry_22112019</t>
  </si>
  <si>
    <t>17523</t>
  </si>
  <si>
    <t>17526</t>
  </si>
  <si>
    <t>5</t>
  </si>
  <si>
    <t>5_HEW42-1_dry_22112019</t>
  </si>
  <si>
    <t>17527</t>
  </si>
  <si>
    <t>17528</t>
  </si>
  <si>
    <t>6</t>
  </si>
  <si>
    <t>6_HEW42-2_dry_22112019</t>
  </si>
  <si>
    <t>17529</t>
  </si>
  <si>
    <t>17531</t>
  </si>
  <si>
    <t>7</t>
  </si>
  <si>
    <t>7_HEG10-1_dry_22112019</t>
  </si>
  <si>
    <t>17532</t>
  </si>
  <si>
    <t>17533</t>
  </si>
  <si>
    <t>8</t>
  </si>
  <si>
    <t>8_HEG10-2_dry_22112019</t>
  </si>
  <si>
    <t>17534</t>
  </si>
  <si>
    <t>17537</t>
  </si>
  <si>
    <t>9</t>
  </si>
  <si>
    <t>9_HEG32-1_dry_22112019</t>
  </si>
  <si>
    <t>17538</t>
  </si>
  <si>
    <t>17539</t>
  </si>
  <si>
    <t>10</t>
  </si>
  <si>
    <t>10_HEG32-2_dry_22112019</t>
  </si>
  <si>
    <t>17540</t>
  </si>
  <si>
    <t>17542</t>
  </si>
  <si>
    <t>11</t>
  </si>
  <si>
    <t>11_HEG48-1_dry_22112019</t>
  </si>
  <si>
    <t>17543</t>
  </si>
  <si>
    <t>17544</t>
  </si>
  <si>
    <t>12</t>
  </si>
  <si>
    <t>12_HEG48-2_dry_22112019</t>
  </si>
  <si>
    <t>17545</t>
  </si>
  <si>
    <t>17548</t>
  </si>
  <si>
    <t>13</t>
  </si>
  <si>
    <t>13_Std_flushed_22112019</t>
  </si>
  <si>
    <t>17549</t>
  </si>
  <si>
    <t>SampleName</t>
  </si>
  <si>
    <t>ID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</si>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</sst>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5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1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10" borderId="0" xfId="0" applyNumberFormat="1" applyFont="1" applyFill="1"/>
    <xf numFmtId="22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Standard 3" xfId="1"/>
    <cellStyle name="Standard_Au_Dataimport2003" xfId="2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Pre12.11.19!$D$3:$D$15</c:f>
              <c:numCache>
                <c:formatCode>0.00</c:formatCode>
                <c:ptCount val="13"/>
                <c:pt idx="0">
                  <c:v>1679.8</c:v>
                </c:pt>
                <c:pt idx="1">
                  <c:v>1492.0</c:v>
                </c:pt>
                <c:pt idx="2">
                  <c:v>1358.1</c:v>
                </c:pt>
                <c:pt idx="3">
                  <c:v>1192.3</c:v>
                </c:pt>
                <c:pt idx="4">
                  <c:v>1046.2</c:v>
                </c:pt>
                <c:pt idx="5">
                  <c:v>872.9499999999999</c:v>
                </c:pt>
                <c:pt idx="6">
                  <c:v>733.07</c:v>
                </c:pt>
                <c:pt idx="7">
                  <c:v>505.08</c:v>
                </c:pt>
                <c:pt idx="8">
                  <c:v>363.13</c:v>
                </c:pt>
                <c:pt idx="9" formatCode="General">
                  <c:v>142.86</c:v>
                </c:pt>
                <c:pt idx="10" formatCode="General">
                  <c:v>66.722</c:v>
                </c:pt>
                <c:pt idx="11" formatCode="General">
                  <c:v>30.386</c:v>
                </c:pt>
                <c:pt idx="12" formatCode="General">
                  <c:v>0.0</c:v>
                </c:pt>
              </c:numCache>
            </c:numRef>
          </c:xVal>
          <c:yVal>
            <c:numRef>
              <c:f>Pre12.11.19!$F$3:$F$15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179480"/>
        <c:axId val="-1956174056"/>
      </c:scatterChart>
      <c:valAx>
        <c:axId val="-19561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174056"/>
        <c:crosses val="autoZero"/>
        <c:crossBetween val="midCat"/>
      </c:valAx>
      <c:valAx>
        <c:axId val="-195617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17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Inc18.11.19!$E$3:$E$15</c:f>
              <c:numCache>
                <c:formatCode>0.00</c:formatCode>
                <c:ptCount val="13"/>
                <c:pt idx="0">
                  <c:v>463.23</c:v>
                </c:pt>
                <c:pt idx="1">
                  <c:v>411.26</c:v>
                </c:pt>
                <c:pt idx="2">
                  <c:v>362.87</c:v>
                </c:pt>
                <c:pt idx="3">
                  <c:v>331.86</c:v>
                </c:pt>
                <c:pt idx="4">
                  <c:v>286.85</c:v>
                </c:pt>
                <c:pt idx="5">
                  <c:v>247.92</c:v>
                </c:pt>
                <c:pt idx="6">
                  <c:v>211.32</c:v>
                </c:pt>
                <c:pt idx="7">
                  <c:v>152.19</c:v>
                </c:pt>
                <c:pt idx="8">
                  <c:v>108.64</c:v>
                </c:pt>
                <c:pt idx="9" formatCode="General">
                  <c:v>43.515</c:v>
                </c:pt>
                <c:pt idx="10" formatCode="General">
                  <c:v>23.704</c:v>
                </c:pt>
                <c:pt idx="11" formatCode="General">
                  <c:v>11.56</c:v>
                </c:pt>
                <c:pt idx="12" formatCode="General">
                  <c:v>0.0</c:v>
                </c:pt>
              </c:numCache>
            </c:numRef>
          </c:xVal>
          <c:yVal>
            <c:numRef>
              <c:f>Inc18.11.19!$F$3:$F$15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938760"/>
        <c:axId val="-2045954856"/>
      </c:scatterChart>
      <c:valAx>
        <c:axId val="-204593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954856"/>
        <c:crosses val="autoZero"/>
        <c:crossBetween val="midCat"/>
      </c:valAx>
      <c:valAx>
        <c:axId val="-204595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93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Inc21.11.19!$D$3:$D$14</c:f>
              <c:numCache>
                <c:formatCode>0.00</c:formatCode>
                <c:ptCount val="12"/>
                <c:pt idx="0">
                  <c:v>1738.8</c:v>
                </c:pt>
                <c:pt idx="1">
                  <c:v>1575.7</c:v>
                </c:pt>
                <c:pt idx="2">
                  <c:v>1422.8</c:v>
                </c:pt>
                <c:pt idx="3">
                  <c:v>1240.1</c:v>
                </c:pt>
                <c:pt idx="4">
                  <c:v>1117.1</c:v>
                </c:pt>
                <c:pt idx="5">
                  <c:v>868.69</c:v>
                </c:pt>
                <c:pt idx="6">
                  <c:v>718.01</c:v>
                </c:pt>
                <c:pt idx="7">
                  <c:v>494.83</c:v>
                </c:pt>
                <c:pt idx="8">
                  <c:v>379.81</c:v>
                </c:pt>
                <c:pt idx="9" formatCode="General">
                  <c:v>151.01</c:v>
                </c:pt>
                <c:pt idx="10" formatCode="General">
                  <c:v>72.844</c:v>
                </c:pt>
                <c:pt idx="11" formatCode="General">
                  <c:v>34.023</c:v>
                </c:pt>
              </c:numCache>
            </c:numRef>
          </c:xVal>
          <c:yVal>
            <c:numRef>
              <c:f>Inc21.11.19!$F$3:$F$14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063224"/>
        <c:axId val="-2046057800"/>
      </c:scatterChart>
      <c:valAx>
        <c:axId val="-20460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6057800"/>
        <c:crosses val="autoZero"/>
        <c:crossBetween val="midCat"/>
      </c:valAx>
      <c:valAx>
        <c:axId val="-204605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606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Inc21.11.19!$E$3:$E$14</c:f>
              <c:numCache>
                <c:formatCode>0.00</c:formatCode>
                <c:ptCount val="12"/>
                <c:pt idx="0">
                  <c:v>470.82</c:v>
                </c:pt>
                <c:pt idx="1">
                  <c:v>415.91</c:v>
                </c:pt>
                <c:pt idx="2">
                  <c:v>397.68</c:v>
                </c:pt>
                <c:pt idx="3">
                  <c:v>344.17</c:v>
                </c:pt>
                <c:pt idx="4">
                  <c:v>301.76</c:v>
                </c:pt>
                <c:pt idx="5">
                  <c:v>259.6</c:v>
                </c:pt>
                <c:pt idx="6">
                  <c:v>213.22</c:v>
                </c:pt>
                <c:pt idx="7">
                  <c:v>140.24</c:v>
                </c:pt>
                <c:pt idx="8">
                  <c:v>104.69</c:v>
                </c:pt>
                <c:pt idx="9" formatCode="General">
                  <c:v>48.212</c:v>
                </c:pt>
                <c:pt idx="10" formatCode="General">
                  <c:v>23.887</c:v>
                </c:pt>
                <c:pt idx="11" formatCode="General">
                  <c:v>12.666</c:v>
                </c:pt>
              </c:numCache>
            </c:numRef>
          </c:xVal>
          <c:yVal>
            <c:numRef>
              <c:f>Inc21.11.19!$F$3:$F$14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06840"/>
        <c:axId val="-2046114872"/>
      </c:scatterChart>
      <c:valAx>
        <c:axId val="-20461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6114872"/>
        <c:crosses val="autoZero"/>
        <c:crossBetween val="midCat"/>
      </c:valAx>
      <c:valAx>
        <c:axId val="-2046114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610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Inc22.11.19!$D$3:$D$14</c:f>
              <c:numCache>
                <c:formatCode>0.00</c:formatCode>
                <c:ptCount val="12"/>
                <c:pt idx="0">
                  <c:v>1729.0</c:v>
                </c:pt>
                <c:pt idx="1">
                  <c:v>1542.4</c:v>
                </c:pt>
                <c:pt idx="2">
                  <c:v>1407.2</c:v>
                </c:pt>
                <c:pt idx="3">
                  <c:v>1223.4</c:v>
                </c:pt>
                <c:pt idx="4">
                  <c:v>1074.5</c:v>
                </c:pt>
                <c:pt idx="5">
                  <c:v>862.57</c:v>
                </c:pt>
                <c:pt idx="6">
                  <c:v>726.3199999999999</c:v>
                </c:pt>
                <c:pt idx="7">
                  <c:v>548.87</c:v>
                </c:pt>
                <c:pt idx="8">
                  <c:v>399.55</c:v>
                </c:pt>
                <c:pt idx="9" formatCode="General">
                  <c:v>145.75</c:v>
                </c:pt>
                <c:pt idx="10" formatCode="General">
                  <c:v>64.67499999999998</c:v>
                </c:pt>
                <c:pt idx="11" formatCode="General">
                  <c:v>29.238</c:v>
                </c:pt>
              </c:numCache>
            </c:numRef>
          </c:xVal>
          <c:yVal>
            <c:numRef>
              <c:f>Inc22.11.19!$F$3:$F$14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974472"/>
        <c:axId val="-1955969048"/>
      </c:scatterChart>
      <c:valAx>
        <c:axId val="-195597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5969048"/>
        <c:crosses val="autoZero"/>
        <c:crossBetween val="midCat"/>
      </c:valAx>
      <c:valAx>
        <c:axId val="-195596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597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Inc22.11.19!$E$3:$E$14</c:f>
              <c:numCache>
                <c:formatCode>0.00</c:formatCode>
                <c:ptCount val="12"/>
                <c:pt idx="0">
                  <c:v>455.75</c:v>
                </c:pt>
                <c:pt idx="1">
                  <c:v>406.32</c:v>
                </c:pt>
                <c:pt idx="2">
                  <c:v>369.47</c:v>
                </c:pt>
                <c:pt idx="3">
                  <c:v>344.4</c:v>
                </c:pt>
                <c:pt idx="4">
                  <c:v>313.14</c:v>
                </c:pt>
                <c:pt idx="5">
                  <c:v>258.39</c:v>
                </c:pt>
                <c:pt idx="6">
                  <c:v>221.49</c:v>
                </c:pt>
                <c:pt idx="7">
                  <c:v>155.56</c:v>
                </c:pt>
                <c:pt idx="8">
                  <c:v>115.64</c:v>
                </c:pt>
                <c:pt idx="9" formatCode="General">
                  <c:v>43.795</c:v>
                </c:pt>
                <c:pt idx="10" formatCode="General">
                  <c:v>23.011</c:v>
                </c:pt>
                <c:pt idx="11" formatCode="General">
                  <c:v>11.61</c:v>
                </c:pt>
              </c:numCache>
            </c:numRef>
          </c:xVal>
          <c:yVal>
            <c:numRef>
              <c:f>Inc22.11.19!$F$3:$F$14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937640"/>
        <c:axId val="-1955932136"/>
      </c:scatterChart>
      <c:valAx>
        <c:axId val="-195593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5932136"/>
        <c:crosses val="autoZero"/>
        <c:crossBetween val="midCat"/>
      </c:valAx>
      <c:valAx>
        <c:axId val="-195593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593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Pre12.11.19!$E$3:$E$15</c:f>
              <c:numCache>
                <c:formatCode>0.00</c:formatCode>
                <c:ptCount val="13"/>
                <c:pt idx="0">
                  <c:v>435.37</c:v>
                </c:pt>
                <c:pt idx="1">
                  <c:v>417.53</c:v>
                </c:pt>
                <c:pt idx="2">
                  <c:v>389.61</c:v>
                </c:pt>
                <c:pt idx="3">
                  <c:v>328.86</c:v>
                </c:pt>
                <c:pt idx="4">
                  <c:v>304.22</c:v>
                </c:pt>
                <c:pt idx="5">
                  <c:v>236.47</c:v>
                </c:pt>
                <c:pt idx="6">
                  <c:v>209.84</c:v>
                </c:pt>
                <c:pt idx="7">
                  <c:v>155.37</c:v>
                </c:pt>
                <c:pt idx="8">
                  <c:v>114.08</c:v>
                </c:pt>
                <c:pt idx="9" formatCode="General">
                  <c:v>45.295</c:v>
                </c:pt>
                <c:pt idx="10" formatCode="General">
                  <c:v>22.084</c:v>
                </c:pt>
                <c:pt idx="11" formatCode="General">
                  <c:v>11.461</c:v>
                </c:pt>
                <c:pt idx="12" formatCode="General">
                  <c:v>0.0</c:v>
                </c:pt>
              </c:numCache>
            </c:numRef>
          </c:xVal>
          <c:yVal>
            <c:numRef>
              <c:f>Pre12.11.19!$F$3:$F$15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142648"/>
        <c:axId val="-1956137144"/>
      </c:scatterChart>
      <c:valAx>
        <c:axId val="-19561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137144"/>
        <c:crosses val="autoZero"/>
        <c:crossBetween val="midCat"/>
      </c:valAx>
      <c:valAx>
        <c:axId val="-195613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14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Pre13.11.19!$D$3:$D$15</c:f>
              <c:numCache>
                <c:formatCode>0.00</c:formatCode>
                <c:ptCount val="13"/>
                <c:pt idx="0">
                  <c:v>1673.6</c:v>
                </c:pt>
                <c:pt idx="1">
                  <c:v>1502.5</c:v>
                </c:pt>
                <c:pt idx="2">
                  <c:v>1371.7</c:v>
                </c:pt>
                <c:pt idx="3">
                  <c:v>1213.3</c:v>
                </c:pt>
                <c:pt idx="4">
                  <c:v>1039.6</c:v>
                </c:pt>
                <c:pt idx="5">
                  <c:v>879.05</c:v>
                </c:pt>
                <c:pt idx="6">
                  <c:v>752.19</c:v>
                </c:pt>
                <c:pt idx="7">
                  <c:v>500.01</c:v>
                </c:pt>
                <c:pt idx="8">
                  <c:v>388.78</c:v>
                </c:pt>
                <c:pt idx="9" formatCode="General">
                  <c:v>146.64</c:v>
                </c:pt>
                <c:pt idx="10" formatCode="General">
                  <c:v>63.646</c:v>
                </c:pt>
                <c:pt idx="11" formatCode="General">
                  <c:v>27.734</c:v>
                </c:pt>
                <c:pt idx="12" formatCode="General">
                  <c:v>0.0</c:v>
                </c:pt>
              </c:numCache>
            </c:numRef>
          </c:xVal>
          <c:yVal>
            <c:numRef>
              <c:f>Pre13.11.19!$F$3:$F$15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086568"/>
        <c:axId val="-1956081144"/>
      </c:scatterChart>
      <c:valAx>
        <c:axId val="-195608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081144"/>
        <c:crosses val="autoZero"/>
        <c:crossBetween val="midCat"/>
      </c:valAx>
      <c:valAx>
        <c:axId val="-195608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08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Pre13.11.19!$E$3:$E$15</c:f>
              <c:numCache>
                <c:formatCode>0.00</c:formatCode>
                <c:ptCount val="13"/>
                <c:pt idx="0">
                  <c:v>456.06</c:v>
                </c:pt>
                <c:pt idx="1">
                  <c:v>413.7</c:v>
                </c:pt>
                <c:pt idx="2">
                  <c:v>395.5</c:v>
                </c:pt>
                <c:pt idx="3">
                  <c:v>327.46</c:v>
                </c:pt>
                <c:pt idx="4">
                  <c:v>301.91</c:v>
                </c:pt>
                <c:pt idx="5">
                  <c:v>243.73</c:v>
                </c:pt>
                <c:pt idx="6">
                  <c:v>200.87</c:v>
                </c:pt>
                <c:pt idx="7">
                  <c:v>153.66</c:v>
                </c:pt>
                <c:pt idx="8">
                  <c:v>108.37</c:v>
                </c:pt>
                <c:pt idx="9" formatCode="General">
                  <c:v>44.673</c:v>
                </c:pt>
                <c:pt idx="10" formatCode="General">
                  <c:v>23.305</c:v>
                </c:pt>
                <c:pt idx="11" formatCode="General">
                  <c:v>11.712</c:v>
                </c:pt>
                <c:pt idx="12" formatCode="General">
                  <c:v>0.0</c:v>
                </c:pt>
              </c:numCache>
            </c:numRef>
          </c:xVal>
          <c:yVal>
            <c:numRef>
              <c:f>Pre13.11.19!$F$3:$F$15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049032"/>
        <c:axId val="-1956043528"/>
      </c:scatterChart>
      <c:valAx>
        <c:axId val="-19560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043528"/>
        <c:crosses val="autoZero"/>
        <c:crossBetween val="midCat"/>
      </c:valAx>
      <c:valAx>
        <c:axId val="-195604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604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Pre14.11.19!$D$3:$D$14</c:f>
              <c:numCache>
                <c:formatCode>0.00</c:formatCode>
                <c:ptCount val="12"/>
                <c:pt idx="0">
                  <c:v>1690.6</c:v>
                </c:pt>
                <c:pt idx="1">
                  <c:v>1523.4</c:v>
                </c:pt>
                <c:pt idx="2">
                  <c:v>1372.6</c:v>
                </c:pt>
                <c:pt idx="3">
                  <c:v>1207.8</c:v>
                </c:pt>
                <c:pt idx="4">
                  <c:v>1052.3</c:v>
                </c:pt>
                <c:pt idx="5">
                  <c:v>829.5</c:v>
                </c:pt>
                <c:pt idx="6">
                  <c:v>718.6</c:v>
                </c:pt>
                <c:pt idx="7">
                  <c:v>510.14</c:v>
                </c:pt>
                <c:pt idx="8">
                  <c:v>391.34</c:v>
                </c:pt>
                <c:pt idx="9" formatCode="General">
                  <c:v>146.07</c:v>
                </c:pt>
                <c:pt idx="10" formatCode="General">
                  <c:v>71.095</c:v>
                </c:pt>
                <c:pt idx="11" formatCode="General">
                  <c:v>28.055</c:v>
                </c:pt>
              </c:numCache>
            </c:numRef>
          </c:xVal>
          <c:yVal>
            <c:numRef>
              <c:f>Pre14.11.19!$F$3:$F$14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53256"/>
        <c:axId val="-2052145928"/>
      </c:scatterChart>
      <c:valAx>
        <c:axId val="-205215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145928"/>
        <c:crosses val="autoZero"/>
        <c:crossBetween val="midCat"/>
      </c:valAx>
      <c:valAx>
        <c:axId val="-205214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15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Pre14.11.19!$E$3:$E$14</c:f>
              <c:numCache>
                <c:formatCode>0.00</c:formatCode>
                <c:ptCount val="12"/>
                <c:pt idx="0">
                  <c:v>447.35</c:v>
                </c:pt>
                <c:pt idx="1">
                  <c:v>401.17</c:v>
                </c:pt>
                <c:pt idx="2">
                  <c:v>382.91</c:v>
                </c:pt>
                <c:pt idx="3">
                  <c:v>331.19</c:v>
                </c:pt>
                <c:pt idx="4">
                  <c:v>297.72</c:v>
                </c:pt>
                <c:pt idx="5">
                  <c:v>244.04</c:v>
                </c:pt>
                <c:pt idx="6">
                  <c:v>216.51</c:v>
                </c:pt>
                <c:pt idx="7">
                  <c:v>147.78</c:v>
                </c:pt>
                <c:pt idx="8">
                  <c:v>108.71</c:v>
                </c:pt>
                <c:pt idx="9" formatCode="General">
                  <c:v>43.234</c:v>
                </c:pt>
                <c:pt idx="10" formatCode="General">
                  <c:v>23.432</c:v>
                </c:pt>
                <c:pt idx="11" formatCode="General">
                  <c:v>12.296</c:v>
                </c:pt>
              </c:numCache>
            </c:numRef>
          </c:xVal>
          <c:yVal>
            <c:numRef>
              <c:f>Pre14.11.19!$F$3:$F$14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9160"/>
        <c:axId val="-2052103704"/>
      </c:scatterChart>
      <c:valAx>
        <c:axId val="-205210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103704"/>
        <c:crosses val="autoZero"/>
        <c:crossBetween val="midCat"/>
      </c:valAx>
      <c:valAx>
        <c:axId val="-205210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109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Pre15.11.19!$D$3:$D$14</c:f>
              <c:numCache>
                <c:formatCode>0.00</c:formatCode>
                <c:ptCount val="12"/>
                <c:pt idx="0">
                  <c:v>1686.7</c:v>
                </c:pt>
                <c:pt idx="1">
                  <c:v>1475.2</c:v>
                </c:pt>
                <c:pt idx="2">
                  <c:v>1322.2</c:v>
                </c:pt>
                <c:pt idx="3">
                  <c:v>1140.7</c:v>
                </c:pt>
                <c:pt idx="4">
                  <c:v>1057.0</c:v>
                </c:pt>
                <c:pt idx="5">
                  <c:v>820.9299999999998</c:v>
                </c:pt>
                <c:pt idx="6">
                  <c:v>733.62</c:v>
                </c:pt>
                <c:pt idx="7">
                  <c:v>526.0599999999998</c:v>
                </c:pt>
                <c:pt idx="8">
                  <c:v>357.16</c:v>
                </c:pt>
                <c:pt idx="9" formatCode="General">
                  <c:v>142.62</c:v>
                </c:pt>
                <c:pt idx="10" formatCode="General">
                  <c:v>67.627</c:v>
                </c:pt>
                <c:pt idx="11" formatCode="General">
                  <c:v>29.347</c:v>
                </c:pt>
              </c:numCache>
            </c:numRef>
          </c:xVal>
          <c:yVal>
            <c:numRef>
              <c:f>Pre15.11.19!$F$3:$F$14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24328"/>
        <c:axId val="-2052518920"/>
      </c:scatterChart>
      <c:valAx>
        <c:axId val="-205252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518920"/>
        <c:crosses val="autoZero"/>
        <c:crossBetween val="midCat"/>
      </c:valAx>
      <c:valAx>
        <c:axId val="-205251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52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Pre15.11.19!$E$3:$E$14</c:f>
              <c:numCache>
                <c:formatCode>0.00</c:formatCode>
                <c:ptCount val="12"/>
                <c:pt idx="0">
                  <c:v>440.7</c:v>
                </c:pt>
                <c:pt idx="1">
                  <c:v>421.86</c:v>
                </c:pt>
                <c:pt idx="2">
                  <c:v>381.86</c:v>
                </c:pt>
                <c:pt idx="3">
                  <c:v>333.56</c:v>
                </c:pt>
                <c:pt idx="4">
                  <c:v>285.35</c:v>
                </c:pt>
                <c:pt idx="5">
                  <c:v>237.52</c:v>
                </c:pt>
                <c:pt idx="6">
                  <c:v>203.97</c:v>
                </c:pt>
                <c:pt idx="7">
                  <c:v>156.58</c:v>
                </c:pt>
                <c:pt idx="8">
                  <c:v>106.43</c:v>
                </c:pt>
                <c:pt idx="9" formatCode="General">
                  <c:v>42.92</c:v>
                </c:pt>
                <c:pt idx="10" formatCode="General">
                  <c:v>21.817</c:v>
                </c:pt>
                <c:pt idx="11" formatCode="General">
                  <c:v>11.141</c:v>
                </c:pt>
              </c:numCache>
            </c:numRef>
          </c:xVal>
          <c:yVal>
            <c:numRef>
              <c:f>Pre15.11.19!$F$3:$F$14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60568"/>
        <c:axId val="-2052587912"/>
      </c:scatterChart>
      <c:valAx>
        <c:axId val="-205256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587912"/>
        <c:crosses val="autoZero"/>
        <c:crossBetween val="midCat"/>
      </c:valAx>
      <c:valAx>
        <c:axId val="-205258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56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Inc18.11.19!$D$3:$D$15</c:f>
              <c:numCache>
                <c:formatCode>0.00</c:formatCode>
                <c:ptCount val="13"/>
                <c:pt idx="0">
                  <c:v>1657.7</c:v>
                </c:pt>
                <c:pt idx="1">
                  <c:v>1534.0</c:v>
                </c:pt>
                <c:pt idx="2">
                  <c:v>1392.1</c:v>
                </c:pt>
                <c:pt idx="3">
                  <c:v>1178.0</c:v>
                </c:pt>
                <c:pt idx="4">
                  <c:v>1069.4</c:v>
                </c:pt>
                <c:pt idx="5">
                  <c:v>886.4</c:v>
                </c:pt>
                <c:pt idx="6">
                  <c:v>747.19</c:v>
                </c:pt>
                <c:pt idx="7">
                  <c:v>535.1</c:v>
                </c:pt>
                <c:pt idx="8">
                  <c:v>385.66</c:v>
                </c:pt>
                <c:pt idx="9" formatCode="General">
                  <c:v>141.09</c:v>
                </c:pt>
                <c:pt idx="10" formatCode="General">
                  <c:v>72.234</c:v>
                </c:pt>
                <c:pt idx="11" formatCode="General">
                  <c:v>28.774</c:v>
                </c:pt>
                <c:pt idx="12" formatCode="General">
                  <c:v>0.0</c:v>
                </c:pt>
              </c:numCache>
            </c:numRef>
          </c:xVal>
          <c:yVal>
            <c:numRef>
              <c:f>Inc18.11.19!$F$3:$F$15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82104"/>
        <c:axId val="-2045888088"/>
      </c:scatterChart>
      <c:valAx>
        <c:axId val="-204588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888088"/>
        <c:crosses val="autoZero"/>
        <c:crossBetween val="midCat"/>
      </c:valAx>
      <c:valAx>
        <c:axId val="-2045888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88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148</v>
      </c>
    </row>
    <row r="4" spans="1:1">
      <c r="A4" t="s">
        <v>147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18" sqref="A18:A29"/>
    </sheetView>
  </sheetViews>
  <sheetFormatPr baseColWidth="10" defaultRowHeight="14" x14ac:dyDescent="0"/>
  <cols>
    <col min="1" max="1" width="11.6640625" bestFit="1" customWidth="1"/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43782</v>
      </c>
      <c r="C3" s="58">
        <v>2992</v>
      </c>
      <c r="D3" s="47">
        <v>1673.6</v>
      </c>
      <c r="E3" s="59">
        <v>456.06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43782</v>
      </c>
      <c r="C4" s="58">
        <v>2992</v>
      </c>
      <c r="D4" s="59">
        <v>1502.5</v>
      </c>
      <c r="E4" s="59">
        <v>413.7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43782</v>
      </c>
      <c r="C5" s="58">
        <v>2992</v>
      </c>
      <c r="D5" s="47">
        <v>1371.7</v>
      </c>
      <c r="E5" s="59">
        <v>395.5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43782</v>
      </c>
      <c r="C6" s="58">
        <v>2992</v>
      </c>
      <c r="D6" s="59">
        <v>1213.3</v>
      </c>
      <c r="E6" s="59">
        <v>327.45999999999998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43782</v>
      </c>
      <c r="C7" s="58">
        <v>2992</v>
      </c>
      <c r="D7" s="47">
        <v>1039.5999999999999</v>
      </c>
      <c r="E7" s="59">
        <v>301.91000000000003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43782</v>
      </c>
      <c r="C8" s="58">
        <v>2992</v>
      </c>
      <c r="D8" s="59">
        <v>879.05</v>
      </c>
      <c r="E8" s="59">
        <v>243.73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43782</v>
      </c>
      <c r="C9" s="58">
        <v>2992</v>
      </c>
      <c r="D9" s="47">
        <v>752.19</v>
      </c>
      <c r="E9" s="59">
        <v>200.87</v>
      </c>
      <c r="F9" s="60">
        <f t="shared" si="0"/>
        <v>5.984</v>
      </c>
      <c r="G9" s="63" t="s">
        <v>75</v>
      </c>
      <c r="H9" s="63"/>
      <c r="I9" s="64">
        <f>SLOPE(F3:F15,D3:D15)</f>
        <v>8.7795244119995182E-3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43782</v>
      </c>
      <c r="C10" s="58">
        <v>2992</v>
      </c>
      <c r="D10" s="47">
        <v>500.01</v>
      </c>
      <c r="E10" s="59">
        <v>153.66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-0.17228299793849366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43782</v>
      </c>
      <c r="C11" s="58">
        <v>2992</v>
      </c>
      <c r="D11" s="47">
        <v>388.78</v>
      </c>
      <c r="E11" s="59">
        <v>108.37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43782</v>
      </c>
      <c r="C12" s="58">
        <v>2992</v>
      </c>
      <c r="D12" s="65">
        <v>146.63999999999999</v>
      </c>
      <c r="E12" s="65">
        <v>44.673000000000002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3.195801477693367E-2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43782</v>
      </c>
      <c r="C13" s="58">
        <v>2992</v>
      </c>
      <c r="D13" s="65">
        <v>63.646000000000001</v>
      </c>
      <c r="E13" s="65">
        <v>23.305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-0.30740305509387156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43782</v>
      </c>
      <c r="C14" s="58">
        <v>2992</v>
      </c>
      <c r="D14" s="65">
        <v>27.734000000000002</v>
      </c>
      <c r="E14" s="65">
        <v>11.712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43783</v>
      </c>
      <c r="C15" s="58">
        <v>2993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>$B$3+H18</f>
        <v>43782.611111111109</v>
      </c>
      <c r="C18" s="49">
        <v>1</v>
      </c>
      <c r="D18" s="78">
        <v>889.32</v>
      </c>
      <c r="E18" s="79">
        <v>262.77</v>
      </c>
      <c r="F18" s="80">
        <f>((I$9*D18)+I$10)/C18/1000</f>
        <v>7.6355236521409185E-3</v>
      </c>
      <c r="G18" s="80">
        <f>((I$12*E18)+I$13)/C18/1000</f>
        <v>8.0902044878409882E-3</v>
      </c>
      <c r="H18" s="111">
        <v>0.61111111111111105</v>
      </c>
      <c r="I18" s="81">
        <f>jar_information!M3</f>
        <v>43780.666666666664</v>
      </c>
      <c r="J18" s="82">
        <f t="shared" ref="J18:J29" si="2">B18-I18</f>
        <v>1.9444444444452529</v>
      </c>
      <c r="K18" s="82">
        <f>J18*24</f>
        <v>46.666666666686069</v>
      </c>
      <c r="L18" s="83">
        <f>jar_information!G3</f>
        <v>1089.8750280625609</v>
      </c>
      <c r="M18" s="82">
        <f>F18*L18</f>
        <v>8.3217665546494306</v>
      </c>
      <c r="N18" s="82">
        <f>M18*1.83</f>
        <v>15.228832795008458</v>
      </c>
      <c r="O18" s="84">
        <f t="shared" ref="O18:O29" si="3">N18*(12/(12+(16*2)))</f>
        <v>4.1533180350023065</v>
      </c>
      <c r="P18" s="85">
        <f>O18*(400/(400+L18))</f>
        <v>1.1150782332135056</v>
      </c>
      <c r="Q18" s="86"/>
      <c r="R18" s="86">
        <f>Q18/314.7</f>
        <v>0</v>
      </c>
      <c r="S18" s="86">
        <f>R18/P18*100</f>
        <v>0</v>
      </c>
      <c r="T18" s="87">
        <f>F18*1000000</f>
        <v>7635.5236521409188</v>
      </c>
      <c r="U18" s="10">
        <f>M18/L18*100</f>
        <v>0.76355236521409187</v>
      </c>
      <c r="V18" s="103">
        <f>O18/K18</f>
        <v>8.8999672178583844E-2</v>
      </c>
    </row>
    <row r="19" spans="1:22">
      <c r="A19" s="33" t="s">
        <v>153</v>
      </c>
      <c r="B19" s="77">
        <f t="shared" ref="B19:B29" si="4">$B$3+H19</f>
        <v>43782.611111111109</v>
      </c>
      <c r="C19" s="49">
        <v>1</v>
      </c>
      <c r="D19" s="88">
        <v>903.61</v>
      </c>
      <c r="E19" s="89">
        <v>262.99</v>
      </c>
      <c r="F19" s="80">
        <f t="shared" ref="F19:F29" si="5">((I$9*D19)+I$10)/C19/1000</f>
        <v>7.760983055988391E-3</v>
      </c>
      <c r="G19" s="80">
        <f t="shared" ref="G19:G29" si="6">((I$12*E19)+I$13)/C19/1000</f>
        <v>8.0972352510919141E-3</v>
      </c>
      <c r="H19" s="111">
        <v>0.61111111111111105</v>
      </c>
      <c r="I19" s="81">
        <f>jar_information!M4</f>
        <v>43780.666666666664</v>
      </c>
      <c r="J19" s="82">
        <f t="shared" si="2"/>
        <v>1.9444444444452529</v>
      </c>
      <c r="K19" s="82">
        <f t="shared" ref="K19:K29" si="7">J19*24</f>
        <v>46.666666666686069</v>
      </c>
      <c r="L19" s="83">
        <f>jar_information!G4</f>
        <v>1074.8014191661935</v>
      </c>
      <c r="M19" s="82">
        <f t="shared" ref="M19:M29" si="8">F19*L19</f>
        <v>8.3415156027011044</v>
      </c>
      <c r="N19" s="82">
        <f t="shared" ref="N19:N29" si="9">M19*1.83</f>
        <v>15.264973552943022</v>
      </c>
      <c r="O19" s="84">
        <f t="shared" si="3"/>
        <v>4.1631746053480967</v>
      </c>
      <c r="P19" s="85">
        <f t="shared" ref="P19:P29" si="10">O19*(400/(400+L19))</f>
        <v>1.1291485216231554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7760.9830559883912</v>
      </c>
      <c r="U19" s="10">
        <f t="shared" ref="U19:U29" si="13">M19/L19*100</f>
        <v>0.77609830559883919</v>
      </c>
      <c r="V19" s="103">
        <f t="shared" ref="V19:V29" si="14">O19/K19</f>
        <v>8.9210884400279272E-2</v>
      </c>
    </row>
    <row r="20" spans="1:22">
      <c r="A20" s="33" t="s">
        <v>154</v>
      </c>
      <c r="B20" s="77">
        <f t="shared" si="4"/>
        <v>43782.611111111109</v>
      </c>
      <c r="C20" s="49">
        <v>1</v>
      </c>
      <c r="D20" s="90">
        <v>689.8</v>
      </c>
      <c r="E20" s="91">
        <v>189.17</v>
      </c>
      <c r="F20" s="80">
        <f t="shared" si="5"/>
        <v>5.8838329414587741E-3</v>
      </c>
      <c r="G20" s="80">
        <f t="shared" si="6"/>
        <v>5.7380946002586709E-3</v>
      </c>
      <c r="H20" s="111">
        <v>0.61111111111111105</v>
      </c>
      <c r="I20" s="81">
        <f>jar_information!M5</f>
        <v>43780.666666666664</v>
      </c>
      <c r="J20" s="82">
        <f t="shared" si="2"/>
        <v>1.9444444444452529</v>
      </c>
      <c r="K20" s="82">
        <f t="shared" si="7"/>
        <v>46.666666666686069</v>
      </c>
      <c r="L20" s="83">
        <f>jar_information!G5</f>
        <v>1089.8750280625609</v>
      </c>
      <c r="M20" s="82">
        <f t="shared" si="8"/>
        <v>6.4126425921878019</v>
      </c>
      <c r="N20" s="82">
        <f t="shared" si="9"/>
        <v>11.735135943703678</v>
      </c>
      <c r="O20" s="84">
        <f t="shared" si="3"/>
        <v>3.200491621010094</v>
      </c>
      <c r="P20" s="85">
        <f t="shared" si="10"/>
        <v>0.85926445123978634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5883.8329414587743</v>
      </c>
      <c r="U20" s="10">
        <f t="shared" si="13"/>
        <v>0.58838329414587742</v>
      </c>
      <c r="V20" s="103">
        <f t="shared" si="14"/>
        <v>6.8581963307330643E-2</v>
      </c>
    </row>
    <row r="21" spans="1:22">
      <c r="A21" s="33" t="s">
        <v>155</v>
      </c>
      <c r="B21" s="77">
        <f t="shared" si="4"/>
        <v>43782.611111111109</v>
      </c>
      <c r="C21" s="49">
        <v>1</v>
      </c>
      <c r="D21" s="90">
        <v>722.3</v>
      </c>
      <c r="E21" s="91">
        <v>217.45</v>
      </c>
      <c r="F21" s="80">
        <f t="shared" si="5"/>
        <v>6.1691674848487581E-3</v>
      </c>
      <c r="G21" s="80">
        <f t="shared" si="6"/>
        <v>6.6418672581503545E-3</v>
      </c>
      <c r="H21" s="111">
        <v>0.61111111111111105</v>
      </c>
      <c r="I21" s="81">
        <f>jar_information!M6</f>
        <v>43780.666666666664</v>
      </c>
      <c r="J21" s="82">
        <f t="shared" si="2"/>
        <v>1.9444444444452529</v>
      </c>
      <c r="K21" s="82">
        <f t="shared" si="7"/>
        <v>46.666666666686069</v>
      </c>
      <c r="L21" s="83">
        <f>jar_information!G6</f>
        <v>1074.8014191661935</v>
      </c>
      <c r="M21" s="82">
        <f t="shared" si="8"/>
        <v>6.6306299677893819</v>
      </c>
      <c r="N21" s="82">
        <f t="shared" si="9"/>
        <v>12.134052841054569</v>
      </c>
      <c r="O21" s="84">
        <f t="shared" si="3"/>
        <v>3.3092871384694278</v>
      </c>
      <c r="P21" s="85">
        <f t="shared" si="10"/>
        <v>0.89755463900770993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6169.1674848487582</v>
      </c>
      <c r="U21" s="10">
        <f t="shared" si="13"/>
        <v>0.61691674848487577</v>
      </c>
      <c r="V21" s="103">
        <f t="shared" si="14"/>
        <v>7.0913295824315395E-2</v>
      </c>
    </row>
    <row r="22" spans="1:22">
      <c r="A22" s="33" t="s">
        <v>156</v>
      </c>
      <c r="B22" s="77">
        <f t="shared" si="4"/>
        <v>43782.611111111109</v>
      </c>
      <c r="C22" s="49">
        <v>1</v>
      </c>
      <c r="D22" s="90">
        <v>469.51</v>
      </c>
      <c r="E22" s="91">
        <v>138.77000000000001</v>
      </c>
      <c r="F22" s="80">
        <f t="shared" si="5"/>
        <v>3.9497915087393998E-3</v>
      </c>
      <c r="G22" s="80">
        <f t="shared" si="6"/>
        <v>4.1274106555012147E-3</v>
      </c>
      <c r="H22" s="111">
        <v>0.61111111111111105</v>
      </c>
      <c r="I22" s="81">
        <f>jar_information!M7</f>
        <v>43780.666666666664</v>
      </c>
      <c r="J22" s="82">
        <f t="shared" si="2"/>
        <v>1.9444444444452529</v>
      </c>
      <c r="K22" s="82">
        <f t="shared" si="7"/>
        <v>46.666666666686069</v>
      </c>
      <c r="L22" s="83">
        <f>jar_information!G7</f>
        <v>1089.8750280625609</v>
      </c>
      <c r="M22" s="82">
        <f t="shared" si="8"/>
        <v>4.3047791314286181</v>
      </c>
      <c r="N22" s="82">
        <f t="shared" si="9"/>
        <v>7.8777458105143712</v>
      </c>
      <c r="O22" s="84">
        <f t="shared" si="3"/>
        <v>2.148476130140283</v>
      </c>
      <c r="P22" s="85">
        <f t="shared" si="10"/>
        <v>0.57682049559127646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3949.7915087393999</v>
      </c>
      <c r="U22" s="10">
        <f t="shared" si="13"/>
        <v>0.39497915087393998</v>
      </c>
      <c r="V22" s="103">
        <f t="shared" si="14"/>
        <v>4.6038774217272635E-2</v>
      </c>
    </row>
    <row r="23" spans="1:22">
      <c r="A23" s="33" t="s">
        <v>157</v>
      </c>
      <c r="B23" s="77">
        <f t="shared" si="4"/>
        <v>43782.611111111109</v>
      </c>
      <c r="C23" s="49">
        <v>1</v>
      </c>
      <c r="D23" s="90">
        <v>455.49</v>
      </c>
      <c r="E23" s="91">
        <v>127.65</v>
      </c>
      <c r="F23" s="80">
        <f t="shared" si="5"/>
        <v>3.8267025764831672E-3</v>
      </c>
      <c r="G23" s="80">
        <f t="shared" si="6"/>
        <v>3.7720375311817121E-3</v>
      </c>
      <c r="H23" s="111">
        <v>0.61111111111111105</v>
      </c>
      <c r="I23" s="81">
        <f>jar_information!M8</f>
        <v>43780.666666666664</v>
      </c>
      <c r="J23" s="82">
        <f t="shared" si="2"/>
        <v>1.9444444444452529</v>
      </c>
      <c r="K23" s="82">
        <f t="shared" si="7"/>
        <v>46.666666666686069</v>
      </c>
      <c r="L23" s="83">
        <f>jar_information!G8</f>
        <v>1089.8750280625609</v>
      </c>
      <c r="M23" s="82">
        <f t="shared" si="8"/>
        <v>4.1706275779316657</v>
      </c>
      <c r="N23" s="82">
        <f t="shared" si="9"/>
        <v>7.6322484676149482</v>
      </c>
      <c r="O23" s="84">
        <f t="shared" si="3"/>
        <v>2.081522309349531</v>
      </c>
      <c r="P23" s="85">
        <f t="shared" si="10"/>
        <v>0.55884480782427781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3826.7025764831674</v>
      </c>
      <c r="U23" s="10">
        <f t="shared" si="13"/>
        <v>0.38267025764831669</v>
      </c>
      <c r="V23" s="103">
        <f t="shared" si="14"/>
        <v>4.4604049486042831E-2</v>
      </c>
    </row>
    <row r="24" spans="1:22">
      <c r="A24" s="33" t="s">
        <v>158</v>
      </c>
      <c r="B24" s="77">
        <f t="shared" si="4"/>
        <v>43782.611111111109</v>
      </c>
      <c r="C24" s="49">
        <v>1</v>
      </c>
      <c r="D24" s="90">
        <v>1505.5</v>
      </c>
      <c r="E24" s="91">
        <v>388.4</v>
      </c>
      <c r="F24" s="80">
        <f t="shared" si="5"/>
        <v>1.3045291004326781E-2</v>
      </c>
      <c r="G24" s="80">
        <f t="shared" si="6"/>
        <v>1.2105089884267166E-2</v>
      </c>
      <c r="H24" s="111">
        <v>0.61111111111111105</v>
      </c>
      <c r="I24" s="81">
        <f>jar_information!M9</f>
        <v>43780.666666666664</v>
      </c>
      <c r="J24" s="82">
        <f t="shared" si="2"/>
        <v>1.9444444444452529</v>
      </c>
      <c r="K24" s="82">
        <f t="shared" si="7"/>
        <v>46.666666666686069</v>
      </c>
      <c r="L24" s="83">
        <f>jar_information!G9</f>
        <v>1079.8108667673887</v>
      </c>
      <c r="M24" s="82">
        <f t="shared" si="8"/>
        <v>14.08644698661492</v>
      </c>
      <c r="N24" s="82">
        <f t="shared" si="9"/>
        <v>25.778197985505305</v>
      </c>
      <c r="O24" s="84">
        <f t="shared" si="3"/>
        <v>7.0304176324105372</v>
      </c>
      <c r="P24" s="85">
        <f t="shared" si="10"/>
        <v>1.9003557252605707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13045.29100432678</v>
      </c>
      <c r="U24" s="10">
        <f t="shared" si="13"/>
        <v>1.304529100432678</v>
      </c>
      <c r="V24" s="103">
        <f t="shared" si="14"/>
        <v>0.1506518064087346</v>
      </c>
    </row>
    <row r="25" spans="1:22">
      <c r="A25" s="33" t="s">
        <v>159</v>
      </c>
      <c r="B25" s="77">
        <f t="shared" si="4"/>
        <v>43782.611111111109</v>
      </c>
      <c r="C25" s="49">
        <v>1</v>
      </c>
      <c r="D25" s="90">
        <v>1441.7</v>
      </c>
      <c r="E25" s="91">
        <v>380.81</v>
      </c>
      <c r="F25" s="80">
        <f t="shared" si="5"/>
        <v>1.2485157346841212E-2</v>
      </c>
      <c r="G25" s="80">
        <f t="shared" si="6"/>
        <v>1.186252855211024E-2</v>
      </c>
      <c r="H25" s="111">
        <v>0.61111111111111105</v>
      </c>
      <c r="I25" s="81">
        <f>jar_information!M10</f>
        <v>43780.666666666664</v>
      </c>
      <c r="J25" s="82">
        <f t="shared" si="2"/>
        <v>1.9444444444452529</v>
      </c>
      <c r="K25" s="82">
        <f t="shared" si="7"/>
        <v>46.666666666686069</v>
      </c>
      <c r="L25" s="83">
        <f>jar_information!G10</f>
        <v>1094.9298783058375</v>
      </c>
      <c r="M25" s="82">
        <f t="shared" si="8"/>
        <v>13.670371814406082</v>
      </c>
      <c r="N25" s="82">
        <f t="shared" si="9"/>
        <v>25.01678042036313</v>
      </c>
      <c r="O25" s="84">
        <f t="shared" si="3"/>
        <v>6.8227582964626716</v>
      </c>
      <c r="P25" s="85">
        <f t="shared" si="10"/>
        <v>1.825572796550087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12485.157346841212</v>
      </c>
      <c r="U25" s="10">
        <f t="shared" si="13"/>
        <v>1.2485157346841211</v>
      </c>
      <c r="V25" s="103">
        <f t="shared" si="14"/>
        <v>0.14620196349556788</v>
      </c>
    </row>
    <row r="26" spans="1:22">
      <c r="A26" s="33" t="s">
        <v>160</v>
      </c>
      <c r="B26" s="77">
        <f t="shared" si="4"/>
        <v>43782.611111111109</v>
      </c>
      <c r="C26" s="49">
        <v>1</v>
      </c>
      <c r="D26" s="90">
        <v>1573.5</v>
      </c>
      <c r="E26" s="91">
        <v>433.37</v>
      </c>
      <c r="F26" s="80">
        <f t="shared" si="5"/>
        <v>1.3642298664342748E-2</v>
      </c>
      <c r="G26" s="80">
        <f t="shared" si="6"/>
        <v>1.3542241808785873E-2</v>
      </c>
      <c r="H26" s="111">
        <v>0.61111111111111105</v>
      </c>
      <c r="I26" s="81">
        <f>jar_information!M11</f>
        <v>43780.666666666664</v>
      </c>
      <c r="J26" s="82">
        <f t="shared" si="2"/>
        <v>1.9444444444452529</v>
      </c>
      <c r="K26" s="82">
        <f t="shared" si="7"/>
        <v>46.666666666686069</v>
      </c>
      <c r="L26" s="83">
        <f>jar_information!G11</f>
        <v>1089.8750280625609</v>
      </c>
      <c r="M26" s="82">
        <f t="shared" si="8"/>
        <v>14.86840063963839</v>
      </c>
      <c r="N26" s="82">
        <f t="shared" si="9"/>
        <v>27.209173170538254</v>
      </c>
      <c r="O26" s="84">
        <f t="shared" si="3"/>
        <v>7.4206835919649778</v>
      </c>
      <c r="P26" s="85">
        <f t="shared" si="10"/>
        <v>1.9922969248272757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13642.298664342748</v>
      </c>
      <c r="U26" s="10">
        <f t="shared" si="13"/>
        <v>1.3642298664342749</v>
      </c>
      <c r="V26" s="103">
        <f t="shared" si="14"/>
        <v>0.15901464839918342</v>
      </c>
    </row>
    <row r="27" spans="1:22">
      <c r="A27" s="33" t="s">
        <v>161</v>
      </c>
      <c r="B27" s="77">
        <f t="shared" si="4"/>
        <v>43782.611111111109</v>
      </c>
      <c r="C27" s="49">
        <v>1</v>
      </c>
      <c r="D27" s="90">
        <v>1634.6</v>
      </c>
      <c r="E27" s="91">
        <v>417.22</v>
      </c>
      <c r="F27" s="80">
        <f t="shared" si="5"/>
        <v>1.4178727605915918E-2</v>
      </c>
      <c r="G27" s="80">
        <f t="shared" si="6"/>
        <v>1.3026119870138395E-2</v>
      </c>
      <c r="H27" s="111">
        <v>0.61111111111111105</v>
      </c>
      <c r="I27" s="81">
        <f>jar_information!M12</f>
        <v>43780.666666666664</v>
      </c>
      <c r="J27" s="82">
        <f t="shared" si="2"/>
        <v>1.9444444444452529</v>
      </c>
      <c r="K27" s="82">
        <f t="shared" si="7"/>
        <v>46.666666666686069</v>
      </c>
      <c r="L27" s="83">
        <f>jar_information!G12</f>
        <v>1074.8014191661935</v>
      </c>
      <c r="M27" s="82">
        <f t="shared" si="8"/>
        <v>15.239316552809314</v>
      </c>
      <c r="N27" s="82">
        <f t="shared" si="9"/>
        <v>27.887949291641046</v>
      </c>
      <c r="O27" s="84">
        <f t="shared" si="3"/>
        <v>7.6058043522657393</v>
      </c>
      <c r="P27" s="85">
        <f t="shared" si="10"/>
        <v>2.0628687370170344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14178.727605915918</v>
      </c>
      <c r="U27" s="10">
        <f t="shared" si="13"/>
        <v>1.417872760591592</v>
      </c>
      <c r="V27" s="103">
        <f t="shared" si="14"/>
        <v>0.16298152183419809</v>
      </c>
    </row>
    <row r="28" spans="1:22">
      <c r="A28" s="33" t="s">
        <v>162</v>
      </c>
      <c r="B28" s="77">
        <f t="shared" si="4"/>
        <v>43782.611111111109</v>
      </c>
      <c r="C28" s="49">
        <v>1</v>
      </c>
      <c r="D28" s="90">
        <v>1392.8</v>
      </c>
      <c r="E28" s="91">
        <v>369.1</v>
      </c>
      <c r="F28" s="80">
        <f t="shared" si="5"/>
        <v>1.2055838603094435E-2</v>
      </c>
      <c r="G28" s="80">
        <f t="shared" si="6"/>
        <v>1.1488300199072347E-2</v>
      </c>
      <c r="H28" s="111">
        <v>0.61111111111111105</v>
      </c>
      <c r="I28" s="81">
        <f>jar_information!M13</f>
        <v>43780.666666666664</v>
      </c>
      <c r="J28" s="82">
        <f t="shared" si="2"/>
        <v>1.9444444444452529</v>
      </c>
      <c r="K28" s="82">
        <f t="shared" si="7"/>
        <v>46.666666666686069</v>
      </c>
      <c r="L28" s="83">
        <f>jar_information!G13</f>
        <v>1089.8750280625609</v>
      </c>
      <c r="M28" s="82">
        <f t="shared" si="8"/>
        <v>13.139357435865252</v>
      </c>
      <c r="N28" s="82">
        <f t="shared" si="9"/>
        <v>24.045024107633413</v>
      </c>
      <c r="O28" s="84">
        <f t="shared" si="3"/>
        <v>6.5577338475363849</v>
      </c>
      <c r="P28" s="85">
        <f t="shared" si="10"/>
        <v>1.76061313171054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12055.838603094435</v>
      </c>
      <c r="U28" s="10">
        <f t="shared" si="13"/>
        <v>1.2055838603094435</v>
      </c>
      <c r="V28" s="103">
        <f t="shared" si="14"/>
        <v>0.14052286816143553</v>
      </c>
    </row>
    <row r="29" spans="1:22">
      <c r="A29" s="33" t="s">
        <v>163</v>
      </c>
      <c r="B29" s="77">
        <f t="shared" si="4"/>
        <v>43782.611111111109</v>
      </c>
      <c r="C29" s="49">
        <v>1</v>
      </c>
      <c r="D29" s="90">
        <v>1354.1</v>
      </c>
      <c r="E29" s="91">
        <v>378.78</v>
      </c>
      <c r="F29" s="80">
        <f t="shared" si="5"/>
        <v>1.1716071008350053E-2</v>
      </c>
      <c r="G29" s="80">
        <f t="shared" si="6"/>
        <v>1.1797653782113064E-2</v>
      </c>
      <c r="H29" s="111">
        <v>0.61111111111111105</v>
      </c>
      <c r="I29" s="81">
        <f>jar_information!M14</f>
        <v>43780.666666666664</v>
      </c>
      <c r="J29" s="82">
        <f t="shared" si="2"/>
        <v>1.9444444444452529</v>
      </c>
      <c r="K29" s="82">
        <f t="shared" si="7"/>
        <v>46.666666666686069</v>
      </c>
      <c r="L29" s="83">
        <f>jar_information!G14</f>
        <v>1089.8750280625609</v>
      </c>
      <c r="M29" s="82">
        <f t="shared" si="8"/>
        <v>12.76905321900847</v>
      </c>
      <c r="N29" s="82">
        <f t="shared" si="9"/>
        <v>23.3673673907855</v>
      </c>
      <c r="O29" s="84">
        <f t="shared" si="3"/>
        <v>6.372918379305136</v>
      </c>
      <c r="P29" s="85">
        <f t="shared" si="10"/>
        <v>1.710994079172534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11716.071008350053</v>
      </c>
      <c r="U29" s="10">
        <f t="shared" si="13"/>
        <v>1.1716071008350053</v>
      </c>
      <c r="V29" s="103">
        <f t="shared" si="14"/>
        <v>0.13656253669933899</v>
      </c>
    </row>
  </sheetData>
  <conditionalFormatting sqref="O18:O29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18" sqref="H18:H29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43783</v>
      </c>
      <c r="C3" s="58">
        <v>2992</v>
      </c>
      <c r="D3" s="47">
        <v>1690.6</v>
      </c>
      <c r="E3" s="59">
        <v>447.35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43783</v>
      </c>
      <c r="C4" s="58">
        <v>2992</v>
      </c>
      <c r="D4" s="59">
        <v>1523.4</v>
      </c>
      <c r="E4" s="59">
        <v>401.17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43783</v>
      </c>
      <c r="C5" s="58">
        <v>2992</v>
      </c>
      <c r="D5" s="47">
        <v>1372.6</v>
      </c>
      <c r="E5" s="59">
        <v>382.91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43783</v>
      </c>
      <c r="C6" s="58">
        <v>2992</v>
      </c>
      <c r="D6" s="59">
        <v>1207.8</v>
      </c>
      <c r="E6" s="59">
        <v>331.19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43783</v>
      </c>
      <c r="C7" s="58">
        <v>2992</v>
      </c>
      <c r="D7" s="47">
        <v>1052.3</v>
      </c>
      <c r="E7" s="59">
        <v>297.72000000000003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43783</v>
      </c>
      <c r="C8" s="58">
        <v>2992</v>
      </c>
      <c r="D8" s="59">
        <v>829.5</v>
      </c>
      <c r="E8" s="59">
        <v>244.04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43783</v>
      </c>
      <c r="C9" s="58">
        <v>2992</v>
      </c>
      <c r="D9" s="47">
        <v>718.6</v>
      </c>
      <c r="E9" s="59">
        <v>216.51</v>
      </c>
      <c r="F9" s="60">
        <f t="shared" si="0"/>
        <v>5.984</v>
      </c>
      <c r="G9" s="63" t="s">
        <v>75</v>
      </c>
      <c r="H9" s="63"/>
      <c r="I9" s="64">
        <f>SLOPE(F3:F15,D3:D15)</f>
        <v>8.7439510398514241E-3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43783</v>
      </c>
      <c r="C10" s="58">
        <v>2992</v>
      </c>
      <c r="D10" s="47">
        <v>510.14</v>
      </c>
      <c r="E10" s="59">
        <v>147.78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-0.13452375744172151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43783</v>
      </c>
      <c r="C11" s="58">
        <v>2992</v>
      </c>
      <c r="D11" s="47">
        <v>391.34</v>
      </c>
      <c r="E11" s="59">
        <v>108.71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43783</v>
      </c>
      <c r="C12" s="58">
        <v>2992</v>
      </c>
      <c r="D12" s="65">
        <v>146.07</v>
      </c>
      <c r="E12" s="65">
        <v>43.234000000000002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3.2591794631546663E-2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43783</v>
      </c>
      <c r="C13" s="58">
        <v>2992</v>
      </c>
      <c r="D13" s="65">
        <v>71.094999999999999</v>
      </c>
      <c r="E13" s="65">
        <v>23.431999999999999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-0.37641176424245693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43783</v>
      </c>
      <c r="C14" s="58">
        <v>2992</v>
      </c>
      <c r="D14" s="65">
        <v>28.055</v>
      </c>
      <c r="E14" s="65">
        <v>12.295999999999999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43783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>$B$3+H18</f>
        <v>43783.572916666664</v>
      </c>
      <c r="C18" s="49">
        <v>1</v>
      </c>
      <c r="D18" s="78">
        <v>1346.8</v>
      </c>
      <c r="E18" s="79">
        <v>379.84</v>
      </c>
      <c r="F18" s="80">
        <f>((I$9*D18)+I$10)/C18/1000</f>
        <v>1.1641829503030176E-2</v>
      </c>
      <c r="G18" s="80">
        <f>((I$12*E18)+I$13)/C18/1000</f>
        <v>1.2003255508604227E-2</v>
      </c>
      <c r="H18" s="111">
        <v>0.57291666666666663</v>
      </c>
      <c r="I18" s="81">
        <f>jar_information!M3</f>
        <v>43780.666666666664</v>
      </c>
      <c r="J18" s="82">
        <f t="shared" ref="J18:J29" si="2">B18-I18</f>
        <v>2.90625</v>
      </c>
      <c r="K18" s="82">
        <f>J18*24</f>
        <v>69.75</v>
      </c>
      <c r="L18" s="83">
        <f>jar_information!G3</f>
        <v>1089.8750280625609</v>
      </c>
      <c r="M18" s="82">
        <f>F18*L18</f>
        <v>12.688139256314562</v>
      </c>
      <c r="N18" s="82">
        <f>M18*1.83</f>
        <v>23.21929483905565</v>
      </c>
      <c r="O18" s="84">
        <f t="shared" ref="O18:O29" si="3">N18*(12/(12+(16*2)))</f>
        <v>6.3325349561060857</v>
      </c>
      <c r="P18" s="85">
        <f>O18*(400/(400+L18))</f>
        <v>1.7001519823688671</v>
      </c>
      <c r="Q18" s="86"/>
      <c r="R18" s="86">
        <f>Q18/314.7</f>
        <v>0</v>
      </c>
      <c r="S18" s="86">
        <f>R18/P18*100</f>
        <v>0</v>
      </c>
      <c r="T18" s="87">
        <f>F18*1000000</f>
        <v>11641.829503030176</v>
      </c>
      <c r="U18" s="10">
        <f>M18/L18*100</f>
        <v>1.1641829503030177</v>
      </c>
      <c r="V18" s="103">
        <f>O18/K18</f>
        <v>9.0789031628761091E-2</v>
      </c>
    </row>
    <row r="19" spans="1:22">
      <c r="A19" s="33" t="s">
        <v>153</v>
      </c>
      <c r="B19" s="77">
        <f t="shared" ref="B19:B29" si="4">$B$3+H19</f>
        <v>43783.572916666664</v>
      </c>
      <c r="C19" s="49">
        <v>1</v>
      </c>
      <c r="D19" s="88">
        <v>1442.5</v>
      </c>
      <c r="E19" s="89">
        <v>389.29</v>
      </c>
      <c r="F19" s="80">
        <f t="shared" ref="F19:F29" si="5">((I$9*D19)+I$10)/C19/1000</f>
        <v>1.2478625617543959E-2</v>
      </c>
      <c r="G19" s="80">
        <f t="shared" ref="G19:G29" si="6">((I$12*E19)+I$13)/C19/1000</f>
        <v>1.2311247967872344E-2</v>
      </c>
      <c r="H19" s="111">
        <v>0.57291666666666663</v>
      </c>
      <c r="I19" s="81">
        <f>jar_information!M4</f>
        <v>43780.666666666664</v>
      </c>
      <c r="J19" s="82">
        <f t="shared" si="2"/>
        <v>2.90625</v>
      </c>
      <c r="K19" s="82">
        <f t="shared" ref="K19:K29" si="7">J19*24</f>
        <v>69.75</v>
      </c>
      <c r="L19" s="83">
        <f>jar_information!G4</f>
        <v>1074.8014191661935</v>
      </c>
      <c r="M19" s="82">
        <f t="shared" ref="M19:M29" si="8">F19*L19</f>
        <v>13.412044522979864</v>
      </c>
      <c r="N19" s="82">
        <f t="shared" ref="N19:N29" si="9">M19*1.83</f>
        <v>24.544041477053153</v>
      </c>
      <c r="O19" s="84">
        <f t="shared" si="3"/>
        <v>6.6938294937417684</v>
      </c>
      <c r="P19" s="85">
        <f t="shared" ref="P19:P29" si="10">O19*(400/(400+L19))</f>
        <v>1.8155202203497336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12478.625617543959</v>
      </c>
      <c r="U19" s="10">
        <f t="shared" ref="U19:U29" si="13">M19/L19*100</f>
        <v>1.2478625617543959</v>
      </c>
      <c r="V19" s="103">
        <f t="shared" ref="V19:V29" si="14">O19/K19</f>
        <v>9.5968881630706354E-2</v>
      </c>
    </row>
    <row r="20" spans="1:22">
      <c r="A20" s="33" t="s">
        <v>154</v>
      </c>
      <c r="B20" s="77">
        <f t="shared" si="4"/>
        <v>43783.572916666664</v>
      </c>
      <c r="C20" s="49">
        <v>1</v>
      </c>
      <c r="D20" s="90">
        <v>951.78</v>
      </c>
      <c r="E20" s="91">
        <v>267.05</v>
      </c>
      <c r="F20" s="80">
        <f t="shared" si="5"/>
        <v>8.1877939632680665E-3</v>
      </c>
      <c r="G20" s="80">
        <f t="shared" si="6"/>
        <v>8.3272269921120783E-3</v>
      </c>
      <c r="H20" s="111">
        <v>0.57291666666666663</v>
      </c>
      <c r="I20" s="81">
        <f>jar_information!M5</f>
        <v>43780.666666666664</v>
      </c>
      <c r="J20" s="82">
        <f t="shared" si="2"/>
        <v>2.90625</v>
      </c>
      <c r="K20" s="82">
        <f t="shared" si="7"/>
        <v>69.75</v>
      </c>
      <c r="L20" s="83">
        <f>jar_information!G5</f>
        <v>1089.8750280625609</v>
      </c>
      <c r="M20" s="82">
        <f t="shared" si="8"/>
        <v>8.9236721754872512</v>
      </c>
      <c r="N20" s="82">
        <f t="shared" si="9"/>
        <v>16.330320081141672</v>
      </c>
      <c r="O20" s="84">
        <f t="shared" si="3"/>
        <v>4.4537236584931827</v>
      </c>
      <c r="P20" s="85">
        <f t="shared" si="10"/>
        <v>1.195730802813662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8187.7939632680664</v>
      </c>
      <c r="U20" s="10">
        <f t="shared" si="13"/>
        <v>0.81877939632680663</v>
      </c>
      <c r="V20" s="103">
        <f t="shared" si="14"/>
        <v>6.3852668938970361E-2</v>
      </c>
    </row>
    <row r="21" spans="1:22">
      <c r="A21" s="33" t="s">
        <v>155</v>
      </c>
      <c r="B21" s="77">
        <f t="shared" si="4"/>
        <v>43783.572916666664</v>
      </c>
      <c r="C21" s="49">
        <v>1</v>
      </c>
      <c r="D21" s="90">
        <v>1077.5999999999999</v>
      </c>
      <c r="E21" s="91">
        <v>291.16000000000003</v>
      </c>
      <c r="F21" s="80">
        <f t="shared" si="5"/>
        <v>9.2879578831021707E-3</v>
      </c>
      <c r="G21" s="80">
        <f t="shared" si="6"/>
        <v>9.1130151606786686E-3</v>
      </c>
      <c r="H21" s="111">
        <v>0.57291666666666663</v>
      </c>
      <c r="I21" s="81">
        <f>jar_information!M6</f>
        <v>43780.666666666664</v>
      </c>
      <c r="J21" s="82">
        <f t="shared" si="2"/>
        <v>2.90625</v>
      </c>
      <c r="K21" s="82">
        <f t="shared" si="7"/>
        <v>69.75</v>
      </c>
      <c r="L21" s="83">
        <f>jar_information!G6</f>
        <v>1074.8014191661935</v>
      </c>
      <c r="M21" s="82">
        <f t="shared" si="8"/>
        <v>9.9827103139140476</v>
      </c>
      <c r="N21" s="82">
        <f t="shared" si="9"/>
        <v>18.268359874462707</v>
      </c>
      <c r="O21" s="84">
        <f t="shared" si="3"/>
        <v>4.9822799657625563</v>
      </c>
      <c r="P21" s="85">
        <f t="shared" si="10"/>
        <v>1.3513086985173588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9287.9578831021699</v>
      </c>
      <c r="U21" s="10">
        <f t="shared" si="13"/>
        <v>0.92879578831021703</v>
      </c>
      <c r="V21" s="103">
        <f t="shared" si="14"/>
        <v>7.1430537143549189E-2</v>
      </c>
    </row>
    <row r="22" spans="1:22">
      <c r="A22" s="33" t="s">
        <v>156</v>
      </c>
      <c r="B22" s="77">
        <f t="shared" si="4"/>
        <v>43783.572916666664</v>
      </c>
      <c r="C22" s="49">
        <v>1</v>
      </c>
      <c r="D22" s="90">
        <v>752.5</v>
      </c>
      <c r="E22" s="91">
        <v>211.31</v>
      </c>
      <c r="F22" s="80">
        <f t="shared" si="5"/>
        <v>6.4452994000464758E-3</v>
      </c>
      <c r="G22" s="80">
        <f t="shared" si="6"/>
        <v>6.5105603593496684E-3</v>
      </c>
      <c r="H22" s="111">
        <v>0.57291666666666663</v>
      </c>
      <c r="I22" s="81">
        <f>jar_information!M7</f>
        <v>43780.666666666664</v>
      </c>
      <c r="J22" s="82">
        <f t="shared" si="2"/>
        <v>2.90625</v>
      </c>
      <c r="K22" s="82">
        <f t="shared" si="7"/>
        <v>69.75</v>
      </c>
      <c r="L22" s="83">
        <f>jar_information!G7</f>
        <v>1089.8750280625609</v>
      </c>
      <c r="M22" s="82">
        <f t="shared" si="8"/>
        <v>7.0245708644972593</v>
      </c>
      <c r="N22" s="82">
        <f t="shared" si="9"/>
        <v>12.854964682029985</v>
      </c>
      <c r="O22" s="84">
        <f t="shared" si="3"/>
        <v>3.5058994587354504</v>
      </c>
      <c r="P22" s="85">
        <f t="shared" si="10"/>
        <v>0.94126000978606517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6445.299400046476</v>
      </c>
      <c r="U22" s="10">
        <f t="shared" si="13"/>
        <v>0.64452994000464758</v>
      </c>
      <c r="V22" s="103">
        <f t="shared" si="14"/>
        <v>5.0263791523088894E-2</v>
      </c>
    </row>
    <row r="23" spans="1:22">
      <c r="A23" s="33" t="s">
        <v>157</v>
      </c>
      <c r="B23" s="77">
        <f t="shared" si="4"/>
        <v>43783.572916666664</v>
      </c>
      <c r="C23" s="49">
        <v>1</v>
      </c>
      <c r="D23" s="90">
        <v>749.32</v>
      </c>
      <c r="E23" s="91">
        <v>221.32</v>
      </c>
      <c r="F23" s="80">
        <f t="shared" si="5"/>
        <v>6.417493635739748E-3</v>
      </c>
      <c r="G23" s="80">
        <f t="shared" si="6"/>
        <v>6.8368042236114498E-3</v>
      </c>
      <c r="H23" s="111">
        <v>0.57291666666666663</v>
      </c>
      <c r="I23" s="81">
        <f>jar_information!M8</f>
        <v>43780.666666666664</v>
      </c>
      <c r="J23" s="82">
        <f t="shared" si="2"/>
        <v>2.90625</v>
      </c>
      <c r="K23" s="82">
        <f t="shared" si="7"/>
        <v>69.75</v>
      </c>
      <c r="L23" s="83">
        <f>jar_information!G8</f>
        <v>1089.8750280625609</v>
      </c>
      <c r="M23" s="82">
        <f t="shared" si="8"/>
        <v>6.9942660563431636</v>
      </c>
      <c r="N23" s="82">
        <f t="shared" si="9"/>
        <v>12.799506883107989</v>
      </c>
      <c r="O23" s="84">
        <f t="shared" si="3"/>
        <v>3.4907746044839967</v>
      </c>
      <c r="P23" s="85">
        <f t="shared" si="10"/>
        <v>0.9371993056420076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6417.4936357397482</v>
      </c>
      <c r="U23" s="10">
        <f t="shared" si="13"/>
        <v>0.64174936357397483</v>
      </c>
      <c r="V23" s="103">
        <f t="shared" si="14"/>
        <v>5.0046947734537585E-2</v>
      </c>
    </row>
    <row r="24" spans="1:22">
      <c r="A24" s="33" t="s">
        <v>158</v>
      </c>
      <c r="B24" s="77">
        <f t="shared" si="4"/>
        <v>43783.572916666664</v>
      </c>
      <c r="C24" s="49">
        <v>0.4</v>
      </c>
      <c r="D24" s="90">
        <v>762.22</v>
      </c>
      <c r="E24" s="91">
        <v>206.92</v>
      </c>
      <c r="F24" s="80">
        <f t="shared" si="5"/>
        <v>1.6325726510384577E-2</v>
      </c>
      <c r="G24" s="80">
        <f t="shared" si="6"/>
        <v>1.5918705952292944E-2</v>
      </c>
      <c r="H24" s="111">
        <v>0.57291666666666663</v>
      </c>
      <c r="I24" s="81">
        <f>jar_information!M9</f>
        <v>43780.666666666664</v>
      </c>
      <c r="J24" s="82">
        <f t="shared" si="2"/>
        <v>2.90625</v>
      </c>
      <c r="K24" s="82">
        <f t="shared" si="7"/>
        <v>69.75</v>
      </c>
      <c r="L24" s="83">
        <f>jar_information!G9</f>
        <v>1079.8108667673887</v>
      </c>
      <c r="M24" s="82">
        <f t="shared" si="8"/>
        <v>17.628696893785705</v>
      </c>
      <c r="N24" s="82">
        <f t="shared" si="9"/>
        <v>32.260515315627842</v>
      </c>
      <c r="O24" s="84">
        <f t="shared" si="3"/>
        <v>8.7983223588075923</v>
      </c>
      <c r="P24" s="85">
        <f t="shared" si="10"/>
        <v>2.3782288821887936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16325.726510384577</v>
      </c>
      <c r="U24" s="10">
        <f>M24/L24*100</f>
        <v>1.6325726510384577</v>
      </c>
      <c r="V24" s="103">
        <f t="shared" si="14"/>
        <v>0.12614082234849594</v>
      </c>
    </row>
    <row r="25" spans="1:22">
      <c r="A25" s="33" t="s">
        <v>159</v>
      </c>
      <c r="B25" s="77">
        <f t="shared" si="4"/>
        <v>43783.572916666664</v>
      </c>
      <c r="C25" s="49">
        <v>0.4</v>
      </c>
      <c r="D25" s="90">
        <v>704.38</v>
      </c>
      <c r="E25" s="91">
        <v>193.09</v>
      </c>
      <c r="F25" s="80">
        <f t="shared" si="5"/>
        <v>1.5061351190022061E-2</v>
      </c>
      <c r="G25" s="80">
        <f t="shared" si="6"/>
        <v>1.479184465290722E-2</v>
      </c>
      <c r="H25" s="111">
        <v>0.57291666666666663</v>
      </c>
      <c r="I25" s="81">
        <f>jar_information!M10</f>
        <v>43780.666666666664</v>
      </c>
      <c r="J25" s="82">
        <f t="shared" si="2"/>
        <v>2.90625</v>
      </c>
      <c r="K25" s="82">
        <f t="shared" si="7"/>
        <v>69.75</v>
      </c>
      <c r="L25" s="83">
        <f>jar_information!G10</f>
        <v>1094.9298783058375</v>
      </c>
      <c r="M25" s="82">
        <f t="shared" si="8"/>
        <v>16.491123425612336</v>
      </c>
      <c r="N25" s="82">
        <f t="shared" si="9"/>
        <v>30.178755868870578</v>
      </c>
      <c r="O25" s="84">
        <f t="shared" si="3"/>
        <v>8.2305697824192485</v>
      </c>
      <c r="P25" s="85">
        <f t="shared" si="10"/>
        <v>2.2022624343415291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15061.351190022062</v>
      </c>
      <c r="U25" s="10">
        <f t="shared" si="13"/>
        <v>1.5061351190022061</v>
      </c>
      <c r="V25" s="103">
        <f t="shared" si="14"/>
        <v>0.11800100046479209</v>
      </c>
    </row>
    <row r="26" spans="1:22">
      <c r="A26" s="33" t="s">
        <v>160</v>
      </c>
      <c r="B26" s="77">
        <f t="shared" si="4"/>
        <v>43783.572916666664</v>
      </c>
      <c r="C26" s="49">
        <v>0.4</v>
      </c>
      <c r="D26" s="90">
        <v>814.72</v>
      </c>
      <c r="E26" s="91">
        <v>219.89</v>
      </c>
      <c r="F26" s="80">
        <f t="shared" si="5"/>
        <v>1.7473370084365076E-2</v>
      </c>
      <c r="G26" s="80">
        <f t="shared" si="6"/>
        <v>1.6975494893220845E-2</v>
      </c>
      <c r="H26" s="111">
        <v>0.57291666666666663</v>
      </c>
      <c r="I26" s="81">
        <f>jar_information!M11</f>
        <v>43780.666666666664</v>
      </c>
      <c r="J26" s="82">
        <f t="shared" si="2"/>
        <v>2.90625</v>
      </c>
      <c r="K26" s="82">
        <f t="shared" si="7"/>
        <v>69.75</v>
      </c>
      <c r="L26" s="83">
        <f>jar_information!G11</f>
        <v>1089.8750280625609</v>
      </c>
      <c r="M26" s="82">
        <f t="shared" si="8"/>
        <v>19.043789711044898</v>
      </c>
      <c r="N26" s="82">
        <f t="shared" si="9"/>
        <v>34.850135171212166</v>
      </c>
      <c r="O26" s="84">
        <f t="shared" si="3"/>
        <v>9.5045823194215</v>
      </c>
      <c r="P26" s="85">
        <f t="shared" si="10"/>
        <v>2.551779750757027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17473.370084365077</v>
      </c>
      <c r="U26" s="10">
        <f t="shared" si="13"/>
        <v>1.7473370084365076</v>
      </c>
      <c r="V26" s="103">
        <f t="shared" si="14"/>
        <v>0.13626641318167024</v>
      </c>
    </row>
    <row r="27" spans="1:22">
      <c r="A27" s="33" t="s">
        <v>161</v>
      </c>
      <c r="B27" s="77">
        <f t="shared" si="4"/>
        <v>43783.572916666664</v>
      </c>
      <c r="C27" s="49">
        <v>0.4</v>
      </c>
      <c r="D27" s="90">
        <v>798.49</v>
      </c>
      <c r="E27" s="91">
        <v>231.23</v>
      </c>
      <c r="F27" s="80">
        <f t="shared" si="5"/>
        <v>1.7118584270923106E-2</v>
      </c>
      <c r="G27" s="80">
        <f t="shared" si="6"/>
        <v>1.7899472271025191E-2</v>
      </c>
      <c r="H27" s="111">
        <v>0.57291666666666663</v>
      </c>
      <c r="I27" s="81">
        <f>jar_information!M12</f>
        <v>43780.666666666664</v>
      </c>
      <c r="J27" s="82">
        <f t="shared" si="2"/>
        <v>2.90625</v>
      </c>
      <c r="K27" s="82">
        <f t="shared" si="7"/>
        <v>69.75</v>
      </c>
      <c r="L27" s="83">
        <f>jar_information!G12</f>
        <v>1074.8014191661935</v>
      </c>
      <c r="M27" s="82">
        <f t="shared" si="8"/>
        <v>18.399078668504231</v>
      </c>
      <c r="N27" s="82">
        <f t="shared" si="9"/>
        <v>33.670313963362744</v>
      </c>
      <c r="O27" s="84">
        <f t="shared" si="3"/>
        <v>9.1828128990989288</v>
      </c>
      <c r="P27" s="85">
        <f t="shared" si="10"/>
        <v>2.4905896562780918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17118.584270923107</v>
      </c>
      <c r="U27" s="10">
        <f t="shared" si="13"/>
        <v>1.7118584270923105</v>
      </c>
      <c r="V27" s="103">
        <f t="shared" si="14"/>
        <v>0.13165323152830005</v>
      </c>
    </row>
    <row r="28" spans="1:22">
      <c r="A28" s="33" t="s">
        <v>162</v>
      </c>
      <c r="B28" s="77">
        <f t="shared" si="4"/>
        <v>43783.572916666664</v>
      </c>
      <c r="C28" s="49">
        <v>0.4</v>
      </c>
      <c r="D28" s="90">
        <v>700.28</v>
      </c>
      <c r="E28" s="91">
        <v>196.96</v>
      </c>
      <c r="F28" s="80">
        <f t="shared" si="5"/>
        <v>1.4971725691863584E-2</v>
      </c>
      <c r="G28" s="80">
        <f t="shared" si="6"/>
        <v>1.5107170265967435E-2</v>
      </c>
      <c r="H28" s="111">
        <v>0.57291666666666663</v>
      </c>
      <c r="I28" s="81">
        <f>jar_information!M13</f>
        <v>43780.666666666664</v>
      </c>
      <c r="J28" s="82">
        <f t="shared" si="2"/>
        <v>2.90625</v>
      </c>
      <c r="K28" s="82">
        <f t="shared" si="7"/>
        <v>69.75</v>
      </c>
      <c r="L28" s="83">
        <f>jar_information!G13</f>
        <v>1089.8750280625609</v>
      </c>
      <c r="M28" s="82">
        <f t="shared" si="8"/>
        <v>16.317309958564788</v>
      </c>
      <c r="N28" s="82">
        <f t="shared" si="9"/>
        <v>29.860677224173564</v>
      </c>
      <c r="O28" s="84">
        <f t="shared" si="3"/>
        <v>8.1438210611382438</v>
      </c>
      <c r="P28" s="85">
        <f t="shared" si="10"/>
        <v>2.1864440728907311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14971.725691863583</v>
      </c>
      <c r="U28" s="10">
        <f t="shared" si="13"/>
        <v>1.4971725691863584</v>
      </c>
      <c r="V28" s="103">
        <f t="shared" si="14"/>
        <v>0.11675729119911461</v>
      </c>
    </row>
    <row r="29" spans="1:22">
      <c r="A29" s="33" t="s">
        <v>163</v>
      </c>
      <c r="B29" s="77">
        <f t="shared" si="4"/>
        <v>43783.572916666664</v>
      </c>
      <c r="C29" s="49">
        <v>0.4</v>
      </c>
      <c r="D29" s="90">
        <v>671.74</v>
      </c>
      <c r="E29" s="91">
        <v>201.15</v>
      </c>
      <c r="F29" s="80">
        <f t="shared" si="5"/>
        <v>1.4347844785170184E-2</v>
      </c>
      <c r="G29" s="80">
        <f t="shared" si="6"/>
        <v>1.5448569314732884E-2</v>
      </c>
      <c r="H29" s="111">
        <v>0.57291666666666663</v>
      </c>
      <c r="I29" s="81">
        <f>jar_information!M14</f>
        <v>43780.666666666664</v>
      </c>
      <c r="J29" s="82">
        <f t="shared" si="2"/>
        <v>2.90625</v>
      </c>
      <c r="K29" s="82">
        <f t="shared" si="7"/>
        <v>69.75</v>
      </c>
      <c r="L29" s="83">
        <f>jar_information!G14</f>
        <v>1089.8750280625609</v>
      </c>
      <c r="M29" s="82">
        <f t="shared" si="8"/>
        <v>15.637357737874623</v>
      </c>
      <c r="N29" s="82">
        <f t="shared" si="9"/>
        <v>28.616364660310563</v>
      </c>
      <c r="O29" s="84">
        <f t="shared" si="3"/>
        <v>7.8044630891756075</v>
      </c>
      <c r="P29" s="85">
        <f t="shared" si="10"/>
        <v>2.095333619847179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14347.844785170184</v>
      </c>
      <c r="U29" s="10">
        <f t="shared" si="13"/>
        <v>1.4347844785170185</v>
      </c>
      <c r="V29" s="103">
        <f t="shared" si="14"/>
        <v>0.11189194393083308</v>
      </c>
    </row>
  </sheetData>
  <conditionalFormatting sqref="O18:O29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13" workbookViewId="0">
      <selection activeCell="W21" sqref="W21"/>
    </sheetView>
  </sheetViews>
  <sheetFormatPr baseColWidth="10" defaultRowHeight="14" x14ac:dyDescent="0"/>
  <cols>
    <col min="1" max="1" width="13" customWidth="1"/>
    <col min="2" max="2" width="15.1640625" bestFit="1" customWidth="1"/>
    <col min="3" max="3" width="12.1640625" bestFit="1" customWidth="1"/>
    <col min="4" max="4" width="24.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43784</v>
      </c>
      <c r="C3" s="58">
        <v>2992</v>
      </c>
      <c r="D3" s="47">
        <v>1686.7</v>
      </c>
      <c r="E3" s="59">
        <v>440.7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43784</v>
      </c>
      <c r="C4" s="58">
        <v>2992</v>
      </c>
      <c r="D4" s="59">
        <v>1475.2</v>
      </c>
      <c r="E4" s="59">
        <v>421.86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43784</v>
      </c>
      <c r="C5" s="58">
        <v>2992</v>
      </c>
      <c r="D5" s="47">
        <v>1322.2</v>
      </c>
      <c r="E5" s="59">
        <v>381.86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43784</v>
      </c>
      <c r="C6" s="58">
        <v>2992</v>
      </c>
      <c r="D6" s="59">
        <v>1140.7</v>
      </c>
      <c r="E6" s="59">
        <v>333.56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43784</v>
      </c>
      <c r="C7" s="58">
        <v>2992</v>
      </c>
      <c r="D7" s="47">
        <v>1057</v>
      </c>
      <c r="E7" s="59">
        <v>285.35000000000002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43784</v>
      </c>
      <c r="C8" s="58">
        <v>2992</v>
      </c>
      <c r="D8" s="59">
        <v>820.93</v>
      </c>
      <c r="E8" s="59">
        <v>237.52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43784</v>
      </c>
      <c r="C9" s="58">
        <v>2992</v>
      </c>
      <c r="D9" s="47">
        <v>733.62</v>
      </c>
      <c r="E9" s="59">
        <v>203.97</v>
      </c>
      <c r="F9" s="60">
        <f t="shared" si="0"/>
        <v>5.984</v>
      </c>
      <c r="G9" s="63" t="s">
        <v>75</v>
      </c>
      <c r="H9" s="63"/>
      <c r="I9" s="64">
        <f>SLOPE(F3:F15,D3:D15)</f>
        <v>8.9298129921542083E-3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43784</v>
      </c>
      <c r="C10" s="58">
        <v>2992</v>
      </c>
      <c r="D10" s="47">
        <v>526.05999999999995</v>
      </c>
      <c r="E10" s="59">
        <v>156.58000000000001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-0.14569109868476637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43784</v>
      </c>
      <c r="C11" s="58">
        <v>2992</v>
      </c>
      <c r="D11" s="47">
        <v>357.16</v>
      </c>
      <c r="E11" s="59">
        <v>106.43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43784</v>
      </c>
      <c r="C12" s="58">
        <v>2992</v>
      </c>
      <c r="D12" s="65">
        <v>142.62</v>
      </c>
      <c r="E12" s="65">
        <v>42.92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3.2416614305787836E-2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43784</v>
      </c>
      <c r="C13" s="58">
        <v>2992</v>
      </c>
      <c r="D13" s="65">
        <v>67.626999999999995</v>
      </c>
      <c r="E13" s="65">
        <v>21.817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-0.3091125056250581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43784</v>
      </c>
      <c r="C14" s="58">
        <v>2992</v>
      </c>
      <c r="D14" s="65">
        <v>29.347000000000001</v>
      </c>
      <c r="E14" s="65">
        <v>11.141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43784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3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3">
      <c r="A18" s="33" t="s">
        <v>152</v>
      </c>
      <c r="B18" s="77">
        <f>$B$3+H18</f>
        <v>43784.625</v>
      </c>
      <c r="C18" s="49">
        <v>1</v>
      </c>
      <c r="D18" s="78">
        <v>1499.7</v>
      </c>
      <c r="E18" s="79">
        <v>404.52</v>
      </c>
      <c r="F18" s="80">
        <f>((I$9*D18)+I$10)/C18/1000</f>
        <v>1.3246349445648899E-2</v>
      </c>
      <c r="G18" s="80">
        <f>((I$12*E18)+I$13)/C18/1000</f>
        <v>1.2804056313352238E-2</v>
      </c>
      <c r="H18" s="111">
        <v>0.625</v>
      </c>
      <c r="I18" s="81">
        <f>jar_information!M3</f>
        <v>43780.666666666664</v>
      </c>
      <c r="J18" s="82">
        <f t="shared" ref="J18:J29" si="2">B18-I18</f>
        <v>3.9583333333357587</v>
      </c>
      <c r="K18" s="82">
        <f>J18*24</f>
        <v>95.000000000058208</v>
      </c>
      <c r="L18" s="83">
        <f>jar_information!G3</f>
        <v>1089.8750280625609</v>
      </c>
      <c r="M18" s="82">
        <f>F18*L18</f>
        <v>14.436865473803081</v>
      </c>
      <c r="N18" s="82">
        <f>M18*1.83</f>
        <v>26.41946381705964</v>
      </c>
      <c r="O18" s="84">
        <f t="shared" ref="O18:O29" si="3">N18*(12/(12+(16*2)))</f>
        <v>7.2053083137435374</v>
      </c>
      <c r="P18" s="85">
        <f>O18*(400/(400+L18))</f>
        <v>1.9344732082967651</v>
      </c>
      <c r="Q18" s="86"/>
      <c r="R18" s="86">
        <f>Q18/314.7</f>
        <v>0</v>
      </c>
      <c r="S18" s="86">
        <f>R18/P18*100</f>
        <v>0</v>
      </c>
      <c r="T18" s="87">
        <f>F18*1000000</f>
        <v>13246.349445648899</v>
      </c>
      <c r="U18" s="10">
        <f>M18/L18*100</f>
        <v>1.3246349445648899</v>
      </c>
      <c r="V18" s="103">
        <f>O18/K18</f>
        <v>7.584535067093813E-2</v>
      </c>
      <c r="W18" t="s">
        <v>165</v>
      </c>
    </row>
    <row r="19" spans="1:23">
      <c r="A19" s="33" t="s">
        <v>153</v>
      </c>
      <c r="B19" s="77">
        <f t="shared" ref="B19:B29" si="4">$B$3+H19</f>
        <v>43784.625</v>
      </c>
      <c r="C19" s="49">
        <v>1</v>
      </c>
      <c r="D19" s="88">
        <v>1640.1</v>
      </c>
      <c r="E19" s="89">
        <v>432.58</v>
      </c>
      <c r="F19" s="80">
        <f t="shared" ref="F19:F29" si="5">((I$9*D19)+I$10)/C19/1000</f>
        <v>1.4500095189747351E-2</v>
      </c>
      <c r="G19" s="80">
        <f t="shared" ref="G19:G29" si="6">((I$12*E19)+I$13)/C19/1000</f>
        <v>1.3713666510772644E-2</v>
      </c>
      <c r="H19" s="111">
        <v>0.625</v>
      </c>
      <c r="I19" s="81">
        <f>jar_information!M4</f>
        <v>43780.666666666664</v>
      </c>
      <c r="J19" s="82">
        <f t="shared" si="2"/>
        <v>3.9583333333357587</v>
      </c>
      <c r="K19" s="82">
        <f t="shared" ref="K19:K29" si="7">J19*24</f>
        <v>95.000000000058208</v>
      </c>
      <c r="L19" s="83">
        <f>jar_information!G4</f>
        <v>1074.8014191661935</v>
      </c>
      <c r="M19" s="82">
        <f t="shared" ref="M19:M29" si="8">F19*L19</f>
        <v>15.584722887985349</v>
      </c>
      <c r="N19" s="82">
        <f t="shared" ref="N19:N29" si="9">M19*1.83</f>
        <v>28.52004288501319</v>
      </c>
      <c r="O19" s="84">
        <f t="shared" si="3"/>
        <v>7.7781935140945055</v>
      </c>
      <c r="P19" s="85">
        <f t="shared" ref="P19:P29" si="10">O19*(400/(400+L19))</f>
        <v>2.1096246350215888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14500.095189747351</v>
      </c>
      <c r="U19" s="10">
        <f t="shared" ref="U19:U29" si="13">M19/L19*100</f>
        <v>1.4500095189747351</v>
      </c>
      <c r="V19" s="103">
        <f t="shared" ref="V19:V29" si="14">O19/K19</f>
        <v>8.1875721200944634E-2</v>
      </c>
      <c r="W19" t="s">
        <v>165</v>
      </c>
    </row>
    <row r="20" spans="1:23">
      <c r="A20" s="33" t="s">
        <v>154</v>
      </c>
      <c r="B20" s="77">
        <f t="shared" si="4"/>
        <v>43784.625</v>
      </c>
      <c r="C20" s="49">
        <v>1</v>
      </c>
      <c r="D20" s="90">
        <v>1286.5999999999999</v>
      </c>
      <c r="E20" s="91">
        <v>350.09</v>
      </c>
      <c r="F20" s="80">
        <f t="shared" si="5"/>
        <v>1.1343406297020839E-2</v>
      </c>
      <c r="G20" s="80">
        <f t="shared" si="6"/>
        <v>1.1039619996688206E-2</v>
      </c>
      <c r="H20" s="111">
        <v>0.625</v>
      </c>
      <c r="I20" s="81">
        <f>jar_information!M5</f>
        <v>43780.666666666664</v>
      </c>
      <c r="J20" s="82">
        <f t="shared" si="2"/>
        <v>3.9583333333357587</v>
      </c>
      <c r="K20" s="82">
        <f t="shared" si="7"/>
        <v>95.000000000058208</v>
      </c>
      <c r="L20" s="83">
        <f>jar_information!G5</f>
        <v>1089.8750280625609</v>
      </c>
      <c r="M20" s="82">
        <f t="shared" si="8"/>
        <v>12.362895256290617</v>
      </c>
      <c r="N20" s="82">
        <f t="shared" si="9"/>
        <v>22.624098319011829</v>
      </c>
      <c r="O20" s="84">
        <f t="shared" si="3"/>
        <v>6.1702086324577712</v>
      </c>
      <c r="P20" s="85">
        <f t="shared" si="10"/>
        <v>1.6565707904995317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11343.40629702084</v>
      </c>
      <c r="U20" s="10">
        <f t="shared" si="13"/>
        <v>1.1343406297020839</v>
      </c>
      <c r="V20" s="103">
        <f t="shared" si="14"/>
        <v>6.4949564552147274E-2</v>
      </c>
      <c r="W20" t="s">
        <v>165</v>
      </c>
    </row>
    <row r="21" spans="1:23">
      <c r="A21" s="33" t="s">
        <v>155</v>
      </c>
      <c r="B21" s="77">
        <f t="shared" si="4"/>
        <v>43784.625</v>
      </c>
      <c r="C21" s="49">
        <v>1</v>
      </c>
      <c r="D21" s="90">
        <v>1384.1</v>
      </c>
      <c r="E21" s="91">
        <v>371.66</v>
      </c>
      <c r="F21" s="80">
        <f t="shared" si="5"/>
        <v>1.2214063063755873E-2</v>
      </c>
      <c r="G21" s="80">
        <f t="shared" si="6"/>
        <v>1.173884636726405E-2</v>
      </c>
      <c r="H21" s="111">
        <v>0.625</v>
      </c>
      <c r="I21" s="81">
        <f>jar_information!M6</f>
        <v>43780.666666666664</v>
      </c>
      <c r="J21" s="82">
        <f t="shared" si="2"/>
        <v>3.9583333333357587</v>
      </c>
      <c r="K21" s="82">
        <f t="shared" si="7"/>
        <v>95.000000000058208</v>
      </c>
      <c r="L21" s="83">
        <f>jar_information!G6</f>
        <v>1074.8014191661935</v>
      </c>
      <c r="M21" s="82">
        <f t="shared" si="8"/>
        <v>13.127692314710197</v>
      </c>
      <c r="N21" s="82">
        <f t="shared" si="9"/>
        <v>24.02367693591966</v>
      </c>
      <c r="O21" s="84">
        <f t="shared" si="3"/>
        <v>6.5519118916144521</v>
      </c>
      <c r="P21" s="85">
        <f t="shared" si="10"/>
        <v>1.7770289088326747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12214.063063755873</v>
      </c>
      <c r="U21" s="10">
        <f t="shared" si="13"/>
        <v>1.2214063063755873</v>
      </c>
      <c r="V21" s="103">
        <f t="shared" si="14"/>
        <v>6.8967493595899348E-2</v>
      </c>
      <c r="W21" t="s">
        <v>165</v>
      </c>
    </row>
    <row r="22" spans="1:23">
      <c r="A22" s="33" t="s">
        <v>156</v>
      </c>
      <c r="B22" s="77">
        <f t="shared" si="4"/>
        <v>43784.625</v>
      </c>
      <c r="C22" s="49">
        <v>1</v>
      </c>
      <c r="D22" s="90">
        <v>970.62</v>
      </c>
      <c r="E22" s="91">
        <v>262.14999999999998</v>
      </c>
      <c r="F22" s="80">
        <f t="shared" si="5"/>
        <v>8.5217639877599519E-3</v>
      </c>
      <c r="G22" s="80">
        <f t="shared" si="6"/>
        <v>8.1889029346372232E-3</v>
      </c>
      <c r="H22" s="111">
        <v>0.625</v>
      </c>
      <c r="I22" s="81">
        <f>jar_information!M7</f>
        <v>43780.666666666664</v>
      </c>
      <c r="J22" s="82">
        <f t="shared" si="2"/>
        <v>3.9583333333357587</v>
      </c>
      <c r="K22" s="82">
        <f t="shared" si="7"/>
        <v>95.000000000058208</v>
      </c>
      <c r="L22" s="83">
        <f>jar_information!G7</f>
        <v>1089.8750280625609</v>
      </c>
      <c r="M22" s="82">
        <f t="shared" si="8"/>
        <v>9.2876577653023986</v>
      </c>
      <c r="N22" s="82">
        <f t="shared" si="9"/>
        <v>16.99641371050339</v>
      </c>
      <c r="O22" s="84">
        <f t="shared" si="3"/>
        <v>4.6353855574100153</v>
      </c>
      <c r="P22" s="85">
        <f t="shared" si="10"/>
        <v>1.2445031885494151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8521.7639877599522</v>
      </c>
      <c r="U22" s="10">
        <f t="shared" si="13"/>
        <v>0.85217639877599516</v>
      </c>
      <c r="V22" s="103">
        <f t="shared" si="14"/>
        <v>4.8793532183233422E-2</v>
      </c>
      <c r="W22" t="s">
        <v>165</v>
      </c>
    </row>
    <row r="23" spans="1:23">
      <c r="A23" s="33" t="s">
        <v>157</v>
      </c>
      <c r="B23" s="77">
        <f t="shared" si="4"/>
        <v>43784.625</v>
      </c>
      <c r="C23" s="49">
        <v>1</v>
      </c>
      <c r="D23" s="90">
        <v>969.14</v>
      </c>
      <c r="E23" s="91">
        <v>267.27</v>
      </c>
      <c r="F23" s="80">
        <f t="shared" si="5"/>
        <v>8.5085478645315626E-3</v>
      </c>
      <c r="G23" s="80">
        <f t="shared" si="6"/>
        <v>8.3548759998828565E-3</v>
      </c>
      <c r="H23" s="111">
        <v>0.625</v>
      </c>
      <c r="I23" s="81">
        <f>jar_information!M8</f>
        <v>43780.666666666664</v>
      </c>
      <c r="J23" s="82">
        <f t="shared" si="2"/>
        <v>3.9583333333357587</v>
      </c>
      <c r="K23" s="82">
        <f t="shared" si="7"/>
        <v>95.000000000058208</v>
      </c>
      <c r="L23" s="83">
        <f>jar_information!G8</f>
        <v>1089.8750280625609</v>
      </c>
      <c r="M23" s="82">
        <f t="shared" si="8"/>
        <v>9.2732538426279785</v>
      </c>
      <c r="N23" s="82">
        <f t="shared" si="9"/>
        <v>16.9700545320092</v>
      </c>
      <c r="O23" s="84">
        <f t="shared" si="3"/>
        <v>4.6281966905479637</v>
      </c>
      <c r="P23" s="85">
        <f t="shared" si="10"/>
        <v>1.2425731295238871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8508.5478645315634</v>
      </c>
      <c r="U23" s="10">
        <f t="shared" si="13"/>
        <v>0.85085478645315626</v>
      </c>
      <c r="V23" s="103">
        <f t="shared" si="14"/>
        <v>4.871785990047503E-2</v>
      </c>
      <c r="W23" t="s">
        <v>165</v>
      </c>
    </row>
    <row r="24" spans="1:23">
      <c r="A24" s="33" t="s">
        <v>158</v>
      </c>
      <c r="B24" s="77">
        <f t="shared" si="4"/>
        <v>43784.625</v>
      </c>
      <c r="C24" s="49">
        <v>0.4</v>
      </c>
      <c r="D24" s="90">
        <v>865.71</v>
      </c>
      <c r="E24" s="91">
        <v>245.89</v>
      </c>
      <c r="F24" s="80">
        <f t="shared" si="5"/>
        <v>1.896234326688263E-2</v>
      </c>
      <c r="G24" s="80">
        <f t="shared" si="6"/>
        <v>1.915452196506278E-2</v>
      </c>
      <c r="H24" s="111">
        <v>0.625</v>
      </c>
      <c r="I24" s="81">
        <f>jar_information!M9</f>
        <v>43780.666666666664</v>
      </c>
      <c r="J24" s="82">
        <f t="shared" si="2"/>
        <v>3.9583333333357587</v>
      </c>
      <c r="K24" s="82">
        <f t="shared" si="7"/>
        <v>95.000000000058208</v>
      </c>
      <c r="L24" s="83">
        <f>jar_information!G9</f>
        <v>1079.8108667673887</v>
      </c>
      <c r="M24" s="82">
        <f t="shared" si="8"/>
        <v>20.475744318953289</v>
      </c>
      <c r="N24" s="82">
        <f t="shared" si="9"/>
        <v>37.470612103684523</v>
      </c>
      <c r="O24" s="84">
        <f t="shared" si="3"/>
        <v>10.219257846459415</v>
      </c>
      <c r="P24" s="85">
        <f t="shared" si="10"/>
        <v>2.7623145838314156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18962.343266882632</v>
      </c>
      <c r="U24" s="10">
        <f t="shared" si="13"/>
        <v>1.8962343266882631</v>
      </c>
      <c r="V24" s="103">
        <f t="shared" si="14"/>
        <v>0.10757113522582268</v>
      </c>
      <c r="W24" t="s">
        <v>165</v>
      </c>
    </row>
    <row r="25" spans="1:23">
      <c r="A25" s="33" t="s">
        <v>159</v>
      </c>
      <c r="B25" s="77">
        <f t="shared" si="4"/>
        <v>43784.625</v>
      </c>
      <c r="C25" s="49">
        <v>0.4</v>
      </c>
      <c r="D25" s="90">
        <v>697.97</v>
      </c>
      <c r="E25" s="91">
        <v>199.97</v>
      </c>
      <c r="F25" s="80">
        <f t="shared" si="5"/>
        <v>1.5217626188622765E-2</v>
      </c>
      <c r="G25" s="80">
        <f t="shared" si="6"/>
        <v>1.5433094642758338E-2</v>
      </c>
      <c r="H25" s="111">
        <v>0.625</v>
      </c>
      <c r="I25" s="81">
        <f>jar_information!M10</f>
        <v>43780.666666666664</v>
      </c>
      <c r="J25" s="82">
        <f t="shared" si="2"/>
        <v>3.9583333333357587</v>
      </c>
      <c r="K25" s="82">
        <f t="shared" si="7"/>
        <v>95.000000000058208</v>
      </c>
      <c r="L25" s="83">
        <f>jar_information!G10</f>
        <v>1094.9298783058375</v>
      </c>
      <c r="M25" s="82">
        <f t="shared" si="8"/>
        <v>16.662233590812448</v>
      </c>
      <c r="N25" s="82">
        <f t="shared" si="9"/>
        <v>30.491887471186782</v>
      </c>
      <c r="O25" s="84">
        <f t="shared" si="3"/>
        <v>8.315969310323668</v>
      </c>
      <c r="P25" s="85">
        <f t="shared" si="10"/>
        <v>2.2251128781365788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15217.626188622764</v>
      </c>
      <c r="U25" s="10">
        <f t="shared" si="13"/>
        <v>1.5217626188622764</v>
      </c>
      <c r="V25" s="103">
        <f t="shared" si="14"/>
        <v>8.7536519055984974E-2</v>
      </c>
      <c r="W25" t="s">
        <v>165</v>
      </c>
    </row>
    <row r="26" spans="1:23">
      <c r="A26" s="33" t="s">
        <v>160</v>
      </c>
      <c r="B26" s="77">
        <f t="shared" si="4"/>
        <v>43784.625</v>
      </c>
      <c r="C26" s="49">
        <v>0.4</v>
      </c>
      <c r="D26" s="90">
        <v>907.71</v>
      </c>
      <c r="E26" s="91">
        <v>273.87</v>
      </c>
      <c r="F26" s="80">
        <f t="shared" si="5"/>
        <v>1.9899973631058825E-2</v>
      </c>
      <c r="G26" s="80">
        <f t="shared" si="6"/>
        <v>2.1422064135752646E-2</v>
      </c>
      <c r="H26" s="111">
        <v>0.625</v>
      </c>
      <c r="I26" s="81">
        <f>jar_information!M11</f>
        <v>43780.666666666664</v>
      </c>
      <c r="J26" s="82">
        <f t="shared" si="2"/>
        <v>3.9583333333357587</v>
      </c>
      <c r="K26" s="82">
        <f t="shared" si="7"/>
        <v>95.000000000058208</v>
      </c>
      <c r="L26" s="83">
        <f>jar_information!G11</f>
        <v>1089.8750280625609</v>
      </c>
      <c r="M26" s="82">
        <f t="shared" si="8"/>
        <v>21.688484319594458</v>
      </c>
      <c r="N26" s="82">
        <f t="shared" si="9"/>
        <v>39.689926304857863</v>
      </c>
      <c r="O26" s="84">
        <f t="shared" si="3"/>
        <v>10.824525355870325</v>
      </c>
      <c r="P26" s="85">
        <f t="shared" si="10"/>
        <v>2.9061565975628381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19899.973631058823</v>
      </c>
      <c r="U26" s="10">
        <f t="shared" si="13"/>
        <v>1.9899973631058825</v>
      </c>
      <c r="V26" s="103">
        <f t="shared" si="14"/>
        <v>0.11394237216698623</v>
      </c>
      <c r="W26" t="s">
        <v>165</v>
      </c>
    </row>
    <row r="27" spans="1:23">
      <c r="A27" s="33" t="s">
        <v>161</v>
      </c>
      <c r="B27" s="77">
        <f t="shared" si="4"/>
        <v>43784.625</v>
      </c>
      <c r="C27" s="49">
        <v>0.4</v>
      </c>
      <c r="D27" s="90">
        <v>934.79</v>
      </c>
      <c r="E27" s="91">
        <v>279.62</v>
      </c>
      <c r="F27" s="80">
        <f t="shared" si="5"/>
        <v>2.0504521970627663E-2</v>
      </c>
      <c r="G27" s="80">
        <f t="shared" si="6"/>
        <v>2.1888052966398338E-2</v>
      </c>
      <c r="H27" s="111">
        <v>0.625</v>
      </c>
      <c r="I27" s="81">
        <f>jar_information!M12</f>
        <v>43780.666666666664</v>
      </c>
      <c r="J27" s="82">
        <f t="shared" si="2"/>
        <v>3.9583333333357587</v>
      </c>
      <c r="K27" s="82">
        <f t="shared" si="7"/>
        <v>95.000000000058208</v>
      </c>
      <c r="L27" s="83">
        <f>jar_information!G12</f>
        <v>1074.8014191661935</v>
      </c>
      <c r="M27" s="82">
        <f t="shared" si="8"/>
        <v>22.038289313355005</v>
      </c>
      <c r="N27" s="82">
        <f t="shared" si="9"/>
        <v>40.330069443439662</v>
      </c>
      <c r="O27" s="84">
        <f t="shared" si="3"/>
        <v>10.999109848210816</v>
      </c>
      <c r="P27" s="85">
        <f t="shared" si="10"/>
        <v>2.9832110832736705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20504.521970627662</v>
      </c>
      <c r="U27" s="10">
        <f t="shared" si="13"/>
        <v>2.0504521970627665</v>
      </c>
      <c r="V27" s="103">
        <f t="shared" si="14"/>
        <v>0.11578010366530607</v>
      </c>
      <c r="W27" t="s">
        <v>165</v>
      </c>
    </row>
    <row r="28" spans="1:23">
      <c r="A28" s="33" t="s">
        <v>162</v>
      </c>
      <c r="B28" s="77">
        <f t="shared" si="4"/>
        <v>43784.625</v>
      </c>
      <c r="C28" s="49">
        <v>0.4</v>
      </c>
      <c r="D28" s="90">
        <v>815.87</v>
      </c>
      <c r="E28" s="91">
        <v>224.37</v>
      </c>
      <c r="F28" s="80">
        <f t="shared" si="5"/>
        <v>1.7849688568060216E-2</v>
      </c>
      <c r="G28" s="80">
        <f t="shared" si="6"/>
        <v>1.7410508115411397E-2</v>
      </c>
      <c r="H28" s="111">
        <v>0.625</v>
      </c>
      <c r="I28" s="81">
        <f>jar_information!M13</f>
        <v>43780.666666666664</v>
      </c>
      <c r="J28" s="82">
        <f t="shared" si="2"/>
        <v>3.9583333333357587</v>
      </c>
      <c r="K28" s="82">
        <f t="shared" si="7"/>
        <v>95.000000000058208</v>
      </c>
      <c r="L28" s="83">
        <f>jar_information!G13</f>
        <v>1089.8750280625609</v>
      </c>
      <c r="M28" s="82">
        <f t="shared" si="8"/>
        <v>19.453929829022599</v>
      </c>
      <c r="N28" s="82">
        <f t="shared" si="9"/>
        <v>35.600691587111356</v>
      </c>
      <c r="O28" s="84">
        <f t="shared" si="3"/>
        <v>9.7092795237576421</v>
      </c>
      <c r="P28" s="85">
        <f t="shared" si="10"/>
        <v>2.6067366298188448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17849.688568060217</v>
      </c>
      <c r="U28" s="10">
        <f t="shared" si="13"/>
        <v>1.7849688568060216</v>
      </c>
      <c r="V28" s="103">
        <f t="shared" si="14"/>
        <v>0.10220294235528098</v>
      </c>
      <c r="W28" t="s">
        <v>165</v>
      </c>
    </row>
    <row r="29" spans="1:23">
      <c r="A29" s="33" t="s">
        <v>163</v>
      </c>
      <c r="B29" s="77">
        <f t="shared" si="4"/>
        <v>43784.625</v>
      </c>
      <c r="C29" s="49">
        <v>0.4</v>
      </c>
      <c r="D29" s="90">
        <v>800.7</v>
      </c>
      <c r="E29" s="91">
        <v>219.26</v>
      </c>
      <c r="F29" s="80">
        <f t="shared" si="5"/>
        <v>1.7511025410332771E-2</v>
      </c>
      <c r="G29" s="80">
        <f t="shared" si="6"/>
        <v>1.6996385867654958E-2</v>
      </c>
      <c r="H29" s="111">
        <v>0.625</v>
      </c>
      <c r="I29" s="81">
        <f>jar_information!M14</f>
        <v>43780.666666666664</v>
      </c>
      <c r="J29" s="82">
        <f t="shared" si="2"/>
        <v>3.9583333333357587</v>
      </c>
      <c r="K29" s="82">
        <f t="shared" si="7"/>
        <v>95.000000000058208</v>
      </c>
      <c r="L29" s="83">
        <f>jar_information!G14</f>
        <v>1089.8750280625609</v>
      </c>
      <c r="M29" s="82">
        <f t="shared" si="8"/>
        <v>19.084829310490644</v>
      </c>
      <c r="N29" s="82">
        <f t="shared" si="9"/>
        <v>34.925237638197878</v>
      </c>
      <c r="O29" s="84">
        <f t="shared" si="3"/>
        <v>9.5250648104176019</v>
      </c>
      <c r="P29" s="85">
        <f t="shared" si="10"/>
        <v>2.5572788672897033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17511.025410332772</v>
      </c>
      <c r="U29" s="10">
        <f t="shared" si="13"/>
        <v>1.751102541033277</v>
      </c>
      <c r="V29" s="103">
        <f t="shared" si="14"/>
        <v>0.10026384010959753</v>
      </c>
      <c r="W29" t="s">
        <v>165</v>
      </c>
    </row>
    <row r="31" spans="1:23">
      <c r="A31" s="33" t="s">
        <v>166</v>
      </c>
      <c r="B31" s="33" t="s">
        <v>152</v>
      </c>
      <c r="C31" s="118" t="s">
        <v>196</v>
      </c>
      <c r="D31" s="120" t="str">
        <f>CONCATENATE(A31,B31,C31)</f>
        <v>27_HEW22-1_dry_15112019</v>
      </c>
      <c r="E31" s="54">
        <v>1</v>
      </c>
      <c r="F31" t="s">
        <v>195</v>
      </c>
    </row>
    <row r="32" spans="1:23">
      <c r="A32" s="33" t="s">
        <v>167</v>
      </c>
      <c r="B32" s="33" t="s">
        <v>153</v>
      </c>
      <c r="C32" s="118" t="s">
        <v>196</v>
      </c>
      <c r="D32" s="120" t="str">
        <f t="shared" ref="D32:D43" si="16">CONCATENATE(A32,B32,C32)</f>
        <v>28_HEW22-2_dry_15112019</v>
      </c>
      <c r="E32" s="54">
        <v>2</v>
      </c>
    </row>
    <row r="33" spans="1:6">
      <c r="A33" s="33" t="s">
        <v>168</v>
      </c>
      <c r="B33" s="33" t="s">
        <v>154</v>
      </c>
      <c r="C33" s="118" t="s">
        <v>196</v>
      </c>
      <c r="D33" s="120" t="str">
        <f t="shared" si="16"/>
        <v>29_HEW41-1_dry_15112019</v>
      </c>
      <c r="E33" s="54">
        <v>3</v>
      </c>
    </row>
    <row r="34" spans="1:6">
      <c r="A34" s="33" t="s">
        <v>169</v>
      </c>
      <c r="B34" s="33" t="s">
        <v>155</v>
      </c>
      <c r="C34" s="118" t="s">
        <v>196</v>
      </c>
      <c r="D34" s="120" t="str">
        <f t="shared" si="16"/>
        <v>30_HEW41-2_dry_15112019</v>
      </c>
      <c r="E34" s="54">
        <v>4</v>
      </c>
    </row>
    <row r="35" spans="1:6">
      <c r="A35" s="33" t="s">
        <v>170</v>
      </c>
      <c r="B35" s="33" t="s">
        <v>156</v>
      </c>
      <c r="C35" s="118" t="s">
        <v>196</v>
      </c>
      <c r="D35" s="120" t="str">
        <f t="shared" si="16"/>
        <v>31_HEW42-1_dry_15112019</v>
      </c>
      <c r="E35" s="54">
        <v>5</v>
      </c>
    </row>
    <row r="36" spans="1:6">
      <c r="A36" s="33" t="s">
        <v>171</v>
      </c>
      <c r="B36" s="33" t="s">
        <v>157</v>
      </c>
      <c r="C36" s="118" t="s">
        <v>196</v>
      </c>
      <c r="D36" s="120" t="str">
        <f t="shared" si="16"/>
        <v>32_HEW42-2_dry_15112019</v>
      </c>
      <c r="E36" s="54">
        <v>6</v>
      </c>
    </row>
    <row r="37" spans="1:6">
      <c r="A37" s="33" t="s">
        <v>172</v>
      </c>
      <c r="B37" s="33" t="s">
        <v>158</v>
      </c>
      <c r="C37" s="118" t="s">
        <v>196</v>
      </c>
      <c r="D37" s="120" t="str">
        <f t="shared" si="16"/>
        <v>33_HEG10-1_dry_15112019</v>
      </c>
      <c r="E37" s="54">
        <v>7</v>
      </c>
      <c r="F37" t="s">
        <v>195</v>
      </c>
    </row>
    <row r="38" spans="1:6">
      <c r="A38" s="33" t="s">
        <v>173</v>
      </c>
      <c r="B38" s="33" t="s">
        <v>159</v>
      </c>
      <c r="C38" s="118" t="s">
        <v>196</v>
      </c>
      <c r="D38" s="120" t="str">
        <f t="shared" si="16"/>
        <v>34_HEG10-2_dry_15112019</v>
      </c>
      <c r="E38" s="54">
        <v>8</v>
      </c>
      <c r="F38" t="s">
        <v>195</v>
      </c>
    </row>
    <row r="39" spans="1:6">
      <c r="A39" s="33" t="s">
        <v>174</v>
      </c>
      <c r="B39" s="33" t="s">
        <v>160</v>
      </c>
      <c r="C39" s="118" t="s">
        <v>196</v>
      </c>
      <c r="D39" s="120" t="str">
        <f t="shared" si="16"/>
        <v>35_HEG32-1_dry_15112019</v>
      </c>
      <c r="E39" s="54">
        <v>9</v>
      </c>
      <c r="F39" t="s">
        <v>195</v>
      </c>
    </row>
    <row r="40" spans="1:6">
      <c r="A40" s="33" t="s">
        <v>175</v>
      </c>
      <c r="B40" s="33" t="s">
        <v>161</v>
      </c>
      <c r="C40" s="118" t="s">
        <v>196</v>
      </c>
      <c r="D40" s="120" t="str">
        <f t="shared" si="16"/>
        <v>36_HEG32-2_dry_15112019</v>
      </c>
      <c r="E40" s="54">
        <v>10</v>
      </c>
      <c r="F40" t="s">
        <v>195</v>
      </c>
    </row>
    <row r="41" spans="1:6">
      <c r="A41" s="33" t="s">
        <v>176</v>
      </c>
      <c r="B41" s="33" t="s">
        <v>162</v>
      </c>
      <c r="C41" s="118" t="s">
        <v>196</v>
      </c>
      <c r="D41" s="120" t="str">
        <f t="shared" si="16"/>
        <v>37_HEG48-1_dry_15112019</v>
      </c>
      <c r="E41" s="54">
        <v>11</v>
      </c>
      <c r="F41" t="s">
        <v>195</v>
      </c>
    </row>
    <row r="42" spans="1:6">
      <c r="A42" s="33" t="s">
        <v>177</v>
      </c>
      <c r="B42" s="33" t="s">
        <v>163</v>
      </c>
      <c r="C42" s="118" t="s">
        <v>196</v>
      </c>
      <c r="D42" s="120" t="str">
        <f t="shared" si="16"/>
        <v>38_HEG48-2_dry_15112019</v>
      </c>
      <c r="E42" s="54">
        <v>12</v>
      </c>
      <c r="F42" t="s">
        <v>195</v>
      </c>
    </row>
    <row r="43" spans="1:6">
      <c r="A43" s="33" t="s">
        <v>180</v>
      </c>
      <c r="B43" s="33" t="s">
        <v>192</v>
      </c>
      <c r="C43" s="118" t="s">
        <v>196</v>
      </c>
      <c r="D43" s="120" t="str">
        <f t="shared" si="16"/>
        <v>39_Std_flushed_15112019</v>
      </c>
      <c r="E43" s="54">
        <v>13</v>
      </c>
    </row>
    <row r="44" spans="1:6">
      <c r="A44" s="33" t="s">
        <v>181</v>
      </c>
      <c r="B44" s="33" t="s">
        <v>152</v>
      </c>
      <c r="C44" s="119"/>
    </row>
    <row r="45" spans="1:6">
      <c r="A45" s="33" t="s">
        <v>178</v>
      </c>
      <c r="B45" s="33" t="s">
        <v>153</v>
      </c>
      <c r="C45" s="119"/>
    </row>
    <row r="46" spans="1:6">
      <c r="A46" s="33" t="s">
        <v>179</v>
      </c>
      <c r="B46" s="33" t="s">
        <v>154</v>
      </c>
      <c r="C46" s="119"/>
    </row>
    <row r="47" spans="1:6">
      <c r="A47" s="33" t="s">
        <v>182</v>
      </c>
      <c r="B47" s="33" t="s">
        <v>155</v>
      </c>
      <c r="C47" s="119"/>
    </row>
    <row r="48" spans="1:6">
      <c r="A48" s="33" t="s">
        <v>183</v>
      </c>
      <c r="B48" s="33" t="s">
        <v>156</v>
      </c>
      <c r="C48" s="119"/>
    </row>
    <row r="49" spans="1:3">
      <c r="A49" s="33" t="s">
        <v>184</v>
      </c>
      <c r="B49" s="33" t="s">
        <v>157</v>
      </c>
      <c r="C49" s="119"/>
    </row>
    <row r="50" spans="1:3">
      <c r="A50" s="33" t="s">
        <v>185</v>
      </c>
      <c r="B50" s="33" t="s">
        <v>158</v>
      </c>
      <c r="C50" s="119"/>
    </row>
    <row r="51" spans="1:3">
      <c r="A51" s="33" t="s">
        <v>186</v>
      </c>
      <c r="B51" s="33" t="s">
        <v>159</v>
      </c>
      <c r="C51" s="119"/>
    </row>
    <row r="52" spans="1:3">
      <c r="A52" s="33" t="s">
        <v>187</v>
      </c>
      <c r="B52" s="33" t="s">
        <v>160</v>
      </c>
      <c r="C52" s="119"/>
    </row>
    <row r="53" spans="1:3">
      <c r="A53" s="33" t="s">
        <v>188</v>
      </c>
      <c r="B53" s="33" t="s">
        <v>161</v>
      </c>
      <c r="C53" s="119"/>
    </row>
    <row r="54" spans="1:3">
      <c r="A54" s="33" t="s">
        <v>189</v>
      </c>
      <c r="B54" s="33" t="s">
        <v>162</v>
      </c>
      <c r="C54" s="119"/>
    </row>
    <row r="55" spans="1:3">
      <c r="A55" s="33" t="s">
        <v>190</v>
      </c>
      <c r="B55" s="33" t="s">
        <v>163</v>
      </c>
      <c r="C55" s="119"/>
    </row>
    <row r="56" spans="1:3">
      <c r="A56" s="33" t="s">
        <v>191</v>
      </c>
      <c r="B56" s="33" t="s">
        <v>194</v>
      </c>
      <c r="C56" s="119"/>
    </row>
    <row r="57" spans="1:3">
      <c r="A57" s="33" t="s">
        <v>193</v>
      </c>
      <c r="B57" s="33" t="s">
        <v>192</v>
      </c>
      <c r="C57" s="119"/>
    </row>
  </sheetData>
  <conditionalFormatting sqref="O18:O29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I14" sqref="I14"/>
    </sheetView>
  </sheetViews>
  <sheetFormatPr baseColWidth="10" defaultRowHeight="14" x14ac:dyDescent="0"/>
  <cols>
    <col min="1" max="1" width="13.5" customWidth="1"/>
    <col min="2" max="2" width="15.1640625" bestFit="1" customWidth="1"/>
    <col min="9" max="9" width="15.1640625" bestFit="1" customWidth="1"/>
  </cols>
  <sheetData>
    <row r="1" spans="1:26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>
      <c r="A3" s="49">
        <v>5</v>
      </c>
      <c r="B3" s="57">
        <v>43787</v>
      </c>
      <c r="C3" s="58">
        <v>2992</v>
      </c>
      <c r="D3" s="47">
        <v>1657.7</v>
      </c>
      <c r="E3" s="59">
        <v>463.23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>
      <c r="A4" s="49">
        <v>4.4000000000000004</v>
      </c>
      <c r="B4" s="57">
        <v>43787</v>
      </c>
      <c r="C4" s="58">
        <v>2992</v>
      </c>
      <c r="D4" s="59">
        <v>1534</v>
      </c>
      <c r="E4" s="59">
        <v>411.26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>
      <c r="A5" s="49">
        <v>4</v>
      </c>
      <c r="B5" s="57">
        <v>43787</v>
      </c>
      <c r="C5" s="58">
        <v>2992</v>
      </c>
      <c r="D5" s="47">
        <v>1392.1</v>
      </c>
      <c r="E5" s="59">
        <v>362.87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>
      <c r="A6" s="49">
        <v>3.4</v>
      </c>
      <c r="B6" s="57">
        <v>43787</v>
      </c>
      <c r="C6" s="58">
        <v>2992</v>
      </c>
      <c r="D6" s="59">
        <v>1178</v>
      </c>
      <c r="E6" s="59">
        <v>331.86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>
      <c r="A7" s="49">
        <v>3</v>
      </c>
      <c r="B7" s="57">
        <v>43787</v>
      </c>
      <c r="C7" s="58">
        <v>2992</v>
      </c>
      <c r="D7" s="47">
        <v>1069.4000000000001</v>
      </c>
      <c r="E7" s="59">
        <v>286.85000000000002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>
      <c r="A8" s="49">
        <v>2.4</v>
      </c>
      <c r="B8" s="57">
        <v>43787</v>
      </c>
      <c r="C8" s="58">
        <v>2992</v>
      </c>
      <c r="D8" s="59">
        <v>886.4</v>
      </c>
      <c r="E8" s="59">
        <v>247.92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>
      <c r="A9" s="49">
        <v>2</v>
      </c>
      <c r="B9" s="57">
        <v>43787</v>
      </c>
      <c r="C9" s="58">
        <v>2992</v>
      </c>
      <c r="D9" s="47">
        <v>747.19</v>
      </c>
      <c r="E9" s="59">
        <v>211.32</v>
      </c>
      <c r="F9" s="60">
        <f t="shared" si="0"/>
        <v>5.984</v>
      </c>
      <c r="G9" s="63" t="s">
        <v>75</v>
      </c>
      <c r="H9" s="63"/>
      <c r="I9" s="64">
        <f>SLOPE(F3:F15,D3:D15)</f>
        <v>8.7619981276340925E-3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>
      <c r="A10" s="49">
        <v>1.4</v>
      </c>
      <c r="B10" s="57">
        <v>43787</v>
      </c>
      <c r="C10" s="58">
        <v>2992</v>
      </c>
      <c r="D10" s="47">
        <v>535.1</v>
      </c>
      <c r="E10" s="59">
        <v>152.19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-0.20583336534770158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>
      <c r="A11" s="49">
        <v>1</v>
      </c>
      <c r="B11" s="57">
        <v>43787</v>
      </c>
      <c r="C11" s="58">
        <v>2992</v>
      </c>
      <c r="D11" s="47">
        <v>385.66</v>
      </c>
      <c r="E11" s="59">
        <v>108.64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>
      <c r="A12" s="65">
        <v>0.4</v>
      </c>
      <c r="B12" s="57">
        <v>43787</v>
      </c>
      <c r="C12" s="58">
        <v>2992</v>
      </c>
      <c r="D12" s="65">
        <v>141.09</v>
      </c>
      <c r="E12" s="65">
        <v>43.515000000000001</v>
      </c>
      <c r="F12" s="60">
        <f t="shared" si="0"/>
        <v>1.1968000000000001</v>
      </c>
      <c r="G12" s="66" t="s">
        <v>77</v>
      </c>
      <c r="H12" s="66"/>
      <c r="I12" s="67">
        <f>SLOPE(F3:F15,E3:E15)</f>
        <v>3.2440842285070499E-2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>
      <c r="A13" s="65">
        <v>0.2</v>
      </c>
      <c r="B13" s="57">
        <v>43787</v>
      </c>
      <c r="C13" s="58">
        <v>2992</v>
      </c>
      <c r="D13" s="65">
        <v>72.233999999999995</v>
      </c>
      <c r="E13" s="65">
        <v>23.704000000000001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-0.34201604297208554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>
      <c r="A14" s="65">
        <v>0.1</v>
      </c>
      <c r="B14" s="57">
        <v>43787</v>
      </c>
      <c r="C14" s="58">
        <v>2992</v>
      </c>
      <c r="D14" s="65">
        <v>28.774000000000001</v>
      </c>
      <c r="E14" s="65">
        <v>11.56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149</v>
      </c>
      <c r="X14" s="112" t="s">
        <v>150</v>
      </c>
      <c r="Y14" s="112" t="s">
        <v>149</v>
      </c>
      <c r="Z14" s="112" t="s">
        <v>150</v>
      </c>
    </row>
    <row r="15" spans="1:26">
      <c r="A15" s="65">
        <v>0</v>
      </c>
      <c r="B15" s="57">
        <v>43787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W15" s="117"/>
      <c r="X15" s="117"/>
      <c r="Y15" s="117"/>
      <c r="Z15" s="117"/>
    </row>
    <row r="16" spans="1:26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146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  <c r="W16" s="69" t="s">
        <v>89</v>
      </c>
      <c r="X16" s="69" t="s">
        <v>89</v>
      </c>
      <c r="Y16" s="73" t="s">
        <v>90</v>
      </c>
      <c r="Z16" s="73" t="s">
        <v>90</v>
      </c>
    </row>
    <row r="17" spans="1:26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6">
      <c r="A18" s="33" t="s">
        <v>152</v>
      </c>
      <c r="B18" s="77">
        <f t="shared" ref="B18:B29" si="2">B3+H18</f>
        <v>43787.416666666664</v>
      </c>
      <c r="C18" s="49">
        <v>1</v>
      </c>
      <c r="D18" s="78">
        <v>576.67999999999995</v>
      </c>
      <c r="E18" s="79">
        <v>173.89</v>
      </c>
      <c r="F18" s="80">
        <f>((I$9*D18)+I$10)/C18/1000</f>
        <v>4.8470357148963257E-3</v>
      </c>
      <c r="G18" s="80">
        <f>((I$12*E18)+I$13)/C18/1000</f>
        <v>5.2991220219788231E-3</v>
      </c>
      <c r="H18" s="111">
        <v>0.41666666666666669</v>
      </c>
      <c r="I18" s="81">
        <f>jar_information!L3</f>
        <v>43784.625</v>
      </c>
      <c r="J18" s="82">
        <f t="shared" ref="J18:J29" si="3">B18-I18</f>
        <v>2.7916666666642413</v>
      </c>
      <c r="K18" s="82">
        <f>J18*24</f>
        <v>66.999999999941792</v>
      </c>
      <c r="L18" s="83">
        <f>jar_information!G3</f>
        <v>1089.8750280625609</v>
      </c>
      <c r="M18" s="82">
        <f>F18*L18</f>
        <v>5.2826631857928676</v>
      </c>
      <c r="N18" s="82">
        <f>M18*1.83</f>
        <v>9.667273630000949</v>
      </c>
      <c r="O18" s="84">
        <f t="shared" ref="O18:O29" si="4">N18*(12/(12+(16*2)))</f>
        <v>2.6365291718184403</v>
      </c>
      <c r="P18" s="85">
        <f>O18*(400/(400+L18))</f>
        <v>0.70785243652200625</v>
      </c>
      <c r="Q18" s="86"/>
      <c r="R18" s="86">
        <f>Q18/314.7</f>
        <v>0</v>
      </c>
      <c r="S18" s="86">
        <f>R18/P18*100</f>
        <v>0</v>
      </c>
      <c r="T18" s="87">
        <f>F18*1000000</f>
        <v>4847.0357148963258</v>
      </c>
      <c r="U18" s="10">
        <f>M18/L18*100</f>
        <v>0.48470357148963256</v>
      </c>
      <c r="V18" s="103">
        <f>O18/K18</f>
        <v>3.9351181668966131E-2</v>
      </c>
      <c r="W18" s="113">
        <f t="shared" ref="W18:W23" si="5">V18*24*5</f>
        <v>4.7221418002759359</v>
      </c>
      <c r="X18" s="113">
        <f t="shared" ref="X18:X23" si="6">V18*24*7</f>
        <v>6.6109985203863104</v>
      </c>
      <c r="Y18" s="114">
        <f t="shared" ref="Y18:Y23" si="7">W18*(400/(400+L18))</f>
        <v>1.2677954086972321</v>
      </c>
      <c r="Z18" s="114">
        <f t="shared" ref="Z18:Z23" si="8">X18*(400/(400+L18))</f>
        <v>1.7749135721761249</v>
      </c>
    </row>
    <row r="19" spans="1:26">
      <c r="A19" s="33" t="s">
        <v>153</v>
      </c>
      <c r="B19" s="77">
        <f t="shared" si="2"/>
        <v>43787.416666666664</v>
      </c>
      <c r="C19" s="49">
        <v>1</v>
      </c>
      <c r="D19" s="88">
        <v>653.85</v>
      </c>
      <c r="E19" s="89">
        <v>186.79</v>
      </c>
      <c r="F19" s="80">
        <f t="shared" ref="F19:F29" si="9">((I$9*D19)+I$10)/C19/1000</f>
        <v>5.5231991104058497E-3</v>
      </c>
      <c r="G19" s="80">
        <f t="shared" ref="G19:G29" si="10">((I$12*E19)+I$13)/C19/1000</f>
        <v>5.7176088874562334E-3</v>
      </c>
      <c r="H19" s="111">
        <v>0.41666666666666669</v>
      </c>
      <c r="I19" s="81">
        <f>jar_information!L4</f>
        <v>43784.625</v>
      </c>
      <c r="J19" s="82">
        <f t="shared" si="3"/>
        <v>2.7916666666642413</v>
      </c>
      <c r="K19" s="82">
        <f t="shared" ref="K19:K29" si="11">J19*24</f>
        <v>66.999999999941792</v>
      </c>
      <c r="L19" s="83">
        <f>jar_information!G4</f>
        <v>1074.8014191661935</v>
      </c>
      <c r="M19" s="82">
        <f t="shared" ref="M19:M29" si="12">F19*L19</f>
        <v>5.9363422422016647</v>
      </c>
      <c r="N19" s="82">
        <f t="shared" ref="N19:N29" si="13">M19*1.83</f>
        <v>10.863506303229046</v>
      </c>
      <c r="O19" s="84">
        <f t="shared" si="4"/>
        <v>2.9627744463351942</v>
      </c>
      <c r="P19" s="85">
        <f t="shared" ref="P19:P29" si="14">O19*(400/(400+L19))</f>
        <v>0.80357244245405024</v>
      </c>
      <c r="Q19" s="86"/>
      <c r="R19" s="86">
        <f t="shared" ref="R19:R29" si="15">Q19/314.7</f>
        <v>0</v>
      </c>
      <c r="S19" s="86">
        <f>R19/P19*100</f>
        <v>0</v>
      </c>
      <c r="T19" s="87">
        <f t="shared" ref="T19:T29" si="16">F19*1000000</f>
        <v>5523.1991104058498</v>
      </c>
      <c r="U19" s="10">
        <f t="shared" ref="U19:U29" si="17">M19/L19*100</f>
        <v>0.55231991104058498</v>
      </c>
      <c r="V19" s="103">
        <f t="shared" ref="V19:V29" si="18">O19/K19</f>
        <v>4.4220514124444298E-2</v>
      </c>
      <c r="W19" s="113">
        <f t="shared" si="5"/>
        <v>5.306461694933315</v>
      </c>
      <c r="X19" s="113">
        <f t="shared" si="6"/>
        <v>7.429046372906642</v>
      </c>
      <c r="Y19" s="114">
        <f t="shared" si="7"/>
        <v>1.4392342252920864</v>
      </c>
      <c r="Z19" s="114">
        <f t="shared" si="8"/>
        <v>2.0149279154089212</v>
      </c>
    </row>
    <row r="20" spans="1:26">
      <c r="A20" s="33" t="s">
        <v>154</v>
      </c>
      <c r="B20" s="77">
        <f t="shared" si="2"/>
        <v>43787.416666666664</v>
      </c>
      <c r="C20" s="49">
        <v>1</v>
      </c>
      <c r="D20" s="90">
        <v>670.54</v>
      </c>
      <c r="E20" s="91">
        <v>182.84</v>
      </c>
      <c r="F20" s="80">
        <f t="shared" si="9"/>
        <v>5.6694368591560631E-3</v>
      </c>
      <c r="G20" s="80">
        <f t="shared" si="10"/>
        <v>5.5894675604302047E-3</v>
      </c>
      <c r="H20" s="111">
        <v>0.41666666666666669</v>
      </c>
      <c r="I20" s="81">
        <f>jar_information!L5</f>
        <v>43784.625</v>
      </c>
      <c r="J20" s="82">
        <f t="shared" si="3"/>
        <v>2.7916666666642413</v>
      </c>
      <c r="K20" s="82">
        <f t="shared" si="11"/>
        <v>66.999999999941792</v>
      </c>
      <c r="L20" s="83">
        <f>jar_information!G5</f>
        <v>1089.8750280625609</v>
      </c>
      <c r="M20" s="82">
        <f t="shared" si="12"/>
        <v>6.1789776559716314</v>
      </c>
      <c r="N20" s="82">
        <f t="shared" si="13"/>
        <v>11.307529110428085</v>
      </c>
      <c r="O20" s="84">
        <f t="shared" si="4"/>
        <v>3.0838715755712958</v>
      </c>
      <c r="P20" s="85">
        <f t="shared" si="14"/>
        <v>0.82795443040120598</v>
      </c>
      <c r="Q20" s="86"/>
      <c r="R20" s="86">
        <f t="shared" si="15"/>
        <v>0</v>
      </c>
      <c r="S20" s="86">
        <f t="shared" ref="S20:S29" si="19">R20/P20*100</f>
        <v>0</v>
      </c>
      <c r="T20" s="87">
        <f t="shared" si="16"/>
        <v>5669.4368591560633</v>
      </c>
      <c r="U20" s="10">
        <f t="shared" si="17"/>
        <v>0.56694368591560629</v>
      </c>
      <c r="V20" s="103">
        <f t="shared" si="18"/>
        <v>4.6027933963790672E-2</v>
      </c>
      <c r="W20" s="113">
        <f t="shared" si="5"/>
        <v>5.5233520756548806</v>
      </c>
      <c r="X20" s="113">
        <f t="shared" si="6"/>
        <v>7.7326929059168323</v>
      </c>
      <c r="Y20" s="114">
        <f t="shared" si="7"/>
        <v>1.482903457436284</v>
      </c>
      <c r="Z20" s="114">
        <f t="shared" si="8"/>
        <v>2.0760648404107975</v>
      </c>
    </row>
    <row r="21" spans="1:26">
      <c r="A21" s="33" t="s">
        <v>155</v>
      </c>
      <c r="B21" s="77">
        <f t="shared" si="2"/>
        <v>43787.416666666664</v>
      </c>
      <c r="C21" s="49">
        <v>1</v>
      </c>
      <c r="D21" s="90">
        <v>682.86</v>
      </c>
      <c r="E21" s="91">
        <v>199.39</v>
      </c>
      <c r="F21" s="80">
        <f t="shared" si="9"/>
        <v>5.7773846760885142E-3</v>
      </c>
      <c r="G21" s="80">
        <f t="shared" si="10"/>
        <v>6.1263635002481208E-3</v>
      </c>
      <c r="H21" s="111">
        <v>0.41666666666666669</v>
      </c>
      <c r="I21" s="81">
        <f>jar_information!L6</f>
        <v>43784.625</v>
      </c>
      <c r="J21" s="82">
        <f t="shared" si="3"/>
        <v>2.7916666666642413</v>
      </c>
      <c r="K21" s="82">
        <f t="shared" si="11"/>
        <v>66.999999999941792</v>
      </c>
      <c r="L21" s="83">
        <f>jar_information!G6</f>
        <v>1074.8014191661935</v>
      </c>
      <c r="M21" s="82">
        <f t="shared" si="12"/>
        <v>6.2095412489289536</v>
      </c>
      <c r="N21" s="82">
        <f t="shared" si="13"/>
        <v>11.363460485539985</v>
      </c>
      <c r="O21" s="84">
        <f t="shared" si="4"/>
        <v>3.0991255869654504</v>
      </c>
      <c r="P21" s="85">
        <f t="shared" si="14"/>
        <v>0.84055400183099882</v>
      </c>
      <c r="Q21" s="86"/>
      <c r="R21" s="86">
        <f t="shared" si="15"/>
        <v>0</v>
      </c>
      <c r="S21" s="86">
        <f t="shared" si="19"/>
        <v>0</v>
      </c>
      <c r="T21" s="87">
        <f t="shared" si="16"/>
        <v>5777.3846760885144</v>
      </c>
      <c r="U21" s="10">
        <f t="shared" si="17"/>
        <v>0.57773846760885139</v>
      </c>
      <c r="V21" s="103">
        <f t="shared" si="18"/>
        <v>4.6255605775643922E-2</v>
      </c>
      <c r="W21" s="113">
        <f t="shared" si="5"/>
        <v>5.5506726930772707</v>
      </c>
      <c r="X21" s="113">
        <f t="shared" si="6"/>
        <v>7.7709417703081796</v>
      </c>
      <c r="Y21" s="114">
        <f t="shared" si="7"/>
        <v>1.5054698540269773</v>
      </c>
      <c r="Z21" s="114">
        <f t="shared" si="8"/>
        <v>2.1076577956377687</v>
      </c>
    </row>
    <row r="22" spans="1:26">
      <c r="A22" s="33" t="s">
        <v>156</v>
      </c>
      <c r="B22" s="77">
        <f t="shared" si="2"/>
        <v>43787.416666666664</v>
      </c>
      <c r="C22" s="49">
        <v>1</v>
      </c>
      <c r="D22" s="90">
        <v>436.3</v>
      </c>
      <c r="E22" s="91">
        <v>128.5</v>
      </c>
      <c r="F22" s="80">
        <f t="shared" si="9"/>
        <v>3.6170264177390532E-3</v>
      </c>
      <c r="G22" s="80">
        <f t="shared" si="10"/>
        <v>3.8266321906594738E-3</v>
      </c>
      <c r="H22" s="111">
        <v>0.41666666666666669</v>
      </c>
      <c r="I22" s="81">
        <f>jar_information!L7</f>
        <v>43784.625</v>
      </c>
      <c r="J22" s="82">
        <f t="shared" si="3"/>
        <v>2.7916666666642413</v>
      </c>
      <c r="K22" s="82">
        <f t="shared" si="11"/>
        <v>66.999999999941792</v>
      </c>
      <c r="L22" s="83">
        <f>jar_information!G7</f>
        <v>1089.8750280625609</v>
      </c>
      <c r="M22" s="82">
        <f t="shared" si="12"/>
        <v>3.9421067685363744</v>
      </c>
      <c r="N22" s="82">
        <f t="shared" si="13"/>
        <v>7.2140553864215651</v>
      </c>
      <c r="O22" s="84">
        <f t="shared" si="4"/>
        <v>1.9674696508422449</v>
      </c>
      <c r="P22" s="85">
        <f t="shared" si="14"/>
        <v>0.528224076190001</v>
      </c>
      <c r="Q22" s="86"/>
      <c r="R22" s="86">
        <f t="shared" si="15"/>
        <v>0</v>
      </c>
      <c r="S22" s="86">
        <f t="shared" si="19"/>
        <v>0</v>
      </c>
      <c r="T22" s="87">
        <f t="shared" si="16"/>
        <v>3617.0264177390532</v>
      </c>
      <c r="U22" s="10">
        <f t="shared" si="17"/>
        <v>0.36170264177390532</v>
      </c>
      <c r="V22" s="103">
        <f t="shared" si="18"/>
        <v>2.936521866931275E-2</v>
      </c>
      <c r="W22" s="113">
        <f t="shared" si="5"/>
        <v>3.52382624031753</v>
      </c>
      <c r="X22" s="113">
        <f t="shared" si="6"/>
        <v>4.9333567364445425</v>
      </c>
      <c r="Y22" s="114">
        <f t="shared" si="7"/>
        <v>0.94607297228142073</v>
      </c>
      <c r="Z22" s="114">
        <f t="shared" si="8"/>
        <v>1.3245021611939891</v>
      </c>
    </row>
    <row r="23" spans="1:26">
      <c r="A23" s="33" t="s">
        <v>157</v>
      </c>
      <c r="B23" s="77">
        <f t="shared" si="2"/>
        <v>43787.416666666664</v>
      </c>
      <c r="C23" s="49">
        <v>1</v>
      </c>
      <c r="D23" s="90">
        <v>445.26</v>
      </c>
      <c r="E23" s="91">
        <v>133.36000000000001</v>
      </c>
      <c r="F23" s="80">
        <f t="shared" si="9"/>
        <v>3.6955339209626542E-3</v>
      </c>
      <c r="G23" s="80">
        <f t="shared" si="10"/>
        <v>3.9842946841649168E-3</v>
      </c>
      <c r="H23" s="111">
        <v>0.41666666666666669</v>
      </c>
      <c r="I23" s="81">
        <f>jar_information!L8</f>
        <v>43784.625</v>
      </c>
      <c r="J23" s="82">
        <f t="shared" si="3"/>
        <v>2.7916666666642413</v>
      </c>
      <c r="K23" s="82">
        <f t="shared" si="11"/>
        <v>66.999999999941792</v>
      </c>
      <c r="L23" s="83">
        <f>jar_information!G8</f>
        <v>1089.8750280625609</v>
      </c>
      <c r="M23" s="82">
        <f t="shared" si="12"/>
        <v>4.0276701358153186</v>
      </c>
      <c r="N23" s="82">
        <f t="shared" si="13"/>
        <v>7.3706363485420336</v>
      </c>
      <c r="O23" s="84">
        <f t="shared" si="4"/>
        <v>2.0101735496023725</v>
      </c>
      <c r="P23" s="85">
        <f t="shared" si="14"/>
        <v>0.5396891717062765</v>
      </c>
      <c r="Q23" s="86"/>
      <c r="R23" s="86">
        <f t="shared" si="15"/>
        <v>0</v>
      </c>
      <c r="S23" s="86">
        <f t="shared" si="19"/>
        <v>0</v>
      </c>
      <c r="T23" s="87">
        <f t="shared" si="16"/>
        <v>3695.5339209626541</v>
      </c>
      <c r="U23" s="10">
        <f t="shared" si="17"/>
        <v>0.36955339209626542</v>
      </c>
      <c r="V23" s="103">
        <f t="shared" si="18"/>
        <v>3.0002590292598788E-2</v>
      </c>
      <c r="W23" s="113">
        <f t="shared" si="5"/>
        <v>3.6003108351118547</v>
      </c>
      <c r="X23" s="113">
        <f t="shared" si="6"/>
        <v>5.0404351691565967</v>
      </c>
      <c r="Y23" s="114">
        <f t="shared" si="7"/>
        <v>0.96660747171357386</v>
      </c>
      <c r="Z23" s="114">
        <f t="shared" si="8"/>
        <v>1.3532504603990034</v>
      </c>
    </row>
    <row r="24" spans="1:26">
      <c r="A24" s="33" t="s">
        <v>158</v>
      </c>
      <c r="B24" s="77">
        <f t="shared" si="2"/>
        <v>43787.416666666664</v>
      </c>
      <c r="C24" s="49">
        <v>1</v>
      </c>
      <c r="D24" s="90">
        <v>779.4</v>
      </c>
      <c r="E24" s="91">
        <v>224.24</v>
      </c>
      <c r="F24" s="80">
        <f t="shared" si="9"/>
        <v>6.62326797533031E-3</v>
      </c>
      <c r="G24" s="80">
        <f t="shared" si="10"/>
        <v>6.9325184310321235E-3</v>
      </c>
      <c r="H24" s="111">
        <v>0.41666666666666669</v>
      </c>
      <c r="I24" s="81">
        <f>jar_information!L9</f>
        <v>43784.625</v>
      </c>
      <c r="J24" s="82">
        <f t="shared" si="3"/>
        <v>2.7916666666642413</v>
      </c>
      <c r="K24" s="82">
        <f t="shared" si="11"/>
        <v>66.999999999941792</v>
      </c>
      <c r="L24" s="83">
        <f>jar_information!G9</f>
        <v>1079.8108667673887</v>
      </c>
      <c r="M24" s="82">
        <f t="shared" si="12"/>
        <v>7.1518767332741096</v>
      </c>
      <c r="N24" s="82">
        <f t="shared" si="13"/>
        <v>13.087934421891621</v>
      </c>
      <c r="O24" s="84">
        <f t="shared" si="4"/>
        <v>3.5694366605158963</v>
      </c>
      <c r="P24" s="85">
        <f t="shared" si="14"/>
        <v>0.96483590996010049</v>
      </c>
      <c r="Q24" s="86"/>
      <c r="R24" s="86">
        <f t="shared" si="15"/>
        <v>0</v>
      </c>
      <c r="S24" s="86">
        <f t="shared" si="19"/>
        <v>0</v>
      </c>
      <c r="T24" s="87">
        <f t="shared" si="16"/>
        <v>6623.26797533031</v>
      </c>
      <c r="U24" s="10">
        <f t="shared" si="17"/>
        <v>0.66232679753303103</v>
      </c>
      <c r="V24" s="103">
        <f t="shared" si="18"/>
        <v>5.3275174037596976E-2</v>
      </c>
      <c r="W24" s="113">
        <f>V24*24*5</f>
        <v>6.3930208845116372</v>
      </c>
      <c r="X24" s="113">
        <f>V24*24*7</f>
        <v>8.9502292383162931</v>
      </c>
      <c r="Y24" s="114">
        <f>W24*(400/(400+L24))</f>
        <v>1.7280643163479499</v>
      </c>
      <c r="Z24" s="114">
        <f t="shared" ref="Z24:Z29" si="20">X24*(400/(400+L24))</f>
        <v>2.41929004288713</v>
      </c>
    </row>
    <row r="25" spans="1:26">
      <c r="A25" s="33" t="s">
        <v>159</v>
      </c>
      <c r="B25" s="77">
        <f t="shared" si="2"/>
        <v>43787.416666666664</v>
      </c>
      <c r="C25" s="49">
        <v>1</v>
      </c>
      <c r="D25" s="90">
        <v>684.03</v>
      </c>
      <c r="E25" s="91">
        <v>212.56</v>
      </c>
      <c r="F25" s="80">
        <f t="shared" si="9"/>
        <v>5.7876362138978461E-3</v>
      </c>
      <c r="G25" s="80">
        <f t="shared" si="10"/>
        <v>6.5536093931424996E-3</v>
      </c>
      <c r="H25" s="111">
        <v>0.41666666666666669</v>
      </c>
      <c r="I25" s="81">
        <f>jar_information!L10</f>
        <v>43784.625</v>
      </c>
      <c r="J25" s="82">
        <f t="shared" si="3"/>
        <v>2.7916666666642413</v>
      </c>
      <c r="K25" s="82">
        <f t="shared" si="11"/>
        <v>66.999999999941792</v>
      </c>
      <c r="L25" s="83">
        <f>jar_information!G10</f>
        <v>1094.9298783058375</v>
      </c>
      <c r="M25" s="82">
        <f t="shared" si="12"/>
        <v>6.3370558153616265</v>
      </c>
      <c r="N25" s="82">
        <f t="shared" si="13"/>
        <v>11.596812142111776</v>
      </c>
      <c r="O25" s="84">
        <f t="shared" si="4"/>
        <v>3.1627669478486662</v>
      </c>
      <c r="P25" s="85">
        <f t="shared" si="14"/>
        <v>0.84626496366048753</v>
      </c>
      <c r="Q25" s="86"/>
      <c r="R25" s="86">
        <f t="shared" si="15"/>
        <v>0</v>
      </c>
      <c r="S25" s="86">
        <f t="shared" si="19"/>
        <v>0</v>
      </c>
      <c r="T25" s="87">
        <f t="shared" si="16"/>
        <v>5787.6362138978466</v>
      </c>
      <c r="U25" s="10">
        <f t="shared" si="17"/>
        <v>0.57876362138978465</v>
      </c>
      <c r="V25" s="103">
        <f t="shared" si="18"/>
        <v>4.720547683360319E-2</v>
      </c>
      <c r="W25" s="113">
        <f t="shared" ref="W25:W29" si="21">V25*24*5</f>
        <v>5.6646572200323835</v>
      </c>
      <c r="X25" s="113">
        <f t="shared" ref="X25:X29" si="22">V25*24*7</f>
        <v>7.9305201080453358</v>
      </c>
      <c r="Y25" s="114">
        <f t="shared" ref="Y25:Y29" si="23">W25*(400/(400+L25))</f>
        <v>1.5156984423783095</v>
      </c>
      <c r="Z25" s="114">
        <f t="shared" si="20"/>
        <v>2.1219778193296328</v>
      </c>
    </row>
    <row r="26" spans="1:26">
      <c r="A26" s="33" t="s">
        <v>160</v>
      </c>
      <c r="B26" s="77">
        <f t="shared" si="2"/>
        <v>43787.416666666664</v>
      </c>
      <c r="C26" s="49">
        <v>1</v>
      </c>
      <c r="D26" s="90">
        <v>882.39</v>
      </c>
      <c r="E26" s="91">
        <v>265.01</v>
      </c>
      <c r="F26" s="80">
        <f t="shared" si="9"/>
        <v>7.5256661624953456E-3</v>
      </c>
      <c r="G26" s="80">
        <f t="shared" si="10"/>
        <v>8.2551315709944468E-3</v>
      </c>
      <c r="H26" s="111">
        <v>0.41666666666666669</v>
      </c>
      <c r="I26" s="81">
        <f>jar_information!L11</f>
        <v>43784.625</v>
      </c>
      <c r="J26" s="82">
        <f t="shared" si="3"/>
        <v>2.7916666666642413</v>
      </c>
      <c r="K26" s="82">
        <f t="shared" si="11"/>
        <v>66.999999999941792</v>
      </c>
      <c r="L26" s="83">
        <f>jar_information!G11</f>
        <v>1089.8750280625609</v>
      </c>
      <c r="M26" s="82">
        <f t="shared" si="12"/>
        <v>8.20203562003908</v>
      </c>
      <c r="N26" s="82">
        <f t="shared" si="13"/>
        <v>15.009725184671517</v>
      </c>
      <c r="O26" s="84">
        <f t="shared" si="4"/>
        <v>4.0935614140013223</v>
      </c>
      <c r="P26" s="85">
        <f t="shared" si="14"/>
        <v>1.0990348416872535</v>
      </c>
      <c r="Q26" s="86"/>
      <c r="R26" s="86">
        <f t="shared" si="15"/>
        <v>0</v>
      </c>
      <c r="S26" s="86">
        <f t="shared" si="19"/>
        <v>0</v>
      </c>
      <c r="T26" s="87">
        <f t="shared" si="16"/>
        <v>7525.6661624953458</v>
      </c>
      <c r="U26" s="10">
        <f t="shared" si="17"/>
        <v>0.75256661624953458</v>
      </c>
      <c r="V26" s="103">
        <f t="shared" si="18"/>
        <v>6.1097931552311621E-2</v>
      </c>
      <c r="W26" s="113">
        <f t="shared" si="21"/>
        <v>7.331751786277394</v>
      </c>
      <c r="X26" s="113">
        <f t="shared" si="22"/>
        <v>10.264452500788352</v>
      </c>
      <c r="Y26" s="114">
        <f t="shared" si="23"/>
        <v>1.9684206119788803</v>
      </c>
      <c r="Z26" s="114">
        <f t="shared" si="20"/>
        <v>2.7557888567704327</v>
      </c>
    </row>
    <row r="27" spans="1:26">
      <c r="A27" s="33" t="s">
        <v>161</v>
      </c>
      <c r="B27" s="77">
        <f t="shared" si="2"/>
        <v>43787.416666666664</v>
      </c>
      <c r="C27" s="49">
        <v>1</v>
      </c>
      <c r="D27" s="90">
        <v>818.96</v>
      </c>
      <c r="E27" s="91">
        <v>245.88</v>
      </c>
      <c r="F27" s="80">
        <f t="shared" si="9"/>
        <v>6.9698926212595153E-3</v>
      </c>
      <c r="G27" s="80">
        <f t="shared" si="10"/>
        <v>7.6345382580810493E-3</v>
      </c>
      <c r="H27" s="111">
        <v>0.41666666666666669</v>
      </c>
      <c r="I27" s="81">
        <f>jar_information!L12</f>
        <v>43784.625</v>
      </c>
      <c r="J27" s="82">
        <f t="shared" si="3"/>
        <v>2.7916666666642413</v>
      </c>
      <c r="K27" s="82">
        <f t="shared" si="11"/>
        <v>66.999999999941792</v>
      </c>
      <c r="L27" s="83">
        <f>jar_information!G12</f>
        <v>1074.8014191661935</v>
      </c>
      <c r="M27" s="82">
        <f t="shared" si="12"/>
        <v>7.4912504807657072</v>
      </c>
      <c r="N27" s="82">
        <f t="shared" si="13"/>
        <v>13.708988379801244</v>
      </c>
      <c r="O27" s="84">
        <f t="shared" si="4"/>
        <v>3.7388150126730664</v>
      </c>
      <c r="P27" s="85">
        <f t="shared" si="14"/>
        <v>1.0140524586115127</v>
      </c>
      <c r="Q27" s="86"/>
      <c r="R27" s="86">
        <f t="shared" si="15"/>
        <v>0</v>
      </c>
      <c r="S27" s="86">
        <f t="shared" si="19"/>
        <v>0</v>
      </c>
      <c r="T27" s="87">
        <f t="shared" si="16"/>
        <v>6969.8926212595152</v>
      </c>
      <c r="U27" s="10">
        <f t="shared" si="17"/>
        <v>0.69698926212595158</v>
      </c>
      <c r="V27" s="103">
        <f t="shared" si="18"/>
        <v>5.5803209144422605E-2</v>
      </c>
      <c r="W27" s="113">
        <f t="shared" si="21"/>
        <v>6.6963850973307126</v>
      </c>
      <c r="X27" s="113">
        <f t="shared" si="22"/>
        <v>9.3749391362629986</v>
      </c>
      <c r="Y27" s="114">
        <f t="shared" si="23"/>
        <v>1.8162133587087648</v>
      </c>
      <c r="Z27" s="114">
        <f t="shared" si="20"/>
        <v>2.5426987021922711</v>
      </c>
    </row>
    <row r="28" spans="1:26">
      <c r="A28" s="33" t="s">
        <v>162</v>
      </c>
      <c r="B28" s="77">
        <f t="shared" si="2"/>
        <v>43787.416666666664</v>
      </c>
      <c r="C28" s="49">
        <v>1</v>
      </c>
      <c r="D28" s="90">
        <v>960.63</v>
      </c>
      <c r="E28" s="91">
        <v>272.67</v>
      </c>
      <c r="F28" s="80">
        <f t="shared" si="9"/>
        <v>8.2112048960014377E-3</v>
      </c>
      <c r="G28" s="80">
        <f t="shared" si="10"/>
        <v>8.5036284228980873E-3</v>
      </c>
      <c r="H28" s="111">
        <v>0.41666666666666669</v>
      </c>
      <c r="I28" s="81">
        <f>jar_information!L13</f>
        <v>43784.625</v>
      </c>
      <c r="J28" s="82">
        <f t="shared" si="3"/>
        <v>2.7916666666642413</v>
      </c>
      <c r="K28" s="82">
        <f t="shared" si="11"/>
        <v>66.999999999941792</v>
      </c>
      <c r="L28" s="83">
        <f>jar_information!G13</f>
        <v>1089.8750280625609</v>
      </c>
      <c r="M28" s="82">
        <f t="shared" si="12"/>
        <v>8.9491871664570048</v>
      </c>
      <c r="N28" s="82">
        <f t="shared" si="13"/>
        <v>16.377012514616318</v>
      </c>
      <c r="O28" s="84">
        <f t="shared" si="4"/>
        <v>4.4664579585317226</v>
      </c>
      <c r="P28" s="85">
        <f t="shared" si="14"/>
        <v>1.1991496936061601</v>
      </c>
      <c r="Q28" s="86"/>
      <c r="R28" s="86">
        <f t="shared" si="15"/>
        <v>0</v>
      </c>
      <c r="S28" s="86">
        <f t="shared" si="19"/>
        <v>0</v>
      </c>
      <c r="T28" s="87">
        <f t="shared" si="16"/>
        <v>8211.2048960014381</v>
      </c>
      <c r="U28" s="10">
        <f t="shared" si="17"/>
        <v>0.82112048960014372</v>
      </c>
      <c r="V28" s="103">
        <f t="shared" si="18"/>
        <v>6.6663551619934369E-2</v>
      </c>
      <c r="W28" s="113">
        <f t="shared" si="21"/>
        <v>7.9996261943921247</v>
      </c>
      <c r="X28" s="113">
        <f t="shared" si="22"/>
        <v>11.199476672148974</v>
      </c>
      <c r="Y28" s="114">
        <f t="shared" si="23"/>
        <v>2.1477307945203616</v>
      </c>
      <c r="Z28" s="114">
        <f t="shared" si="20"/>
        <v>3.0068231123285059</v>
      </c>
    </row>
    <row r="29" spans="1:26">
      <c r="A29" s="33" t="s">
        <v>163</v>
      </c>
      <c r="B29" s="77">
        <f t="shared" si="2"/>
        <v>43787.416666666664</v>
      </c>
      <c r="C29" s="49">
        <v>1</v>
      </c>
      <c r="D29" s="90">
        <v>861.39</v>
      </c>
      <c r="E29" s="91">
        <v>236.03</v>
      </c>
      <c r="F29" s="80">
        <f t="shared" si="9"/>
        <v>7.3416642018150294E-3</v>
      </c>
      <c r="G29" s="80">
        <f t="shared" si="10"/>
        <v>7.3149959615731045E-3</v>
      </c>
      <c r="H29" s="111">
        <v>0.41666666666666669</v>
      </c>
      <c r="I29" s="81">
        <f>jar_information!L14</f>
        <v>43784.625</v>
      </c>
      <c r="J29" s="82">
        <f t="shared" si="3"/>
        <v>2.7916666666642413</v>
      </c>
      <c r="K29" s="82">
        <f t="shared" si="11"/>
        <v>66.999999999941792</v>
      </c>
      <c r="L29" s="83">
        <f>jar_information!G14</f>
        <v>1089.8750280625609</v>
      </c>
      <c r="M29" s="82">
        <f t="shared" si="12"/>
        <v>8.0014964779790532</v>
      </c>
      <c r="N29" s="82">
        <f t="shared" si="13"/>
        <v>14.642738554701667</v>
      </c>
      <c r="O29" s="84">
        <f t="shared" si="4"/>
        <v>3.9934741512822725</v>
      </c>
      <c r="P29" s="85">
        <f t="shared" si="14"/>
        <v>1.0721635240709824</v>
      </c>
      <c r="Q29" s="86"/>
      <c r="R29" s="86">
        <f t="shared" si="15"/>
        <v>0</v>
      </c>
      <c r="S29" s="86">
        <f t="shared" si="19"/>
        <v>0</v>
      </c>
      <c r="T29" s="87">
        <f t="shared" si="16"/>
        <v>7341.6642018150296</v>
      </c>
      <c r="U29" s="10">
        <f t="shared" si="17"/>
        <v>0.73416642018150291</v>
      </c>
      <c r="V29" s="103">
        <f t="shared" si="18"/>
        <v>5.9604091810234953E-2</v>
      </c>
      <c r="W29" s="113">
        <f t="shared" si="21"/>
        <v>7.1524910172281944</v>
      </c>
      <c r="X29" s="113">
        <f t="shared" si="22"/>
        <v>10.013487424119472</v>
      </c>
      <c r="Y29" s="114">
        <f t="shared" si="23"/>
        <v>1.9202928789347711</v>
      </c>
      <c r="Z29" s="114">
        <f t="shared" si="20"/>
        <v>2.6884100305086793</v>
      </c>
    </row>
    <row r="31" spans="1:26">
      <c r="K31" s="82"/>
    </row>
    <row r="32" spans="1:26">
      <c r="K32" s="82"/>
    </row>
    <row r="33" spans="11:11">
      <c r="K33" s="82"/>
    </row>
  </sheetData>
  <conditionalFormatting sqref="O18:O29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sqref="A1:V28"/>
    </sheetView>
  </sheetViews>
  <sheetFormatPr baseColWidth="10" defaultRowHeight="14" x14ac:dyDescent="0"/>
  <cols>
    <col min="2" max="2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43790</v>
      </c>
      <c r="C3" s="58">
        <v>2992</v>
      </c>
      <c r="D3" s="47">
        <v>1738.8</v>
      </c>
      <c r="E3" s="59">
        <v>470.82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43791</v>
      </c>
      <c r="C4" s="58">
        <v>2992</v>
      </c>
      <c r="D4" s="59">
        <v>1575.7</v>
      </c>
      <c r="E4" s="59">
        <v>415.91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43791</v>
      </c>
      <c r="C5" s="58">
        <v>2992</v>
      </c>
      <c r="D5" s="47">
        <v>1422.8</v>
      </c>
      <c r="E5" s="59">
        <v>397.68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43791</v>
      </c>
      <c r="C6" s="58">
        <v>2992</v>
      </c>
      <c r="D6" s="59">
        <v>1240.0999999999999</v>
      </c>
      <c r="E6" s="59">
        <v>344.17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43791</v>
      </c>
      <c r="C7" s="58">
        <v>2992</v>
      </c>
      <c r="D7" s="47">
        <v>1117.0999999999999</v>
      </c>
      <c r="E7" s="59">
        <v>301.76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43791</v>
      </c>
      <c r="C8" s="58">
        <v>2992</v>
      </c>
      <c r="D8" s="59">
        <v>868.69</v>
      </c>
      <c r="E8" s="59">
        <v>259.60000000000002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43791</v>
      </c>
      <c r="C9" s="58">
        <v>2992</v>
      </c>
      <c r="D9" s="47">
        <v>718.01</v>
      </c>
      <c r="E9" s="59">
        <v>213.22</v>
      </c>
      <c r="F9" s="60">
        <f t="shared" si="0"/>
        <v>5.984</v>
      </c>
      <c r="G9" s="63" t="s">
        <v>75</v>
      </c>
      <c r="H9" s="63"/>
      <c r="I9" s="64">
        <f>SLOPE(F3:F14,D3:D14)</f>
        <v>8.4451813765764692E-3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43791</v>
      </c>
      <c r="C10" s="58">
        <v>2992</v>
      </c>
      <c r="D10" s="47">
        <v>494.83</v>
      </c>
      <c r="E10" s="59">
        <v>140.24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-9.9751670282658189E-2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43791</v>
      </c>
      <c r="C11" s="58">
        <v>2992</v>
      </c>
      <c r="D11" s="47">
        <v>379.81</v>
      </c>
      <c r="E11" s="59">
        <v>104.69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43791</v>
      </c>
      <c r="C12" s="58">
        <v>2992</v>
      </c>
      <c r="D12" s="65">
        <v>151.01</v>
      </c>
      <c r="E12" s="65">
        <v>48.212000000000003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3.1425019433869598E-2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43791</v>
      </c>
      <c r="C13" s="58">
        <v>2992</v>
      </c>
      <c r="D13" s="65">
        <v>72.843999999999994</v>
      </c>
      <c r="E13" s="65">
        <v>23.887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-0.34986845707897629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43791</v>
      </c>
      <c r="C14" s="58">
        <v>2992</v>
      </c>
      <c r="D14" s="65">
        <v>34.023000000000003</v>
      </c>
      <c r="E14" s="65">
        <v>12.666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152</v>
      </c>
      <c r="B17" s="77">
        <f>$B$3+H17</f>
        <v>43790.6875</v>
      </c>
      <c r="C17" s="49">
        <v>1</v>
      </c>
      <c r="D17" s="78">
        <v>807.45</v>
      </c>
      <c r="E17" s="79">
        <v>211.97</v>
      </c>
      <c r="F17" s="80">
        <f>((I$9*D17)+I$10)/C17/1000</f>
        <v>6.7193100322340124E-3</v>
      </c>
      <c r="G17" s="80">
        <f>((I$12*E17)+I$13)/C17/1000</f>
        <v>6.3112929123183619E-3</v>
      </c>
      <c r="H17" s="111">
        <v>0.6875</v>
      </c>
      <c r="I17" s="81">
        <f>jar_information!L3</f>
        <v>43784.625</v>
      </c>
      <c r="J17" s="82">
        <f t="shared" ref="J17:J28" si="1">B17-I17</f>
        <v>6.0625</v>
      </c>
      <c r="K17" s="82">
        <f>J17*24</f>
        <v>145.5</v>
      </c>
      <c r="L17" s="83">
        <f>jar_information!G3</f>
        <v>1089.8750280625609</v>
      </c>
      <c r="M17" s="82">
        <f>F17*L17</f>
        <v>7.3232082099420914</v>
      </c>
      <c r="N17" s="82">
        <f>M17*1.83</f>
        <v>13.401471024194027</v>
      </c>
      <c r="O17" s="84">
        <f t="shared" ref="O17:O28" si="2">N17*(12/(12+(16*2)))</f>
        <v>3.654946642962007</v>
      </c>
      <c r="P17" s="85">
        <f>O17*(400/(400+L17))</f>
        <v>0.98127603298779054</v>
      </c>
      <c r="Q17" s="86"/>
      <c r="R17" s="86">
        <f>Q17/314.7</f>
        <v>0</v>
      </c>
      <c r="S17" s="86">
        <f>R17/P17*100</f>
        <v>0</v>
      </c>
      <c r="T17" s="87">
        <f>F17*1000000</f>
        <v>6719.3100322340124</v>
      </c>
      <c r="U17" s="10">
        <f>M17/L17*100</f>
        <v>0.67193100322340127</v>
      </c>
      <c r="V17" s="103">
        <f>O17/K17</f>
        <v>2.5119908199051594E-2</v>
      </c>
    </row>
    <row r="18" spans="1:22">
      <c r="A18" s="33" t="s">
        <v>153</v>
      </c>
      <c r="B18" s="77">
        <f t="shared" ref="B18:B28" si="3">$B$3+H18</f>
        <v>43790.6875</v>
      </c>
      <c r="C18" s="49">
        <v>1</v>
      </c>
      <c r="D18" s="88">
        <v>878.93</v>
      </c>
      <c r="E18" s="89">
        <v>231.8</v>
      </c>
      <c r="F18" s="80">
        <f t="shared" ref="F18:F28" si="4">((I$9*D18)+I$10)/C18/1000</f>
        <v>7.3229715970316977E-3</v>
      </c>
      <c r="G18" s="80">
        <f t="shared" ref="G18:G28" si="5">((I$12*E18)+I$13)/C18/1000</f>
        <v>6.9344510476919974E-3</v>
      </c>
      <c r="H18" s="111">
        <v>0.6875</v>
      </c>
      <c r="I18" s="81">
        <f>jar_information!L4</f>
        <v>43784.625</v>
      </c>
      <c r="J18" s="82">
        <f t="shared" si="1"/>
        <v>6.0625</v>
      </c>
      <c r="K18" s="82">
        <f t="shared" ref="K18:K28" si="6">J18*24</f>
        <v>145.5</v>
      </c>
      <c r="L18" s="83">
        <f>jar_information!G4</f>
        <v>1074.8014191661935</v>
      </c>
      <c r="M18" s="82">
        <f t="shared" ref="M18:M28" si="7">F18*L18</f>
        <v>7.8707402650033949</v>
      </c>
      <c r="N18" s="82">
        <f t="shared" ref="N18:N28" si="8">M18*1.83</f>
        <v>14.403454684956213</v>
      </c>
      <c r="O18" s="84">
        <f t="shared" si="2"/>
        <v>3.9282149140789668</v>
      </c>
      <c r="P18" s="85">
        <f t="shared" ref="P18:P28" si="9">O18*(400/(400+L18))</f>
        <v>1.0654220596830879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7322.9715970316975</v>
      </c>
      <c r="U18" s="10">
        <f t="shared" ref="U18:U28" si="12">M18/L18*100</f>
        <v>0.73229715970316978</v>
      </c>
      <c r="V18" s="103">
        <f t="shared" ref="V18:V28" si="13">O18/K18</f>
        <v>2.6998040646590837E-2</v>
      </c>
    </row>
    <row r="19" spans="1:22">
      <c r="A19" s="33" t="s">
        <v>154</v>
      </c>
      <c r="B19" s="77">
        <f t="shared" si="3"/>
        <v>43790.6875</v>
      </c>
      <c r="C19" s="49">
        <v>1</v>
      </c>
      <c r="D19" s="90">
        <v>873.27</v>
      </c>
      <c r="E19" s="91">
        <v>236.14</v>
      </c>
      <c r="F19" s="80">
        <f t="shared" si="4"/>
        <v>7.275171870440275E-3</v>
      </c>
      <c r="G19" s="80">
        <f t="shared" si="5"/>
        <v>7.0708356320349905E-3</v>
      </c>
      <c r="H19" s="111">
        <v>0.6875</v>
      </c>
      <c r="I19" s="81">
        <f>jar_information!L5</f>
        <v>43784.625</v>
      </c>
      <c r="J19" s="82">
        <f t="shared" si="1"/>
        <v>6.0625</v>
      </c>
      <c r="K19" s="82">
        <f t="shared" si="6"/>
        <v>145.5</v>
      </c>
      <c r="L19" s="83">
        <f>jar_information!G5</f>
        <v>1089.8750280625609</v>
      </c>
      <c r="M19" s="82">
        <f t="shared" si="7"/>
        <v>7.9290281464560479</v>
      </c>
      <c r="N19" s="82">
        <f t="shared" si="8"/>
        <v>14.510121508014569</v>
      </c>
      <c r="O19" s="84">
        <f t="shared" si="2"/>
        <v>3.9573058658221547</v>
      </c>
      <c r="P19" s="85">
        <f t="shared" si="9"/>
        <v>1.0624531027862787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7275.1718704402747</v>
      </c>
      <c r="U19" s="10">
        <f t="shared" si="12"/>
        <v>0.72751718704402746</v>
      </c>
      <c r="V19" s="103">
        <f t="shared" si="13"/>
        <v>2.7197978459258795E-2</v>
      </c>
    </row>
    <row r="20" spans="1:22">
      <c r="A20" s="33" t="s">
        <v>155</v>
      </c>
      <c r="B20" s="77">
        <f t="shared" si="3"/>
        <v>43790.6875</v>
      </c>
      <c r="C20" s="49">
        <v>1</v>
      </c>
      <c r="D20" s="90">
        <v>990.35</v>
      </c>
      <c r="E20" s="91">
        <v>283.97000000000003</v>
      </c>
      <c r="F20" s="80">
        <f t="shared" si="4"/>
        <v>8.2639337060098472E-3</v>
      </c>
      <c r="G20" s="80">
        <f t="shared" si="5"/>
        <v>8.573894311556975E-3</v>
      </c>
      <c r="H20" s="111">
        <v>0.6875</v>
      </c>
      <c r="I20" s="81">
        <f>jar_information!L6</f>
        <v>43784.625</v>
      </c>
      <c r="J20" s="82">
        <f t="shared" si="1"/>
        <v>6.0625</v>
      </c>
      <c r="K20" s="82">
        <f t="shared" si="6"/>
        <v>145.5</v>
      </c>
      <c r="L20" s="83">
        <f>jar_information!G6</f>
        <v>1074.8014191661935</v>
      </c>
      <c r="M20" s="82">
        <f t="shared" si="7"/>
        <v>8.8820876751147235</v>
      </c>
      <c r="N20" s="82">
        <f t="shared" si="8"/>
        <v>16.254220445459946</v>
      </c>
      <c r="O20" s="84">
        <f t="shared" si="2"/>
        <v>4.4329692123981665</v>
      </c>
      <c r="P20" s="85">
        <f t="shared" si="9"/>
        <v>1.2023230123834376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8263.9337060098478</v>
      </c>
      <c r="U20" s="10">
        <f t="shared" si="12"/>
        <v>0.82639337060098472</v>
      </c>
      <c r="V20" s="103">
        <f t="shared" si="13"/>
        <v>3.0467142353252003E-2</v>
      </c>
    </row>
    <row r="21" spans="1:22">
      <c r="A21" s="33" t="s">
        <v>156</v>
      </c>
      <c r="B21" s="77">
        <f t="shared" si="3"/>
        <v>43790.6875</v>
      </c>
      <c r="C21" s="49">
        <v>1</v>
      </c>
      <c r="D21" s="90">
        <v>674.43</v>
      </c>
      <c r="E21" s="91">
        <v>189.03</v>
      </c>
      <c r="F21" s="80">
        <f t="shared" si="4"/>
        <v>5.5959320055218092E-3</v>
      </c>
      <c r="G21" s="80">
        <f t="shared" si="5"/>
        <v>5.5904029665053943E-3</v>
      </c>
      <c r="H21" s="111">
        <v>0.6875</v>
      </c>
      <c r="I21" s="81">
        <f>jar_information!L7</f>
        <v>43784.625</v>
      </c>
      <c r="J21" s="82">
        <f t="shared" si="1"/>
        <v>6.0625</v>
      </c>
      <c r="K21" s="82">
        <f t="shared" si="6"/>
        <v>145.5</v>
      </c>
      <c r="L21" s="83">
        <f>jar_information!G7</f>
        <v>1089.8750280625609</v>
      </c>
      <c r="M21" s="82">
        <f t="shared" si="7"/>
        <v>6.0988665515542646</v>
      </c>
      <c r="N21" s="82">
        <f t="shared" si="8"/>
        <v>11.160925789344304</v>
      </c>
      <c r="O21" s="84">
        <f t="shared" si="2"/>
        <v>3.0438888516393554</v>
      </c>
      <c r="P21" s="85">
        <f t="shared" si="9"/>
        <v>0.81721991289367135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5595.9320055218095</v>
      </c>
      <c r="U21" s="10">
        <f t="shared" si="12"/>
        <v>0.55959320055218087</v>
      </c>
      <c r="V21" s="103">
        <f t="shared" si="13"/>
        <v>2.0920198293053988E-2</v>
      </c>
    </row>
    <row r="22" spans="1:22">
      <c r="A22" s="33" t="s">
        <v>157</v>
      </c>
      <c r="B22" s="77">
        <f t="shared" si="3"/>
        <v>43790.6875</v>
      </c>
      <c r="C22" s="49">
        <v>1</v>
      </c>
      <c r="D22" s="90">
        <v>669.47</v>
      </c>
      <c r="E22" s="91">
        <v>189.28</v>
      </c>
      <c r="F22" s="80">
        <f t="shared" si="4"/>
        <v>5.5540439058939907E-3</v>
      </c>
      <c r="G22" s="80">
        <f t="shared" si="5"/>
        <v>5.5982592213638608E-3</v>
      </c>
      <c r="H22" s="111">
        <v>0.6875</v>
      </c>
      <c r="I22" s="81">
        <f>jar_information!L8</f>
        <v>43784.625</v>
      </c>
      <c r="J22" s="82">
        <f t="shared" si="1"/>
        <v>6.0625</v>
      </c>
      <c r="K22" s="82">
        <f t="shared" si="6"/>
        <v>145.5</v>
      </c>
      <c r="L22" s="83">
        <f>jar_information!G8</f>
        <v>1089.8750280625609</v>
      </c>
      <c r="M22" s="82">
        <f t="shared" si="7"/>
        <v>6.0532137577969083</v>
      </c>
      <c r="N22" s="82">
        <f t="shared" si="8"/>
        <v>11.077381176768343</v>
      </c>
      <c r="O22" s="84">
        <f t="shared" si="2"/>
        <v>3.0211039573004568</v>
      </c>
      <c r="P22" s="85">
        <f t="shared" si="9"/>
        <v>0.8111026496575654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5554.043905893991</v>
      </c>
      <c r="U22" s="10">
        <f t="shared" si="12"/>
        <v>0.55540439058939906</v>
      </c>
      <c r="V22" s="103">
        <f t="shared" si="13"/>
        <v>2.0763601081102794E-2</v>
      </c>
    </row>
    <row r="23" spans="1:22">
      <c r="A23" s="33" t="s">
        <v>158</v>
      </c>
      <c r="B23" s="77">
        <f t="shared" si="3"/>
        <v>43790.6875</v>
      </c>
      <c r="C23" s="49">
        <v>1</v>
      </c>
      <c r="D23" s="90">
        <v>1146.3</v>
      </c>
      <c r="E23" s="91">
        <v>315.89999999999998</v>
      </c>
      <c r="F23" s="80">
        <f t="shared" si="4"/>
        <v>9.5809597416869462E-3</v>
      </c>
      <c r="G23" s="80">
        <f t="shared" si="5"/>
        <v>9.5772951820804284E-3</v>
      </c>
      <c r="H23" s="111">
        <v>0.6875</v>
      </c>
      <c r="I23" s="81">
        <f>jar_information!L9</f>
        <v>43784.625</v>
      </c>
      <c r="J23" s="82">
        <f t="shared" si="1"/>
        <v>6.0625</v>
      </c>
      <c r="K23" s="82">
        <f t="shared" si="6"/>
        <v>145.5</v>
      </c>
      <c r="L23" s="83">
        <f>jar_information!G9</f>
        <v>1079.8108667673887</v>
      </c>
      <c r="M23" s="82">
        <f t="shared" si="7"/>
        <v>10.345624443134438</v>
      </c>
      <c r="N23" s="82">
        <f t="shared" si="8"/>
        <v>18.932492730936023</v>
      </c>
      <c r="O23" s="84">
        <f t="shared" si="2"/>
        <v>5.1634071084370969</v>
      </c>
      <c r="P23" s="85">
        <f t="shared" si="9"/>
        <v>1.395693794225592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9580.9597416869456</v>
      </c>
      <c r="U23" s="10">
        <f t="shared" si="12"/>
        <v>0.95809597416869463</v>
      </c>
      <c r="V23" s="103">
        <f t="shared" si="13"/>
        <v>3.5487334078605479E-2</v>
      </c>
    </row>
    <row r="24" spans="1:22">
      <c r="A24" s="33" t="s">
        <v>159</v>
      </c>
      <c r="B24" s="77">
        <f t="shared" si="3"/>
        <v>43790.6875</v>
      </c>
      <c r="C24" s="49">
        <v>1</v>
      </c>
      <c r="D24" s="90">
        <v>997.38</v>
      </c>
      <c r="E24" s="91">
        <v>286.14999999999998</v>
      </c>
      <c r="F24" s="80">
        <f t="shared" si="4"/>
        <v>8.3233033310871826E-3</v>
      </c>
      <c r="G24" s="80">
        <f t="shared" si="5"/>
        <v>8.6424008539228089E-3</v>
      </c>
      <c r="H24" s="111">
        <v>0.6875</v>
      </c>
      <c r="I24" s="81">
        <f>jar_information!L10</f>
        <v>43784.625</v>
      </c>
      <c r="J24" s="82">
        <f t="shared" si="1"/>
        <v>6.0625</v>
      </c>
      <c r="K24" s="82">
        <f t="shared" si="6"/>
        <v>145.5</v>
      </c>
      <c r="L24" s="83">
        <f>jar_information!G10</f>
        <v>1094.9298783058375</v>
      </c>
      <c r="M24" s="82">
        <f t="shared" si="7"/>
        <v>9.1134335034098601</v>
      </c>
      <c r="N24" s="82">
        <f t="shared" si="8"/>
        <v>16.677583311240046</v>
      </c>
      <c r="O24" s="84">
        <f t="shared" si="2"/>
        <v>4.5484318121563758</v>
      </c>
      <c r="P24" s="85">
        <f t="shared" si="9"/>
        <v>1.2170288060095467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8323.3033310871833</v>
      </c>
      <c r="U24" s="10">
        <f t="shared" si="12"/>
        <v>0.83233033310871829</v>
      </c>
      <c r="V24" s="103">
        <f t="shared" si="13"/>
        <v>3.1260699739906361E-2</v>
      </c>
    </row>
    <row r="25" spans="1:22">
      <c r="A25" s="33" t="s">
        <v>160</v>
      </c>
      <c r="B25" s="77">
        <f t="shared" si="3"/>
        <v>43790.6875</v>
      </c>
      <c r="C25" s="49">
        <v>1</v>
      </c>
      <c r="D25" s="90">
        <v>1467.4</v>
      </c>
      <c r="E25" s="91">
        <v>378.71</v>
      </c>
      <c r="F25" s="80">
        <f t="shared" si="4"/>
        <v>1.2292707481705654E-2</v>
      </c>
      <c r="G25" s="80">
        <f t="shared" si="5"/>
        <v>1.1551100652721779E-2</v>
      </c>
      <c r="H25" s="111">
        <v>0.6875</v>
      </c>
      <c r="I25" s="81">
        <f>jar_information!L11</f>
        <v>43784.625</v>
      </c>
      <c r="J25" s="82">
        <f t="shared" si="1"/>
        <v>6.0625</v>
      </c>
      <c r="K25" s="82">
        <f t="shared" si="6"/>
        <v>145.5</v>
      </c>
      <c r="L25" s="83">
        <f>jar_information!G11</f>
        <v>1089.8750280625609</v>
      </c>
      <c r="M25" s="82">
        <f t="shared" si="7"/>
        <v>13.397514911588802</v>
      </c>
      <c r="N25" s="82">
        <f t="shared" si="8"/>
        <v>24.517452288207508</v>
      </c>
      <c r="O25" s="84">
        <f t="shared" si="2"/>
        <v>6.6865778967838656</v>
      </c>
      <c r="P25" s="85">
        <f t="shared" si="9"/>
        <v>1.7952050395741224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12292.707481705655</v>
      </c>
      <c r="U25" s="10">
        <f t="shared" si="12"/>
        <v>1.2292707481705654</v>
      </c>
      <c r="V25" s="103">
        <f t="shared" si="13"/>
        <v>4.5955861833566085E-2</v>
      </c>
    </row>
    <row r="26" spans="1:22">
      <c r="A26" s="33" t="s">
        <v>161</v>
      </c>
      <c r="B26" s="77">
        <f t="shared" si="3"/>
        <v>43790.6875</v>
      </c>
      <c r="C26" s="49">
        <v>1</v>
      </c>
      <c r="D26" s="90">
        <v>1278.0999999999999</v>
      </c>
      <c r="E26" s="91">
        <v>343.99</v>
      </c>
      <c r="F26" s="80">
        <f t="shared" si="4"/>
        <v>1.0694034647119726E-2</v>
      </c>
      <c r="G26" s="80">
        <f t="shared" si="5"/>
        <v>1.0460023977977826E-2</v>
      </c>
      <c r="H26" s="111">
        <v>0.6875</v>
      </c>
      <c r="I26" s="81">
        <f>jar_information!L12</f>
        <v>43784.625</v>
      </c>
      <c r="J26" s="82">
        <f t="shared" si="1"/>
        <v>6.0625</v>
      </c>
      <c r="K26" s="82">
        <f t="shared" si="6"/>
        <v>145.5</v>
      </c>
      <c r="L26" s="83">
        <f>jar_information!G12</f>
        <v>1074.8014191661935</v>
      </c>
      <c r="M26" s="82">
        <f t="shared" si="7"/>
        <v>11.493963615336725</v>
      </c>
      <c r="N26" s="82">
        <f t="shared" si="8"/>
        <v>21.033953416066208</v>
      </c>
      <c r="O26" s="84">
        <f t="shared" si="2"/>
        <v>5.736532749836238</v>
      </c>
      <c r="P26" s="85">
        <f t="shared" si="9"/>
        <v>1.5558793679706369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10694.034647119726</v>
      </c>
      <c r="U26" s="10">
        <f t="shared" si="12"/>
        <v>1.0694034647119726</v>
      </c>
      <c r="V26" s="103">
        <f t="shared" si="13"/>
        <v>3.9426341923273114E-2</v>
      </c>
    </row>
    <row r="27" spans="1:22">
      <c r="A27" s="33" t="s">
        <v>162</v>
      </c>
      <c r="B27" s="77">
        <f t="shared" si="3"/>
        <v>43790.6875</v>
      </c>
      <c r="C27" s="49">
        <v>1</v>
      </c>
      <c r="D27" s="90">
        <v>1363.2</v>
      </c>
      <c r="E27" s="91">
        <v>380.87</v>
      </c>
      <c r="F27" s="80">
        <f t="shared" si="4"/>
        <v>1.1412719582266384E-2</v>
      </c>
      <c r="G27" s="80">
        <f t="shared" si="5"/>
        <v>1.1618978694698939E-2</v>
      </c>
      <c r="H27" s="111">
        <v>0.6875</v>
      </c>
      <c r="I27" s="81">
        <f>jar_information!L13</f>
        <v>43784.625</v>
      </c>
      <c r="J27" s="82">
        <f t="shared" si="1"/>
        <v>6.0625</v>
      </c>
      <c r="K27" s="82">
        <f t="shared" si="6"/>
        <v>145.5</v>
      </c>
      <c r="L27" s="83">
        <f>jar_information!G13</f>
        <v>1089.8750280625609</v>
      </c>
      <c r="M27" s="82">
        <f t="shared" si="7"/>
        <v>12.438438074992714</v>
      </c>
      <c r="N27" s="82">
        <f t="shared" si="8"/>
        <v>22.762341677236666</v>
      </c>
      <c r="O27" s="84">
        <f t="shared" si="2"/>
        <v>6.2079113665190899</v>
      </c>
      <c r="P27" s="85">
        <f t="shared" si="9"/>
        <v>1.6666931788478612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11412.719582266385</v>
      </c>
      <c r="U27" s="10">
        <f t="shared" si="12"/>
        <v>1.1412719582266384</v>
      </c>
      <c r="V27" s="103">
        <f t="shared" si="13"/>
        <v>4.2666057501849416E-2</v>
      </c>
    </row>
    <row r="28" spans="1:22">
      <c r="A28" s="33" t="s">
        <v>163</v>
      </c>
      <c r="B28" s="77">
        <f t="shared" si="3"/>
        <v>43790.6875</v>
      </c>
      <c r="C28" s="49">
        <v>1</v>
      </c>
      <c r="D28" s="90">
        <v>1313.9</v>
      </c>
      <c r="E28" s="91">
        <v>361.65</v>
      </c>
      <c r="F28" s="80">
        <f t="shared" si="4"/>
        <v>1.0996372140401167E-2</v>
      </c>
      <c r="G28" s="80">
        <f t="shared" si="5"/>
        <v>1.1014989821179964E-2</v>
      </c>
      <c r="H28" s="111">
        <v>0.6875</v>
      </c>
      <c r="I28" s="81">
        <f>jar_information!L14</f>
        <v>43784.625</v>
      </c>
      <c r="J28" s="82">
        <f t="shared" si="1"/>
        <v>6.0625</v>
      </c>
      <c r="K28" s="82">
        <f t="shared" si="6"/>
        <v>145.5</v>
      </c>
      <c r="L28" s="83">
        <f>jar_information!G14</f>
        <v>1089.8750280625609</v>
      </c>
      <c r="M28" s="82">
        <f t="shared" si="7"/>
        <v>11.984671395106085</v>
      </c>
      <c r="N28" s="82">
        <f t="shared" si="8"/>
        <v>21.931948653044138</v>
      </c>
      <c r="O28" s="84">
        <f t="shared" si="2"/>
        <v>5.9814405417393104</v>
      </c>
      <c r="P28" s="85">
        <f t="shared" si="9"/>
        <v>1.6058905422470497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10996.372140401167</v>
      </c>
      <c r="U28" s="10">
        <f t="shared" si="12"/>
        <v>1.0996372140401167</v>
      </c>
      <c r="V28" s="103">
        <f t="shared" si="13"/>
        <v>4.1109556987899039E-2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D58" sqref="D58:D69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43791</v>
      </c>
      <c r="C3" s="58">
        <v>2992</v>
      </c>
      <c r="D3" s="47">
        <v>1729</v>
      </c>
      <c r="E3" s="59">
        <v>455.75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43791</v>
      </c>
      <c r="C4" s="58">
        <v>2992</v>
      </c>
      <c r="D4" s="59">
        <v>1542.4</v>
      </c>
      <c r="E4" s="59">
        <v>406.32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43791</v>
      </c>
      <c r="C5" s="58">
        <v>2992</v>
      </c>
      <c r="D5" s="47">
        <v>1407.2</v>
      </c>
      <c r="E5" s="59">
        <v>369.47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43791</v>
      </c>
      <c r="C6" s="58">
        <v>2992</v>
      </c>
      <c r="D6" s="59">
        <v>1223.4000000000001</v>
      </c>
      <c r="E6" s="59">
        <v>344.4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43791</v>
      </c>
      <c r="C7" s="58">
        <v>2992</v>
      </c>
      <c r="D7" s="47">
        <v>1074.5</v>
      </c>
      <c r="E7" s="59">
        <v>313.14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43791</v>
      </c>
      <c r="C8" s="58">
        <v>2992</v>
      </c>
      <c r="D8" s="59">
        <v>862.57</v>
      </c>
      <c r="E8" s="59">
        <v>258.39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43791</v>
      </c>
      <c r="C9" s="58">
        <v>2992</v>
      </c>
      <c r="D9" s="47">
        <v>726.32</v>
      </c>
      <c r="E9" s="59">
        <v>221.49</v>
      </c>
      <c r="F9" s="60">
        <f t="shared" si="0"/>
        <v>5.984</v>
      </c>
      <c r="G9" s="63" t="s">
        <v>75</v>
      </c>
      <c r="H9" s="63"/>
      <c r="I9" s="64">
        <f>SLOPE(F3:F14,D3:D14)</f>
        <v>8.6056614520134741E-3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43791</v>
      </c>
      <c r="C10" s="58">
        <v>2992</v>
      </c>
      <c r="D10" s="47">
        <v>548.87</v>
      </c>
      <c r="E10" s="59">
        <v>155.56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-0.18779055161285108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43791</v>
      </c>
      <c r="C11" s="58">
        <v>2992</v>
      </c>
      <c r="D11" s="47">
        <v>399.55</v>
      </c>
      <c r="E11" s="59">
        <v>115.64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43791</v>
      </c>
      <c r="C12" s="58">
        <v>2992</v>
      </c>
      <c r="D12" s="65">
        <v>145.75</v>
      </c>
      <c r="E12" s="65">
        <v>43.795000000000002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3.2497252008593533E-2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43791</v>
      </c>
      <c r="C13" s="58">
        <v>2992</v>
      </c>
      <c r="D13" s="65">
        <v>64.674999999999997</v>
      </c>
      <c r="E13" s="65">
        <v>23.010999999999999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-0.55538744804284867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43791</v>
      </c>
      <c r="C14" s="58">
        <v>2992</v>
      </c>
      <c r="D14" s="65">
        <v>29.238</v>
      </c>
      <c r="E14" s="65">
        <v>11.61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>
      <c r="A17" s="33" t="s">
        <v>152</v>
      </c>
      <c r="B17" s="77">
        <f>$B$3+H17</f>
        <v>43791.6875</v>
      </c>
      <c r="C17" s="49">
        <v>1</v>
      </c>
      <c r="D17" s="78">
        <v>963.12</v>
      </c>
      <c r="E17" s="79">
        <v>274.35000000000002</v>
      </c>
      <c r="F17" s="80">
        <f>((I$9*D17)+I$10)/C17/1000</f>
        <v>8.1004941060503662E-3</v>
      </c>
      <c r="G17" s="80">
        <f>((I$12*E17)+I$13)/C17/1000</f>
        <v>8.3602336405147869E-3</v>
      </c>
      <c r="H17" s="111">
        <v>0.6875</v>
      </c>
      <c r="I17" s="81">
        <f>jar_information!L3</f>
        <v>43784.625</v>
      </c>
      <c r="J17" s="82">
        <f t="shared" ref="J17:J28" si="1">B17-I17</f>
        <v>7.0625</v>
      </c>
      <c r="K17" s="82">
        <f>J17*24</f>
        <v>169.5</v>
      </c>
      <c r="L17" s="83">
        <f>jar_information!G3</f>
        <v>1089.8750280625609</v>
      </c>
      <c r="M17" s="82">
        <f>F17*L17</f>
        <v>8.828526241152252</v>
      </c>
      <c r="N17" s="82">
        <f>M17*1.83</f>
        <v>16.15620302130862</v>
      </c>
      <c r="O17" s="84">
        <f t="shared" ref="O17:O28" si="2">N17*(12/(12+(16*2)))</f>
        <v>4.4062371876296238</v>
      </c>
      <c r="P17" s="85">
        <f>O17*(400/(400+L17))</f>
        <v>1.182981687627723</v>
      </c>
      <c r="Q17" s="86"/>
      <c r="R17" s="86">
        <f>Q17/314.7</f>
        <v>0</v>
      </c>
      <c r="S17" s="86">
        <f>R17/P17*100</f>
        <v>0</v>
      </c>
      <c r="T17" s="87">
        <f>F17*1000000</f>
        <v>8100.4941060503661</v>
      </c>
      <c r="U17" s="10">
        <f>M17/L17*100</f>
        <v>0.81004941060503666</v>
      </c>
      <c r="V17" s="103">
        <f>O17/K17</f>
        <v>2.5995499632033178E-2</v>
      </c>
      <c r="W17" t="s">
        <v>211</v>
      </c>
      <c r="Z17" s="33"/>
    </row>
    <row r="18" spans="1:26">
      <c r="A18" s="33" t="s">
        <v>153</v>
      </c>
      <c r="B18" s="77">
        <f t="shared" ref="B18:B28" si="3">$B$3+H18</f>
        <v>43791.6875</v>
      </c>
      <c r="C18" s="49">
        <v>1</v>
      </c>
      <c r="D18" s="88">
        <v>1151.8</v>
      </c>
      <c r="E18" s="89">
        <v>309.8</v>
      </c>
      <c r="F18" s="80">
        <f t="shared" ref="F18:F28" si="4">((I$9*D18)+I$10)/C18/1000</f>
        <v>9.7242103088162682E-3</v>
      </c>
      <c r="G18" s="80">
        <f t="shared" ref="G18:G28" si="5">((I$12*E18)+I$13)/C18/1000</f>
        <v>9.512261224219427E-3</v>
      </c>
      <c r="H18" s="111">
        <v>0.6875</v>
      </c>
      <c r="I18" s="81">
        <f>jar_information!L4</f>
        <v>43784.625</v>
      </c>
      <c r="J18" s="82">
        <f t="shared" si="1"/>
        <v>7.0625</v>
      </c>
      <c r="K18" s="82">
        <f t="shared" ref="K18:K28" si="6">J18*24</f>
        <v>169.5</v>
      </c>
      <c r="L18" s="83">
        <f>jar_information!G4</f>
        <v>1074.8014191661935</v>
      </c>
      <c r="M18" s="82">
        <f t="shared" ref="M18:M28" si="7">F18*L18</f>
        <v>10.451595040186254</v>
      </c>
      <c r="N18" s="82">
        <f t="shared" ref="N18:N28" si="8">M18*1.83</f>
        <v>19.126418923540847</v>
      </c>
      <c r="O18" s="84">
        <f t="shared" si="2"/>
        <v>5.2162960700565941</v>
      </c>
      <c r="P18" s="85">
        <f t="shared" ref="P18:P28" si="9">O18*(400/(400+L18))</f>
        <v>1.4147792380090669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9724.2103088162676</v>
      </c>
      <c r="U18" s="10">
        <f t="shared" ref="U18:U28" si="12">M18/L18*100</f>
        <v>0.97242103088162679</v>
      </c>
      <c r="V18" s="103">
        <f t="shared" ref="V18:V28" si="13">O18/K18</f>
        <v>3.0774608082929759E-2</v>
      </c>
      <c r="W18" t="s">
        <v>211</v>
      </c>
      <c r="Z18" s="33"/>
    </row>
    <row r="19" spans="1:26">
      <c r="A19" s="33" t="s">
        <v>154</v>
      </c>
      <c r="B19" s="77">
        <f t="shared" si="3"/>
        <v>43791.6875</v>
      </c>
      <c r="C19" s="49">
        <v>1</v>
      </c>
      <c r="D19" s="90">
        <v>1071.4000000000001</v>
      </c>
      <c r="E19" s="91">
        <v>290.61</v>
      </c>
      <c r="F19" s="80">
        <f t="shared" si="4"/>
        <v>9.0323151280743853E-3</v>
      </c>
      <c r="G19" s="80">
        <f t="shared" si="5"/>
        <v>8.8886389581745179E-3</v>
      </c>
      <c r="H19" s="111">
        <v>0.6875</v>
      </c>
      <c r="I19" s="81">
        <f>jar_information!L5</f>
        <v>43784.625</v>
      </c>
      <c r="J19" s="82">
        <f t="shared" si="1"/>
        <v>7.0625</v>
      </c>
      <c r="K19" s="82">
        <f t="shared" si="6"/>
        <v>169.5</v>
      </c>
      <c r="L19" s="83">
        <f>jar_information!G5</f>
        <v>1089.8750280625609</v>
      </c>
      <c r="M19" s="82">
        <f t="shared" si="7"/>
        <v>9.8440947036799642</v>
      </c>
      <c r="N19" s="82">
        <f t="shared" si="8"/>
        <v>18.014693307734333</v>
      </c>
      <c r="O19" s="84">
        <f t="shared" si="2"/>
        <v>4.9130981748366356</v>
      </c>
      <c r="P19" s="85">
        <f t="shared" si="9"/>
        <v>1.3190631649758295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9032.3151280743859</v>
      </c>
      <c r="U19" s="10">
        <f t="shared" si="12"/>
        <v>0.90323151280743852</v>
      </c>
      <c r="V19" s="103">
        <f t="shared" si="13"/>
        <v>2.8985829940039148E-2</v>
      </c>
      <c r="W19" t="s">
        <v>211</v>
      </c>
      <c r="Z19" s="33"/>
    </row>
    <row r="20" spans="1:26">
      <c r="A20" s="33" t="s">
        <v>155</v>
      </c>
      <c r="B20" s="77">
        <f t="shared" si="3"/>
        <v>43791.6875</v>
      </c>
      <c r="C20" s="49">
        <v>1</v>
      </c>
      <c r="D20" s="90">
        <v>1236.7</v>
      </c>
      <c r="E20" s="91">
        <v>325.41000000000003</v>
      </c>
      <c r="F20" s="80">
        <f t="shared" si="4"/>
        <v>1.0454830966092211E-2</v>
      </c>
      <c r="G20" s="80">
        <f t="shared" si="5"/>
        <v>1.0019543328073574E-2</v>
      </c>
      <c r="H20" s="111">
        <v>0.6875</v>
      </c>
      <c r="I20" s="81">
        <f>jar_information!L6</f>
        <v>43784.625</v>
      </c>
      <c r="J20" s="82">
        <f t="shared" si="1"/>
        <v>7.0625</v>
      </c>
      <c r="K20" s="82">
        <f t="shared" si="6"/>
        <v>169.5</v>
      </c>
      <c r="L20" s="83">
        <f>jar_information!G6</f>
        <v>1074.8014191661935</v>
      </c>
      <c r="M20" s="82">
        <f t="shared" si="7"/>
        <v>11.236867159498575</v>
      </c>
      <c r="N20" s="82">
        <f t="shared" si="8"/>
        <v>20.563466901882393</v>
      </c>
      <c r="O20" s="84">
        <f t="shared" si="2"/>
        <v>5.6082182459679251</v>
      </c>
      <c r="P20" s="85">
        <f t="shared" si="9"/>
        <v>1.5210775289702763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10454.830966092211</v>
      </c>
      <c r="U20" s="10">
        <f t="shared" si="12"/>
        <v>1.0454830966092212</v>
      </c>
      <c r="V20" s="103">
        <f t="shared" si="13"/>
        <v>3.3086833309545281E-2</v>
      </c>
      <c r="W20" t="s">
        <v>211</v>
      </c>
      <c r="Z20" s="33"/>
    </row>
    <row r="21" spans="1:26">
      <c r="A21" s="33" t="s">
        <v>156</v>
      </c>
      <c r="B21" s="77">
        <f t="shared" si="3"/>
        <v>43791.6875</v>
      </c>
      <c r="C21" s="49">
        <v>1</v>
      </c>
      <c r="D21" s="90">
        <v>784.71</v>
      </c>
      <c r="E21" s="91">
        <v>231.19</v>
      </c>
      <c r="F21" s="80">
        <f t="shared" si="4"/>
        <v>6.5651580463966424E-3</v>
      </c>
      <c r="G21" s="80">
        <f t="shared" si="5"/>
        <v>6.9576522438238907E-3</v>
      </c>
      <c r="H21" s="111">
        <v>0.6875</v>
      </c>
      <c r="I21" s="81">
        <f>jar_information!L7</f>
        <v>43784.625</v>
      </c>
      <c r="J21" s="82">
        <f t="shared" si="1"/>
        <v>7.0625</v>
      </c>
      <c r="K21" s="82">
        <f t="shared" si="6"/>
        <v>169.5</v>
      </c>
      <c r="L21" s="83">
        <f>jar_information!G7</f>
        <v>1089.8750280625609</v>
      </c>
      <c r="M21" s="82">
        <f t="shared" si="7"/>
        <v>7.1552018100516879</v>
      </c>
      <c r="N21" s="82">
        <f t="shared" si="8"/>
        <v>13.09401931239459</v>
      </c>
      <c r="O21" s="84">
        <f t="shared" si="2"/>
        <v>3.571096176107615</v>
      </c>
      <c r="P21" s="85">
        <f t="shared" si="9"/>
        <v>0.95876395237028222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6565.158046396642</v>
      </c>
      <c r="U21" s="10">
        <f t="shared" si="12"/>
        <v>0.65651580463966419</v>
      </c>
      <c r="V21" s="103">
        <f t="shared" si="13"/>
        <v>2.1068414018334012E-2</v>
      </c>
      <c r="W21" t="s">
        <v>211</v>
      </c>
      <c r="Z21" s="33"/>
    </row>
    <row r="22" spans="1:26">
      <c r="A22" s="33" t="s">
        <v>157</v>
      </c>
      <c r="B22" s="77">
        <f t="shared" si="3"/>
        <v>43791.6875</v>
      </c>
      <c r="C22" s="49">
        <v>1</v>
      </c>
      <c r="D22" s="90">
        <v>853.16</v>
      </c>
      <c r="E22" s="91">
        <v>249.27</v>
      </c>
      <c r="F22" s="80">
        <f t="shared" si="4"/>
        <v>7.1542155727869639E-3</v>
      </c>
      <c r="G22" s="80">
        <f t="shared" si="5"/>
        <v>7.5452025601392613E-3</v>
      </c>
      <c r="H22" s="111">
        <v>0.6875</v>
      </c>
      <c r="I22" s="81">
        <f>jar_information!L8</f>
        <v>43784.625</v>
      </c>
      <c r="J22" s="82">
        <f t="shared" si="1"/>
        <v>7.0625</v>
      </c>
      <c r="K22" s="82">
        <f t="shared" si="6"/>
        <v>169.5</v>
      </c>
      <c r="L22" s="83">
        <f>jar_information!G8</f>
        <v>1089.8750280625609</v>
      </c>
      <c r="M22" s="82">
        <f t="shared" si="7"/>
        <v>7.7972008981568024</v>
      </c>
      <c r="N22" s="82">
        <f t="shared" si="8"/>
        <v>14.268877643626949</v>
      </c>
      <c r="O22" s="84">
        <f t="shared" si="2"/>
        <v>3.8915120846255311</v>
      </c>
      <c r="P22" s="85">
        <f t="shared" si="9"/>
        <v>1.0447888611667162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7154.215572786964</v>
      </c>
      <c r="U22" s="10">
        <f t="shared" si="12"/>
        <v>0.71542155727869639</v>
      </c>
      <c r="V22" s="103">
        <f t="shared" si="13"/>
        <v>2.2958773360622603E-2</v>
      </c>
      <c r="W22" t="s">
        <v>211</v>
      </c>
      <c r="Z22" s="33"/>
    </row>
    <row r="23" spans="1:26">
      <c r="A23" s="33" t="s">
        <v>158</v>
      </c>
      <c r="B23" s="77">
        <f t="shared" si="3"/>
        <v>43791.6875</v>
      </c>
      <c r="C23" s="49">
        <v>1</v>
      </c>
      <c r="D23" s="90">
        <v>1472.2</v>
      </c>
      <c r="E23" s="91">
        <v>407.53</v>
      </c>
      <c r="F23" s="80">
        <f t="shared" si="4"/>
        <v>1.2481464238041386E-2</v>
      </c>
      <c r="G23" s="80">
        <f t="shared" si="5"/>
        <v>1.2688217663019273E-2</v>
      </c>
      <c r="H23" s="111">
        <v>0.6875</v>
      </c>
      <c r="I23" s="81">
        <f>jar_information!L9</f>
        <v>43784.625</v>
      </c>
      <c r="J23" s="82">
        <f t="shared" si="1"/>
        <v>7.0625</v>
      </c>
      <c r="K23" s="82">
        <f t="shared" si="6"/>
        <v>169.5</v>
      </c>
      <c r="L23" s="83">
        <f>jar_information!G9</f>
        <v>1079.8108667673887</v>
      </c>
      <c r="M23" s="82">
        <f t="shared" si="7"/>
        <v>13.477620717405633</v>
      </c>
      <c r="N23" s="82">
        <f t="shared" si="8"/>
        <v>24.664045912852309</v>
      </c>
      <c r="O23" s="84">
        <f t="shared" si="2"/>
        <v>6.7265579762324474</v>
      </c>
      <c r="P23" s="85">
        <f t="shared" si="9"/>
        <v>1.8182209976404489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12481.464238041386</v>
      </c>
      <c r="U23" s="10">
        <f t="shared" si="12"/>
        <v>1.2481464238041386</v>
      </c>
      <c r="V23" s="103">
        <f t="shared" si="13"/>
        <v>3.9684707824380223E-2</v>
      </c>
      <c r="W23" t="s">
        <v>211</v>
      </c>
      <c r="Z23" s="33"/>
    </row>
    <row r="24" spans="1:26">
      <c r="A24" s="33" t="s">
        <v>159</v>
      </c>
      <c r="B24" s="77">
        <f t="shared" si="3"/>
        <v>43791.6875</v>
      </c>
      <c r="C24" s="49">
        <v>1</v>
      </c>
      <c r="D24" s="90">
        <v>1200.7</v>
      </c>
      <c r="E24" s="91">
        <v>342.65</v>
      </c>
      <c r="F24" s="80">
        <f t="shared" si="4"/>
        <v>1.0145027153819727E-2</v>
      </c>
      <c r="G24" s="80">
        <f t="shared" si="5"/>
        <v>1.0579795952701724E-2</v>
      </c>
      <c r="H24" s="111">
        <v>0.6875</v>
      </c>
      <c r="I24" s="81">
        <f>jar_information!L10</f>
        <v>43784.625</v>
      </c>
      <c r="J24" s="82">
        <f t="shared" si="1"/>
        <v>7.0625</v>
      </c>
      <c r="K24" s="82">
        <f t="shared" si="6"/>
        <v>169.5</v>
      </c>
      <c r="L24" s="83">
        <f>jar_information!G10</f>
        <v>1094.9298783058375</v>
      </c>
      <c r="M24" s="82">
        <f t="shared" si="7"/>
        <v>11.108093346941251</v>
      </c>
      <c r="N24" s="82">
        <f t="shared" si="8"/>
        <v>20.327810824902489</v>
      </c>
      <c r="O24" s="84">
        <f t="shared" si="2"/>
        <v>5.5439484067915874</v>
      </c>
      <c r="P24" s="85">
        <f t="shared" si="9"/>
        <v>1.4834002550204939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10145.027153819727</v>
      </c>
      <c r="U24" s="10">
        <f t="shared" si="12"/>
        <v>1.0145027153819728</v>
      </c>
      <c r="V24" s="103">
        <f t="shared" si="13"/>
        <v>3.2707660217059516E-2</v>
      </c>
      <c r="W24" t="s">
        <v>211</v>
      </c>
      <c r="Z24" s="33"/>
    </row>
    <row r="25" spans="1:26">
      <c r="A25" s="33" t="s">
        <v>160</v>
      </c>
      <c r="B25" s="77">
        <f t="shared" si="3"/>
        <v>43791.6875</v>
      </c>
      <c r="C25" s="49">
        <v>0.4</v>
      </c>
      <c r="D25" s="90">
        <v>721.14</v>
      </c>
      <c r="E25" s="91">
        <v>197.14</v>
      </c>
      <c r="F25" s="80">
        <f t="shared" si="4"/>
        <v>1.5045240369730364E-2</v>
      </c>
      <c r="G25" s="80">
        <f t="shared" si="5"/>
        <v>1.46278020323282E-2</v>
      </c>
      <c r="H25" s="111">
        <v>0.6875</v>
      </c>
      <c r="I25" s="81">
        <f>jar_information!L11</f>
        <v>43784.625</v>
      </c>
      <c r="J25" s="82">
        <f t="shared" si="1"/>
        <v>7.0625</v>
      </c>
      <c r="K25" s="82">
        <f t="shared" si="6"/>
        <v>169.5</v>
      </c>
      <c r="L25" s="83">
        <f>jar_information!G11</f>
        <v>1089.8750280625609</v>
      </c>
      <c r="M25" s="82">
        <f t="shared" si="7"/>
        <v>16.397431770167856</v>
      </c>
      <c r="N25" s="82">
        <f t="shared" si="8"/>
        <v>30.007300139407178</v>
      </c>
      <c r="O25" s="84">
        <f t="shared" si="2"/>
        <v>8.1838091289292301</v>
      </c>
      <c r="P25" s="85">
        <f t="shared" si="9"/>
        <v>2.1971800251116327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15045.240369730363</v>
      </c>
      <c r="U25" s="10">
        <f t="shared" si="12"/>
        <v>1.5045240369730366</v>
      </c>
      <c r="V25" s="103">
        <f t="shared" si="13"/>
        <v>4.8282059757694576E-2</v>
      </c>
      <c r="W25" t="s">
        <v>211</v>
      </c>
      <c r="Z25" s="33"/>
    </row>
    <row r="26" spans="1:26">
      <c r="A26" s="33" t="s">
        <v>161</v>
      </c>
      <c r="B26" s="77">
        <f t="shared" si="3"/>
        <v>43791.6875</v>
      </c>
      <c r="C26" s="49">
        <v>0.4</v>
      </c>
      <c r="D26" s="90">
        <v>643.85</v>
      </c>
      <c r="E26" s="91">
        <v>178.24</v>
      </c>
      <c r="F26" s="80">
        <f t="shared" si="4"/>
        <v>1.3382411435665058E-2</v>
      </c>
      <c r="G26" s="80">
        <f t="shared" si="5"/>
        <v>1.3092306874922157E-2</v>
      </c>
      <c r="H26" s="111">
        <v>0.6875</v>
      </c>
      <c r="I26" s="81">
        <f>jar_information!L12</f>
        <v>43784.625</v>
      </c>
      <c r="J26" s="82">
        <f t="shared" si="1"/>
        <v>7.0625</v>
      </c>
      <c r="K26" s="82">
        <f t="shared" si="6"/>
        <v>169.5</v>
      </c>
      <c r="L26" s="83">
        <f>jar_information!G12</f>
        <v>1074.8014191661935</v>
      </c>
      <c r="M26" s="82">
        <f t="shared" si="7"/>
        <v>14.383434802918702</v>
      </c>
      <c r="N26" s="82">
        <f t="shared" si="8"/>
        <v>26.321685689341226</v>
      </c>
      <c r="O26" s="84">
        <f t="shared" si="2"/>
        <v>7.178641551638516</v>
      </c>
      <c r="P26" s="85">
        <f t="shared" si="9"/>
        <v>1.9470123796591123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13382.411435665059</v>
      </c>
      <c r="U26" s="10">
        <f t="shared" si="12"/>
        <v>1.3382411435665058</v>
      </c>
      <c r="V26" s="103">
        <f t="shared" si="13"/>
        <v>4.2351867561289183E-2</v>
      </c>
      <c r="W26" t="s">
        <v>211</v>
      </c>
      <c r="Z26" s="33"/>
    </row>
    <row r="27" spans="1:26">
      <c r="A27" s="33" t="s">
        <v>162</v>
      </c>
      <c r="B27" s="77">
        <f t="shared" si="3"/>
        <v>43791.6875</v>
      </c>
      <c r="C27" s="49">
        <v>1</v>
      </c>
      <c r="D27" s="90">
        <v>1639.5</v>
      </c>
      <c r="E27" s="91">
        <v>456.1</v>
      </c>
      <c r="F27" s="80">
        <f t="shared" si="4"/>
        <v>1.392119139896324E-2</v>
      </c>
      <c r="G27" s="80">
        <f t="shared" si="5"/>
        <v>1.4266609193076664E-2</v>
      </c>
      <c r="H27" s="111">
        <v>0.6875</v>
      </c>
      <c r="I27" s="81">
        <f>jar_information!L13</f>
        <v>43784.625</v>
      </c>
      <c r="J27" s="82">
        <f t="shared" si="1"/>
        <v>7.0625</v>
      </c>
      <c r="K27" s="82">
        <f t="shared" si="6"/>
        <v>169.5</v>
      </c>
      <c r="L27" s="83">
        <f>jar_information!G13</f>
        <v>1089.8750280625609</v>
      </c>
      <c r="M27" s="82">
        <f t="shared" si="7"/>
        <v>15.172358866609343</v>
      </c>
      <c r="N27" s="82">
        <f t="shared" si="8"/>
        <v>27.765416725895101</v>
      </c>
      <c r="O27" s="84">
        <f t="shared" si="2"/>
        <v>7.5723863797895721</v>
      </c>
      <c r="P27" s="85">
        <f t="shared" si="9"/>
        <v>2.0330259215463817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13921.191398963241</v>
      </c>
      <c r="U27" s="10">
        <f t="shared" si="12"/>
        <v>1.392119139896324</v>
      </c>
      <c r="V27" s="103">
        <f t="shared" si="13"/>
        <v>4.4674845898463551E-2</v>
      </c>
      <c r="W27" t="s">
        <v>211</v>
      </c>
      <c r="Z27" s="33"/>
    </row>
    <row r="28" spans="1:26">
      <c r="A28" s="33" t="s">
        <v>163</v>
      </c>
      <c r="B28" s="77">
        <f t="shared" si="3"/>
        <v>43791.6875</v>
      </c>
      <c r="C28" s="49">
        <v>1</v>
      </c>
      <c r="D28" s="90">
        <v>1575.7</v>
      </c>
      <c r="E28" s="91">
        <v>439.03</v>
      </c>
      <c r="F28" s="80">
        <f t="shared" si="4"/>
        <v>1.337215019832478E-2</v>
      </c>
      <c r="G28" s="80">
        <f t="shared" si="5"/>
        <v>1.3711881101289968E-2</v>
      </c>
      <c r="H28" s="111">
        <v>0.6875</v>
      </c>
      <c r="I28" s="81">
        <f>jar_information!L14</f>
        <v>43784.625</v>
      </c>
      <c r="J28" s="82">
        <f t="shared" si="1"/>
        <v>7.0625</v>
      </c>
      <c r="K28" s="82">
        <f t="shared" si="6"/>
        <v>169.5</v>
      </c>
      <c r="L28" s="83">
        <f>jar_information!G14</f>
        <v>1089.8750280625609</v>
      </c>
      <c r="M28" s="82">
        <f t="shared" si="7"/>
        <v>14.573972572655999</v>
      </c>
      <c r="N28" s="82">
        <f t="shared" si="8"/>
        <v>26.67036980796048</v>
      </c>
      <c r="O28" s="84">
        <f t="shared" si="2"/>
        <v>7.2737372203528574</v>
      </c>
      <c r="P28" s="85">
        <f t="shared" si="9"/>
        <v>1.9528449254731528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13372.15019832478</v>
      </c>
      <c r="U28" s="10">
        <f t="shared" si="12"/>
        <v>1.3372150198324779</v>
      </c>
      <c r="V28" s="103">
        <f t="shared" si="13"/>
        <v>4.2912903954884112E-2</v>
      </c>
      <c r="W28" t="s">
        <v>211</v>
      </c>
      <c r="Z28" s="33"/>
    </row>
    <row r="30" spans="1:26">
      <c r="A30" s="33" t="s">
        <v>197</v>
      </c>
      <c r="B30" s="33" t="s">
        <v>152</v>
      </c>
      <c r="C30" t="s">
        <v>210</v>
      </c>
      <c r="D30" t="str">
        <f>CONCATENATE(A30,B30,C30)</f>
        <v>1_HEW22-1_dry_22112019</v>
      </c>
    </row>
    <row r="31" spans="1:26">
      <c r="A31" s="33" t="s">
        <v>198</v>
      </c>
      <c r="B31" s="33" t="s">
        <v>153</v>
      </c>
      <c r="C31" t="s">
        <v>210</v>
      </c>
      <c r="D31" t="str">
        <f t="shared" ref="D31:D42" si="15">CONCATENATE(A31,B31,C31)</f>
        <v>2_HEW22-2_dry_22112019</v>
      </c>
    </row>
    <row r="32" spans="1:26">
      <c r="A32" s="33" t="s">
        <v>199</v>
      </c>
      <c r="B32" s="33" t="s">
        <v>154</v>
      </c>
      <c r="C32" t="s">
        <v>210</v>
      </c>
      <c r="D32" t="str">
        <f t="shared" si="15"/>
        <v>3_HEW41-1_dry_22112019</v>
      </c>
    </row>
    <row r="33" spans="1:4">
      <c r="A33" s="33" t="s">
        <v>200</v>
      </c>
      <c r="B33" s="33" t="s">
        <v>155</v>
      </c>
      <c r="C33" t="s">
        <v>210</v>
      </c>
      <c r="D33" t="str">
        <f t="shared" si="15"/>
        <v>4_HEW41-2_dry_22112019</v>
      </c>
    </row>
    <row r="34" spans="1:4">
      <c r="A34" s="33" t="s">
        <v>201</v>
      </c>
      <c r="B34" s="33" t="s">
        <v>156</v>
      </c>
      <c r="C34" t="s">
        <v>210</v>
      </c>
      <c r="D34" t="str">
        <f t="shared" si="15"/>
        <v>5_HEW42-1_dry_22112019</v>
      </c>
    </row>
    <row r="35" spans="1:4">
      <c r="A35" s="33" t="s">
        <v>202</v>
      </c>
      <c r="B35" s="33" t="s">
        <v>157</v>
      </c>
      <c r="C35" t="s">
        <v>210</v>
      </c>
      <c r="D35" t="str">
        <f t="shared" si="15"/>
        <v>6_HEW42-2_dry_22112019</v>
      </c>
    </row>
    <row r="36" spans="1:4">
      <c r="A36" s="33" t="s">
        <v>203</v>
      </c>
      <c r="B36" s="33" t="s">
        <v>158</v>
      </c>
      <c r="C36" t="s">
        <v>210</v>
      </c>
      <c r="D36" t="str">
        <f t="shared" si="15"/>
        <v>7_HEG10-1_dry_22112019</v>
      </c>
    </row>
    <row r="37" spans="1:4">
      <c r="A37" s="33" t="s">
        <v>205</v>
      </c>
      <c r="B37" s="33" t="s">
        <v>159</v>
      </c>
      <c r="C37" t="s">
        <v>210</v>
      </c>
      <c r="D37" t="str">
        <f t="shared" si="15"/>
        <v>8_HEG10-2_dry_22112019</v>
      </c>
    </row>
    <row r="38" spans="1:4">
      <c r="A38" s="33" t="s">
        <v>206</v>
      </c>
      <c r="B38" s="33" t="s">
        <v>160</v>
      </c>
      <c r="C38" t="s">
        <v>210</v>
      </c>
      <c r="D38" t="str">
        <f t="shared" si="15"/>
        <v>9_HEG32-1_dry_22112019</v>
      </c>
    </row>
    <row r="39" spans="1:4">
      <c r="A39" s="33" t="s">
        <v>204</v>
      </c>
      <c r="B39" s="33" t="s">
        <v>161</v>
      </c>
      <c r="C39" t="s">
        <v>210</v>
      </c>
      <c r="D39" t="str">
        <f t="shared" si="15"/>
        <v>10_HEG32-2_dry_22112019</v>
      </c>
    </row>
    <row r="40" spans="1:4">
      <c r="A40" s="33" t="s">
        <v>207</v>
      </c>
      <c r="B40" s="33" t="s">
        <v>162</v>
      </c>
      <c r="C40" t="s">
        <v>210</v>
      </c>
      <c r="D40" t="str">
        <f t="shared" si="15"/>
        <v>11_HEG48-1_dry_22112019</v>
      </c>
    </row>
    <row r="41" spans="1:4">
      <c r="A41" s="33" t="s">
        <v>208</v>
      </c>
      <c r="B41" s="33" t="s">
        <v>163</v>
      </c>
      <c r="C41" t="s">
        <v>210</v>
      </c>
      <c r="D41" t="str">
        <f t="shared" si="15"/>
        <v>12_HEG48-2_dry_22112019</v>
      </c>
    </row>
    <row r="42" spans="1:4">
      <c r="A42" s="33" t="s">
        <v>209</v>
      </c>
      <c r="B42" s="33" t="s">
        <v>192</v>
      </c>
      <c r="C42" t="s">
        <v>210</v>
      </c>
      <c r="D42" t="str">
        <f t="shared" si="15"/>
        <v>13_Std_flushed_22112019</v>
      </c>
    </row>
    <row r="44" spans="1:4">
      <c r="B44" s="33" t="s">
        <v>152</v>
      </c>
      <c r="C44" t="s">
        <v>212</v>
      </c>
      <c r="D44" t="str">
        <f>CONCATENATE(A44,B44,C44)</f>
        <v>HEW22-1_dry_PRE_15112019</v>
      </c>
    </row>
    <row r="45" spans="1:4">
      <c r="B45" s="33" t="s">
        <v>153</v>
      </c>
      <c r="C45" t="s">
        <v>212</v>
      </c>
      <c r="D45" t="str">
        <f t="shared" ref="D45:D56" si="16">CONCATENATE(A45,B45,C45)</f>
        <v>HEW22-2_dry_PRE_15112019</v>
      </c>
    </row>
    <row r="46" spans="1:4">
      <c r="B46" s="33" t="s">
        <v>154</v>
      </c>
      <c r="C46" t="s">
        <v>212</v>
      </c>
      <c r="D46" t="str">
        <f t="shared" si="16"/>
        <v>HEW41-1_dry_PRE_15112019</v>
      </c>
    </row>
    <row r="47" spans="1:4">
      <c r="B47" s="33" t="s">
        <v>155</v>
      </c>
      <c r="C47" t="s">
        <v>212</v>
      </c>
      <c r="D47" t="str">
        <f t="shared" si="16"/>
        <v>HEW41-2_dry_PRE_15112019</v>
      </c>
    </row>
    <row r="48" spans="1:4">
      <c r="B48" s="33" t="s">
        <v>156</v>
      </c>
      <c r="C48" t="s">
        <v>212</v>
      </c>
      <c r="D48" t="str">
        <f t="shared" si="16"/>
        <v>HEW42-1_dry_PRE_15112019</v>
      </c>
    </row>
    <row r="49" spans="2:4">
      <c r="B49" s="33" t="s">
        <v>157</v>
      </c>
      <c r="C49" t="s">
        <v>212</v>
      </c>
      <c r="D49" t="str">
        <f t="shared" si="16"/>
        <v>HEW42-2_dry_PRE_15112019</v>
      </c>
    </row>
    <row r="50" spans="2:4">
      <c r="B50" s="33" t="s">
        <v>158</v>
      </c>
      <c r="C50" t="s">
        <v>212</v>
      </c>
      <c r="D50" t="str">
        <f t="shared" si="16"/>
        <v>HEG10-1_dry_PRE_15112019</v>
      </c>
    </row>
    <row r="51" spans="2:4">
      <c r="B51" s="33" t="s">
        <v>159</v>
      </c>
      <c r="C51" t="s">
        <v>212</v>
      </c>
      <c r="D51" t="str">
        <f t="shared" si="16"/>
        <v>HEG10-2_dry_PRE_15112019</v>
      </c>
    </row>
    <row r="52" spans="2:4">
      <c r="B52" s="33" t="s">
        <v>160</v>
      </c>
      <c r="C52" t="s">
        <v>212</v>
      </c>
      <c r="D52" t="str">
        <f t="shared" si="16"/>
        <v>HEG32-1_dry_PRE_15112019</v>
      </c>
    </row>
    <row r="53" spans="2:4">
      <c r="B53" s="33" t="s">
        <v>161</v>
      </c>
      <c r="C53" t="s">
        <v>212</v>
      </c>
      <c r="D53" t="str">
        <f t="shared" si="16"/>
        <v>HEG32-2_dry_PRE_15112019</v>
      </c>
    </row>
    <row r="54" spans="2:4">
      <c r="B54" s="33" t="s">
        <v>162</v>
      </c>
      <c r="C54" t="s">
        <v>212</v>
      </c>
      <c r="D54" t="str">
        <f t="shared" si="16"/>
        <v>HEG48-1_dry_PRE_15112019</v>
      </c>
    </row>
    <row r="55" spans="2:4">
      <c r="B55" s="33" t="s">
        <v>163</v>
      </c>
      <c r="C55" t="s">
        <v>212</v>
      </c>
      <c r="D55" t="str">
        <f t="shared" si="16"/>
        <v>HEG48-2_dry_PRE_15112019</v>
      </c>
    </row>
    <row r="56" spans="2:4">
      <c r="B56" s="33" t="s">
        <v>192</v>
      </c>
      <c r="C56" t="s">
        <v>210</v>
      </c>
      <c r="D56" t="str">
        <f t="shared" si="16"/>
        <v>Std_flushed_22112019</v>
      </c>
    </row>
    <row r="58" spans="2:4">
      <c r="B58" s="33" t="s">
        <v>152</v>
      </c>
      <c r="C58" t="s">
        <v>213</v>
      </c>
      <c r="D58" t="str">
        <f>CONCATENATE(A58,B58,C58)</f>
        <v>HEW22-1_dry_INC_22112019</v>
      </c>
    </row>
    <row r="59" spans="2:4">
      <c r="B59" s="33" t="s">
        <v>153</v>
      </c>
      <c r="C59" t="s">
        <v>213</v>
      </c>
      <c r="D59" t="str">
        <f t="shared" ref="D59:D70" si="17">CONCATENATE(A59,B59,C59)</f>
        <v>HEW22-2_dry_INC_22112019</v>
      </c>
    </row>
    <row r="60" spans="2:4">
      <c r="B60" s="33" t="s">
        <v>154</v>
      </c>
      <c r="C60" t="s">
        <v>213</v>
      </c>
      <c r="D60" t="str">
        <f t="shared" si="17"/>
        <v>HEW41-1_dry_INC_22112019</v>
      </c>
    </row>
    <row r="61" spans="2:4">
      <c r="B61" s="33" t="s">
        <v>155</v>
      </c>
      <c r="C61" t="s">
        <v>213</v>
      </c>
      <c r="D61" t="str">
        <f t="shared" si="17"/>
        <v>HEW41-2_dry_INC_22112019</v>
      </c>
    </row>
    <row r="62" spans="2:4">
      <c r="B62" s="33" t="s">
        <v>156</v>
      </c>
      <c r="C62" t="s">
        <v>213</v>
      </c>
      <c r="D62" t="str">
        <f t="shared" si="17"/>
        <v>HEW42-1_dry_INC_22112019</v>
      </c>
    </row>
    <row r="63" spans="2:4">
      <c r="B63" s="33" t="s">
        <v>157</v>
      </c>
      <c r="C63" t="s">
        <v>213</v>
      </c>
      <c r="D63" t="str">
        <f t="shared" si="17"/>
        <v>HEW42-2_dry_INC_22112019</v>
      </c>
    </row>
    <row r="64" spans="2:4">
      <c r="B64" s="33" t="s">
        <v>158</v>
      </c>
      <c r="C64" t="s">
        <v>213</v>
      </c>
      <c r="D64" t="str">
        <f t="shared" si="17"/>
        <v>HEG10-1_dry_INC_22112019</v>
      </c>
    </row>
    <row r="65" spans="2:4">
      <c r="B65" s="33" t="s">
        <v>159</v>
      </c>
      <c r="C65" t="s">
        <v>213</v>
      </c>
      <c r="D65" t="str">
        <f t="shared" si="17"/>
        <v>HEG10-2_dry_INC_22112019</v>
      </c>
    </row>
    <row r="66" spans="2:4">
      <c r="B66" s="33" t="s">
        <v>160</v>
      </c>
      <c r="C66" t="s">
        <v>213</v>
      </c>
      <c r="D66" t="str">
        <f t="shared" si="17"/>
        <v>HEG32-1_dry_INC_22112019</v>
      </c>
    </row>
    <row r="67" spans="2:4">
      <c r="B67" s="33" t="s">
        <v>161</v>
      </c>
      <c r="C67" t="s">
        <v>213</v>
      </c>
      <c r="D67" t="str">
        <f t="shared" si="17"/>
        <v>HEG32-2_dry_INC_22112019</v>
      </c>
    </row>
    <row r="68" spans="2:4">
      <c r="B68" s="33" t="s">
        <v>162</v>
      </c>
      <c r="C68" t="s">
        <v>213</v>
      </c>
      <c r="D68" t="str">
        <f t="shared" si="17"/>
        <v>HEG48-1_dry_INC_22112019</v>
      </c>
    </row>
    <row r="69" spans="2:4">
      <c r="B69" s="33" t="s">
        <v>163</v>
      </c>
      <c r="C69" t="s">
        <v>213</v>
      </c>
      <c r="D69" t="str">
        <f t="shared" si="17"/>
        <v>HEG48-2_dry_INC_22112019</v>
      </c>
    </row>
    <row r="70" spans="2:4">
      <c r="B70" s="33" t="s">
        <v>192</v>
      </c>
      <c r="C70" t="s">
        <v>210</v>
      </c>
      <c r="D70" t="str">
        <f t="shared" si="17"/>
        <v>Std_flushed_22112019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Q2" sqref="Q2"/>
    </sheetView>
  </sheetViews>
  <sheetFormatPr baseColWidth="10" defaultRowHeight="14" x14ac:dyDescent="0"/>
  <cols>
    <col min="1" max="1" width="11.6640625" bestFit="1" customWidth="1"/>
    <col min="2" max="2" width="6.83203125" bestFit="1" customWidth="1"/>
    <col min="9" max="9" width="12.83203125" bestFit="1" customWidth="1"/>
  </cols>
  <sheetData>
    <row r="1" spans="1:16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</row>
    <row r="2" spans="1:16">
      <c r="A2" t="s">
        <v>152</v>
      </c>
      <c r="B2" t="str">
        <f>LEFT(A2,5)</f>
        <v>HEW22</v>
      </c>
      <c r="C2">
        <v>1</v>
      </c>
      <c r="D2" t="str">
        <f t="shared" ref="D2" si="0">IF(AND(C2&lt;&gt;C1,I2=I1),"fix meas date","")</f>
        <v/>
      </c>
      <c r="E2">
        <f>VLOOKUP($A2,Pre12.11.19!$A$17:$N$29,9,FALSE)</f>
        <v>43780.666666666664</v>
      </c>
      <c r="F2">
        <f>YEAR(E2)</f>
        <v>2019</v>
      </c>
      <c r="G2">
        <f>MONTH(E2)</f>
        <v>11</v>
      </c>
      <c r="H2">
        <f>DAY(E2)+E2-ROUNDDOWN(E2,0)</f>
        <v>11.666666666664241</v>
      </c>
      <c r="I2" s="140">
        <f>VLOOKUP($A2,IF(C2=1,Pre12.11.19!$A$17:$O$40,IF(C2=2,Pre13.11.19!$A$17:$O$40,IF(C2=3,Pre14.11.19!$A$17:$O$40,IF(C2=4,Pre15.11.19!$A$17:$O$40,IF(C2=5,Inc18.11.19!$A$17:$O$40,IF(C2=6,Inc21.11.19!$A$17:$O$40,Inc22.11.19!$A$17:$O$28)))))),2,FALSE)</f>
        <v>43781.625</v>
      </c>
      <c r="J2">
        <f>YEAR(I2)</f>
        <v>2019</v>
      </c>
      <c r="K2">
        <f>MONTH(I2)</f>
        <v>11</v>
      </c>
      <c r="L2">
        <f>DAY(I2)+I2-ROUNDDOWN(I2,0)</f>
        <v>12.625</v>
      </c>
      <c r="M2" t="s">
        <v>351</v>
      </c>
      <c r="N2" s="10">
        <f>I2-E2</f>
        <v>0.95833333333575865</v>
      </c>
      <c r="O2">
        <f>IFERROR(VLOOKUP($A2,IF(C2=1,Pre12.11.19!$A$17:$O$40,IF(C2=2,Pre13.11.19!$A$17:$O$40,IF(C2=3,Pre14.11.19!$A$17:$O$40,IF(C2=4,Pre15.11.19!$A$17:$O$40,IF(C2=5,Inc18.11.19!$A$17:$O$40,IF(C2=6,Inc21.11.19!$A$17:$O$40,Inc22.11.19!$A$17:$O$28)))))),14,FALSE),"")</f>
        <v>5.0066959970461795</v>
      </c>
      <c r="P2" s="10">
        <f t="shared" ref="P2" si="1">IF(M2="pre",N2,I2-E2)</f>
        <v>0.95833333333575865</v>
      </c>
    </row>
    <row r="3" spans="1:16">
      <c r="A3" t="s">
        <v>153</v>
      </c>
      <c r="B3" t="str">
        <f t="shared" ref="B3:B66" si="2">LEFT(A3,5)</f>
        <v>HEW22</v>
      </c>
      <c r="C3">
        <f>C2</f>
        <v>1</v>
      </c>
      <c r="D3" t="str">
        <f t="shared" ref="D3:D66" si="3">IF(AND(C3&lt;&gt;C2,I3=I2),"fix meas date","")</f>
        <v/>
      </c>
      <c r="E3">
        <f>VLOOKUP($A3,Pre12.11.19!$A$17:$N$29,9,FALSE)</f>
        <v>43780.666666666664</v>
      </c>
      <c r="F3">
        <f t="shared" ref="F3:F66" si="4">YEAR(E3)</f>
        <v>2019</v>
      </c>
      <c r="G3">
        <f t="shared" ref="G3:G66" si="5">MONTH(E3)</f>
        <v>11</v>
      </c>
      <c r="H3">
        <f t="shared" ref="H3:H66" si="6">DAY(E3)+E3-ROUNDDOWN(E3,0)</f>
        <v>11.666666666664241</v>
      </c>
      <c r="I3" s="140">
        <f>VLOOKUP($A3,IF(C3=1,Pre12.11.19!$A$17:$O$40,IF(C3=2,Pre13.11.19!$A$17:$O$40,IF(C3=3,Pre14.11.19!$A$17:$O$40,IF(C3=4,Pre15.11.19!$A$17:$O$40,IF(C3=5,Inc18.11.19!$A$17:$O$40,IF(C3=6,Inc21.11.19!$A$17:$O$40,Inc22.11.19!$A$17:$O$28)))))),2,FALSE)</f>
        <v>43781.625</v>
      </c>
      <c r="J3">
        <f t="shared" ref="J3:J66" si="7">YEAR(I3)</f>
        <v>2019</v>
      </c>
      <c r="K3">
        <f t="shared" ref="K3:K66" si="8">MONTH(I3)</f>
        <v>11</v>
      </c>
      <c r="L3">
        <f t="shared" ref="L3:L66" si="9">DAY(I3)+I3-ROUNDDOWN(I3,0)</f>
        <v>12.625</v>
      </c>
      <c r="M3" t="s">
        <v>351</v>
      </c>
      <c r="N3" s="10">
        <f t="shared" ref="N3:N66" si="10">I3-E3</f>
        <v>0.95833333333575865</v>
      </c>
      <c r="O3">
        <f>IFERROR(VLOOKUP($A3,IF(C3=1,Pre12.11.19!$A$17:$O$40,IF(C3=2,Pre13.11.19!$A$17:$O$40,IF(C3=3,Pre14.11.19!$A$17:$O$40,IF(C3=4,Pre15.11.19!$A$17:$O$40,IF(C3=5,Inc18.11.19!$A$17:$O$40,IF(C3=6,Inc21.11.19!$A$17:$O$40,Inc22.11.19!$A$17:$O$28)))))),14,FALSE),"")</f>
        <v>5.1722956520609102</v>
      </c>
      <c r="P3" s="10">
        <f t="shared" ref="P3:P66" si="11">IF(M3="pre",N3,I3-E3)</f>
        <v>0.95833333333575865</v>
      </c>
    </row>
    <row r="4" spans="1:16">
      <c r="A4" t="s">
        <v>154</v>
      </c>
      <c r="B4" t="str">
        <f t="shared" si="2"/>
        <v>HEW41</v>
      </c>
      <c r="C4">
        <f t="shared" ref="C4:C13" si="12">C3</f>
        <v>1</v>
      </c>
      <c r="D4" t="str">
        <f t="shared" si="3"/>
        <v/>
      </c>
      <c r="E4">
        <f>VLOOKUP($A4,Pre12.11.19!$A$17:$N$29,9,FALSE)</f>
        <v>43780.666666666664</v>
      </c>
      <c r="F4">
        <f t="shared" si="4"/>
        <v>2019</v>
      </c>
      <c r="G4">
        <f t="shared" si="5"/>
        <v>11</v>
      </c>
      <c r="H4">
        <f t="shared" si="6"/>
        <v>11.666666666664241</v>
      </c>
      <c r="I4" s="140">
        <f>VLOOKUP($A4,IF(C4=1,Pre12.11.19!$A$17:$O$40,IF(C4=2,Pre13.11.19!$A$17:$O$40,IF(C4=3,Pre14.11.19!$A$17:$O$40,IF(C4=4,Pre15.11.19!$A$17:$O$40,IF(C4=5,Inc18.11.19!$A$17:$O$40,IF(C4=6,Inc21.11.19!$A$17:$O$40,Inc22.11.19!$A$17:$O$28)))))),2,FALSE)</f>
        <v>43781.625</v>
      </c>
      <c r="J4">
        <f t="shared" si="7"/>
        <v>2019</v>
      </c>
      <c r="K4">
        <f t="shared" si="8"/>
        <v>11</v>
      </c>
      <c r="L4">
        <f t="shared" si="9"/>
        <v>12.625</v>
      </c>
      <c r="M4" t="s">
        <v>351</v>
      </c>
      <c r="N4" s="10">
        <f t="shared" si="10"/>
        <v>0.95833333333575865</v>
      </c>
      <c r="O4">
        <f>IFERROR(VLOOKUP($A4,IF(C4=1,Pre12.11.19!$A$17:$O$40,IF(C4=2,Pre13.11.19!$A$17:$O$40,IF(C4=3,Pre14.11.19!$A$17:$O$40,IF(C4=4,Pre15.11.19!$A$17:$O$40,IF(C4=5,Inc18.11.19!$A$17:$O$40,IF(C4=6,Inc21.11.19!$A$17:$O$40,Inc22.11.19!$A$17:$O$28)))))),14,FALSE),"")</f>
        <v>3.5617823177629244</v>
      </c>
      <c r="P4" s="10">
        <f t="shared" si="11"/>
        <v>0.95833333333575865</v>
      </c>
    </row>
    <row r="5" spans="1:16">
      <c r="A5" t="s">
        <v>155</v>
      </c>
      <c r="B5" t="str">
        <f t="shared" si="2"/>
        <v>HEW41</v>
      </c>
      <c r="C5">
        <f t="shared" si="12"/>
        <v>1</v>
      </c>
      <c r="D5" t="str">
        <f t="shared" si="3"/>
        <v/>
      </c>
      <c r="E5">
        <f>VLOOKUP($A5,Pre12.11.19!$A$17:$N$29,9,FALSE)</f>
        <v>43780.666666666664</v>
      </c>
      <c r="F5">
        <f t="shared" si="4"/>
        <v>2019</v>
      </c>
      <c r="G5">
        <f t="shared" si="5"/>
        <v>11</v>
      </c>
      <c r="H5">
        <f t="shared" si="6"/>
        <v>11.666666666664241</v>
      </c>
      <c r="I5" s="140">
        <f>VLOOKUP($A5,IF(C5=1,Pre12.11.19!$A$17:$O$40,IF(C5=2,Pre13.11.19!$A$17:$O$40,IF(C5=3,Pre14.11.19!$A$17:$O$40,IF(C5=4,Pre15.11.19!$A$17:$O$40,IF(C5=5,Inc18.11.19!$A$17:$O$40,IF(C5=6,Inc21.11.19!$A$17:$O$40,Inc22.11.19!$A$17:$O$28)))))),2,FALSE)</f>
        <v>43781.625</v>
      </c>
      <c r="J5">
        <f t="shared" si="7"/>
        <v>2019</v>
      </c>
      <c r="K5">
        <f t="shared" si="8"/>
        <v>11</v>
      </c>
      <c r="L5">
        <f t="shared" si="9"/>
        <v>12.625</v>
      </c>
      <c r="M5" t="s">
        <v>351</v>
      </c>
      <c r="N5" s="10">
        <f t="shared" si="10"/>
        <v>0.95833333333575865</v>
      </c>
      <c r="O5">
        <f>IFERROR(VLOOKUP($A5,IF(C5=1,Pre12.11.19!$A$17:$O$40,IF(C5=2,Pre13.11.19!$A$17:$O$40,IF(C5=3,Pre14.11.19!$A$17:$O$40,IF(C5=4,Pre15.11.19!$A$17:$O$40,IF(C5=5,Inc18.11.19!$A$17:$O$40,IF(C5=6,Inc21.11.19!$A$17:$O$40,Inc22.11.19!$A$17:$O$28)))))),14,FALSE),"")</f>
        <v>3.707242976731679</v>
      </c>
      <c r="P5" s="10">
        <f t="shared" si="11"/>
        <v>0.95833333333575865</v>
      </c>
    </row>
    <row r="6" spans="1:16">
      <c r="A6" t="s">
        <v>156</v>
      </c>
      <c r="B6" t="str">
        <f t="shared" si="2"/>
        <v>HEW42</v>
      </c>
      <c r="C6">
        <f t="shared" si="12"/>
        <v>1</v>
      </c>
      <c r="D6" t="str">
        <f t="shared" si="3"/>
        <v/>
      </c>
      <c r="E6">
        <f>VLOOKUP($A6,Pre12.11.19!$A$17:$N$29,9,FALSE)</f>
        <v>43780.666666666664</v>
      </c>
      <c r="F6">
        <f t="shared" si="4"/>
        <v>2019</v>
      </c>
      <c r="G6">
        <f t="shared" si="5"/>
        <v>11</v>
      </c>
      <c r="H6">
        <f t="shared" si="6"/>
        <v>11.666666666664241</v>
      </c>
      <c r="I6" s="140">
        <f>VLOOKUP($A6,IF(C6=1,Pre12.11.19!$A$17:$O$40,IF(C6=2,Pre13.11.19!$A$17:$O$40,IF(C6=3,Pre14.11.19!$A$17:$O$40,IF(C6=4,Pre15.11.19!$A$17:$O$40,IF(C6=5,Inc18.11.19!$A$17:$O$40,IF(C6=6,Inc21.11.19!$A$17:$O$40,Inc22.11.19!$A$17:$O$28)))))),2,FALSE)</f>
        <v>43781.625</v>
      </c>
      <c r="J6">
        <f t="shared" si="7"/>
        <v>2019</v>
      </c>
      <c r="K6">
        <f t="shared" si="8"/>
        <v>11</v>
      </c>
      <c r="L6">
        <f t="shared" si="9"/>
        <v>12.625</v>
      </c>
      <c r="M6" t="s">
        <v>351</v>
      </c>
      <c r="N6" s="10">
        <f t="shared" si="10"/>
        <v>0.95833333333575865</v>
      </c>
      <c r="O6">
        <f>IFERROR(VLOOKUP($A6,IF(C6=1,Pre12.11.19!$A$17:$O$40,IF(C6=2,Pre13.11.19!$A$17:$O$40,IF(C6=3,Pre14.11.19!$A$17:$O$40,IF(C6=4,Pre15.11.19!$A$17:$O$40,IF(C6=5,Inc18.11.19!$A$17:$O$40,IF(C6=6,Inc21.11.19!$A$17:$O$40,Inc22.11.19!$A$17:$O$28)))))),14,FALSE),"")</f>
        <v>2.2335654314060327</v>
      </c>
      <c r="P6" s="10">
        <f t="shared" si="11"/>
        <v>0.95833333333575865</v>
      </c>
    </row>
    <row r="7" spans="1:16">
      <c r="A7" t="s">
        <v>157</v>
      </c>
      <c r="B7" t="str">
        <f t="shared" si="2"/>
        <v>HEW42</v>
      </c>
      <c r="C7">
        <f t="shared" si="12"/>
        <v>1</v>
      </c>
      <c r="D7" t="str">
        <f t="shared" si="3"/>
        <v/>
      </c>
      <c r="E7">
        <f>VLOOKUP($A7,Pre12.11.19!$A$17:$N$29,9,FALSE)</f>
        <v>43780.666666666664</v>
      </c>
      <c r="F7">
        <f t="shared" si="4"/>
        <v>2019</v>
      </c>
      <c r="G7">
        <f t="shared" si="5"/>
        <v>11</v>
      </c>
      <c r="H7">
        <f t="shared" si="6"/>
        <v>11.666666666664241</v>
      </c>
      <c r="I7" s="140">
        <f>VLOOKUP($A7,IF(C7=1,Pre12.11.19!$A$17:$O$40,IF(C7=2,Pre13.11.19!$A$17:$O$40,IF(C7=3,Pre14.11.19!$A$17:$O$40,IF(C7=4,Pre15.11.19!$A$17:$O$40,IF(C7=5,Inc18.11.19!$A$17:$O$40,IF(C7=6,Inc21.11.19!$A$17:$O$40,Inc22.11.19!$A$17:$O$28)))))),2,FALSE)</f>
        <v>43781.625</v>
      </c>
      <c r="J7">
        <f t="shared" si="7"/>
        <v>2019</v>
      </c>
      <c r="K7">
        <f t="shared" si="8"/>
        <v>11</v>
      </c>
      <c r="L7">
        <f t="shared" si="9"/>
        <v>12.625</v>
      </c>
      <c r="M7" t="s">
        <v>351</v>
      </c>
      <c r="N7" s="10">
        <f t="shared" si="10"/>
        <v>0.95833333333575865</v>
      </c>
      <c r="O7">
        <f>IFERROR(VLOOKUP($A7,IF(C7=1,Pre12.11.19!$A$17:$O$40,IF(C7=2,Pre13.11.19!$A$17:$O$40,IF(C7=3,Pre14.11.19!$A$17:$O$40,IF(C7=4,Pre15.11.19!$A$17:$O$40,IF(C7=5,Inc18.11.19!$A$17:$O$40,IF(C7=6,Inc21.11.19!$A$17:$O$40,Inc22.11.19!$A$17:$O$28)))))),14,FALSE),"")</f>
        <v>2.1469655146673809</v>
      </c>
      <c r="P7" s="10">
        <f t="shared" si="11"/>
        <v>0.95833333333575865</v>
      </c>
    </row>
    <row r="8" spans="1:16">
      <c r="A8" t="s">
        <v>158</v>
      </c>
      <c r="B8" t="str">
        <f t="shared" si="2"/>
        <v>HEG10</v>
      </c>
      <c r="C8">
        <f t="shared" si="12"/>
        <v>1</v>
      </c>
      <c r="D8" t="str">
        <f t="shared" si="3"/>
        <v/>
      </c>
      <c r="E8">
        <f>VLOOKUP($A8,Pre12.11.19!$A$17:$N$29,9,FALSE)</f>
        <v>43780.666666666664</v>
      </c>
      <c r="F8">
        <f t="shared" si="4"/>
        <v>2019</v>
      </c>
      <c r="G8">
        <f t="shared" si="5"/>
        <v>11</v>
      </c>
      <c r="H8">
        <f t="shared" si="6"/>
        <v>11.666666666664241</v>
      </c>
      <c r="I8" s="140">
        <f>VLOOKUP($A8,IF(C8=1,Pre12.11.19!$A$17:$O$40,IF(C8=2,Pre13.11.19!$A$17:$O$40,IF(C8=3,Pre14.11.19!$A$17:$O$40,IF(C8=4,Pre15.11.19!$A$17:$O$40,IF(C8=5,Inc18.11.19!$A$17:$O$40,IF(C8=6,Inc21.11.19!$A$17:$O$40,Inc22.11.19!$A$17:$O$28)))))),2,FALSE)</f>
        <v>43781.625</v>
      </c>
      <c r="J8">
        <f t="shared" si="7"/>
        <v>2019</v>
      </c>
      <c r="K8">
        <f t="shared" si="8"/>
        <v>11</v>
      </c>
      <c r="L8">
        <f t="shared" si="9"/>
        <v>12.625</v>
      </c>
      <c r="M8" t="s">
        <v>351</v>
      </c>
      <c r="N8" s="10">
        <f t="shared" si="10"/>
        <v>0.95833333333575865</v>
      </c>
      <c r="O8">
        <f>IFERROR(VLOOKUP($A8,IF(C8=1,Pre12.11.19!$A$17:$O$40,IF(C8=2,Pre13.11.19!$A$17:$O$40,IF(C8=3,Pre14.11.19!$A$17:$O$40,IF(C8=4,Pre15.11.19!$A$17:$O$40,IF(C8=5,Inc18.11.19!$A$17:$O$40,IF(C8=6,Inc21.11.19!$A$17:$O$40,Inc22.11.19!$A$17:$O$28)))))),14,FALSE),"")</f>
        <v>12.539037636813674</v>
      </c>
      <c r="P8" s="10">
        <f t="shared" si="11"/>
        <v>0.95833333333575865</v>
      </c>
    </row>
    <row r="9" spans="1:16">
      <c r="A9" t="s">
        <v>159</v>
      </c>
      <c r="B9" t="str">
        <f t="shared" si="2"/>
        <v>HEG10</v>
      </c>
      <c r="C9">
        <f t="shared" si="12"/>
        <v>1</v>
      </c>
      <c r="D9" t="str">
        <f t="shared" si="3"/>
        <v/>
      </c>
      <c r="E9">
        <f>VLOOKUP($A9,Pre12.11.19!$A$17:$N$29,9,FALSE)</f>
        <v>43780.666666666664</v>
      </c>
      <c r="F9">
        <f t="shared" si="4"/>
        <v>2019</v>
      </c>
      <c r="G9">
        <f t="shared" si="5"/>
        <v>11</v>
      </c>
      <c r="H9">
        <f t="shared" si="6"/>
        <v>11.666666666664241</v>
      </c>
      <c r="I9" s="140">
        <f>VLOOKUP($A9,IF(C9=1,Pre12.11.19!$A$17:$O$40,IF(C9=2,Pre13.11.19!$A$17:$O$40,IF(C9=3,Pre14.11.19!$A$17:$O$40,IF(C9=4,Pre15.11.19!$A$17:$O$40,IF(C9=5,Inc18.11.19!$A$17:$O$40,IF(C9=6,Inc21.11.19!$A$17:$O$40,Inc22.11.19!$A$17:$O$28)))))),2,FALSE)</f>
        <v>43781.625</v>
      </c>
      <c r="J9">
        <f t="shared" si="7"/>
        <v>2019</v>
      </c>
      <c r="K9">
        <f t="shared" si="8"/>
        <v>11</v>
      </c>
      <c r="L9">
        <f t="shared" si="9"/>
        <v>12.625</v>
      </c>
      <c r="M9" t="s">
        <v>351</v>
      </c>
      <c r="N9" s="10">
        <f t="shared" si="10"/>
        <v>0.95833333333575865</v>
      </c>
      <c r="O9">
        <f>IFERROR(VLOOKUP($A9,IF(C9=1,Pre12.11.19!$A$17:$O$40,IF(C9=2,Pre13.11.19!$A$17:$O$40,IF(C9=3,Pre14.11.19!$A$17:$O$40,IF(C9=4,Pre15.11.19!$A$17:$O$40,IF(C9=5,Inc18.11.19!$A$17:$O$40,IF(C9=6,Inc21.11.19!$A$17:$O$40,Inc22.11.19!$A$17:$O$28)))))),14,FALSE),"")</f>
        <v>12.952610766637347</v>
      </c>
      <c r="P9" s="10">
        <f t="shared" si="11"/>
        <v>0.95833333333575865</v>
      </c>
    </row>
    <row r="10" spans="1:16">
      <c r="A10" t="s">
        <v>160</v>
      </c>
      <c r="B10" t="str">
        <f t="shared" si="2"/>
        <v>HEG32</v>
      </c>
      <c r="C10">
        <f t="shared" si="12"/>
        <v>1</v>
      </c>
      <c r="D10" t="str">
        <f t="shared" si="3"/>
        <v/>
      </c>
      <c r="E10">
        <f>VLOOKUP($A10,Pre12.11.19!$A$17:$N$29,9,FALSE)</f>
        <v>43780.666666666664</v>
      </c>
      <c r="F10">
        <f t="shared" si="4"/>
        <v>2019</v>
      </c>
      <c r="G10">
        <f t="shared" si="5"/>
        <v>11</v>
      </c>
      <c r="H10">
        <f t="shared" si="6"/>
        <v>11.666666666664241</v>
      </c>
      <c r="I10" s="140">
        <f>VLOOKUP($A10,IF(C10=1,Pre12.11.19!$A$17:$O$40,IF(C10=2,Pre13.11.19!$A$17:$O$40,IF(C10=3,Pre14.11.19!$A$17:$O$40,IF(C10=4,Pre15.11.19!$A$17:$O$40,IF(C10=5,Inc18.11.19!$A$17:$O$40,IF(C10=6,Inc21.11.19!$A$17:$O$40,Inc22.11.19!$A$17:$O$28)))))),2,FALSE)</f>
        <v>43781.625</v>
      </c>
      <c r="J10">
        <f t="shared" si="7"/>
        <v>2019</v>
      </c>
      <c r="K10">
        <f t="shared" si="8"/>
        <v>11</v>
      </c>
      <c r="L10">
        <f t="shared" si="9"/>
        <v>12.625</v>
      </c>
      <c r="M10" t="s">
        <v>351</v>
      </c>
      <c r="N10" s="10">
        <f t="shared" si="10"/>
        <v>0.95833333333575865</v>
      </c>
      <c r="O10">
        <f>IFERROR(VLOOKUP($A10,IF(C10=1,Pre12.11.19!$A$17:$O$40,IF(C10=2,Pre13.11.19!$A$17:$O$40,IF(C10=3,Pre14.11.19!$A$17:$O$40,IF(C10=4,Pre15.11.19!$A$17:$O$40,IF(C10=5,Inc18.11.19!$A$17:$O$40,IF(C10=6,Inc21.11.19!$A$17:$O$40,Inc22.11.19!$A$17:$O$28)))))),14,FALSE),"")</f>
        <v>15.468754884954013</v>
      </c>
      <c r="P10" s="10">
        <f t="shared" si="11"/>
        <v>0.95833333333575865</v>
      </c>
    </row>
    <row r="11" spans="1:16">
      <c r="A11" t="s">
        <v>161</v>
      </c>
      <c r="B11" t="str">
        <f t="shared" si="2"/>
        <v>HEG32</v>
      </c>
      <c r="C11">
        <f t="shared" si="12"/>
        <v>1</v>
      </c>
      <c r="D11" t="str">
        <f t="shared" si="3"/>
        <v/>
      </c>
      <c r="E11">
        <f>VLOOKUP($A11,Pre12.11.19!$A$17:$N$29,9,FALSE)</f>
        <v>43780.666666666664</v>
      </c>
      <c r="F11">
        <f t="shared" si="4"/>
        <v>2019</v>
      </c>
      <c r="G11">
        <f t="shared" si="5"/>
        <v>11</v>
      </c>
      <c r="H11">
        <f t="shared" si="6"/>
        <v>11.666666666664241</v>
      </c>
      <c r="I11" s="140">
        <f>VLOOKUP($A11,IF(C11=1,Pre12.11.19!$A$17:$O$40,IF(C11=2,Pre13.11.19!$A$17:$O$40,IF(C11=3,Pre14.11.19!$A$17:$O$40,IF(C11=4,Pre15.11.19!$A$17:$O$40,IF(C11=5,Inc18.11.19!$A$17:$O$40,IF(C11=6,Inc21.11.19!$A$17:$O$40,Inc22.11.19!$A$17:$O$28)))))),2,FALSE)</f>
        <v>43781.625</v>
      </c>
      <c r="J11">
        <f t="shared" si="7"/>
        <v>2019</v>
      </c>
      <c r="K11">
        <f t="shared" si="8"/>
        <v>11</v>
      </c>
      <c r="L11">
        <f t="shared" si="9"/>
        <v>12.625</v>
      </c>
      <c r="M11" t="s">
        <v>351</v>
      </c>
      <c r="N11" s="10">
        <f t="shared" si="10"/>
        <v>0.95833333333575865</v>
      </c>
      <c r="O11">
        <f>IFERROR(VLOOKUP($A11,IF(C11=1,Pre12.11.19!$A$17:$O$40,IF(C11=2,Pre13.11.19!$A$17:$O$40,IF(C11=3,Pre14.11.19!$A$17:$O$40,IF(C11=4,Pre15.11.19!$A$17:$O$40,IF(C11=5,Inc18.11.19!$A$17:$O$40,IF(C11=6,Inc21.11.19!$A$17:$O$40,Inc22.11.19!$A$17:$O$28)))))),14,FALSE),"")</f>
        <v>14.630696707520988</v>
      </c>
      <c r="P11" s="10">
        <f t="shared" si="11"/>
        <v>0.95833333333575865</v>
      </c>
    </row>
    <row r="12" spans="1:16">
      <c r="A12" t="s">
        <v>162</v>
      </c>
      <c r="B12" t="str">
        <f t="shared" si="2"/>
        <v>HEG48</v>
      </c>
      <c r="C12">
        <f t="shared" si="12"/>
        <v>1</v>
      </c>
      <c r="D12" t="str">
        <f t="shared" si="3"/>
        <v/>
      </c>
      <c r="E12">
        <f>VLOOKUP($A12,Pre12.11.19!$A$17:$N$29,9,FALSE)</f>
        <v>43780.666666666664</v>
      </c>
      <c r="F12">
        <f t="shared" si="4"/>
        <v>2019</v>
      </c>
      <c r="G12">
        <f t="shared" si="5"/>
        <v>11</v>
      </c>
      <c r="H12">
        <f t="shared" si="6"/>
        <v>11.666666666664241</v>
      </c>
      <c r="I12" s="140">
        <f>VLOOKUP($A12,IF(C12=1,Pre12.11.19!$A$17:$O$40,IF(C12=2,Pre13.11.19!$A$17:$O$40,IF(C12=3,Pre14.11.19!$A$17:$O$40,IF(C12=4,Pre15.11.19!$A$17:$O$40,IF(C12=5,Inc18.11.19!$A$17:$O$40,IF(C12=6,Inc21.11.19!$A$17:$O$40,Inc22.11.19!$A$17:$O$28)))))),2,FALSE)</f>
        <v>43781.625</v>
      </c>
      <c r="J12">
        <f t="shared" si="7"/>
        <v>2019</v>
      </c>
      <c r="K12">
        <f t="shared" si="8"/>
        <v>11</v>
      </c>
      <c r="L12">
        <f t="shared" si="9"/>
        <v>12.625</v>
      </c>
      <c r="M12" t="s">
        <v>351</v>
      </c>
      <c r="N12" s="10">
        <f t="shared" si="10"/>
        <v>0.95833333333575865</v>
      </c>
      <c r="O12">
        <f>IFERROR(VLOOKUP($A12,IF(C12=1,Pre12.11.19!$A$17:$O$40,IF(C12=2,Pre13.11.19!$A$17:$O$40,IF(C12=3,Pre14.11.19!$A$17:$O$40,IF(C12=4,Pre15.11.19!$A$17:$O$40,IF(C12=5,Inc18.11.19!$A$17:$O$40,IF(C12=6,Inc21.11.19!$A$17:$O$40,Inc22.11.19!$A$17:$O$28)))))),14,FALSE),"")</f>
        <v>12.330595345054753</v>
      </c>
      <c r="P12" s="10">
        <f t="shared" si="11"/>
        <v>0.95833333333575865</v>
      </c>
    </row>
    <row r="13" spans="1:16">
      <c r="A13" t="s">
        <v>163</v>
      </c>
      <c r="B13" t="str">
        <f t="shared" si="2"/>
        <v>HEG48</v>
      </c>
      <c r="C13">
        <f t="shared" si="12"/>
        <v>1</v>
      </c>
      <c r="D13" t="str">
        <f t="shared" si="3"/>
        <v/>
      </c>
      <c r="E13">
        <f>VLOOKUP($A13,Pre12.11.19!$A$17:$N$29,9,FALSE)</f>
        <v>43780.666666666664</v>
      </c>
      <c r="F13">
        <f t="shared" si="4"/>
        <v>2019</v>
      </c>
      <c r="G13">
        <f t="shared" si="5"/>
        <v>11</v>
      </c>
      <c r="H13">
        <f t="shared" si="6"/>
        <v>11.666666666664241</v>
      </c>
      <c r="I13" s="140">
        <f>VLOOKUP($A13,IF(C13=1,Pre12.11.19!$A$17:$O$40,IF(C13=2,Pre13.11.19!$A$17:$O$40,IF(C13=3,Pre14.11.19!$A$17:$O$40,IF(C13=4,Pre15.11.19!$A$17:$O$40,IF(C13=5,Inc18.11.19!$A$17:$O$40,IF(C13=6,Inc21.11.19!$A$17:$O$40,Inc22.11.19!$A$17:$O$28)))))),2,FALSE)</f>
        <v>43781.625</v>
      </c>
      <c r="J13">
        <f t="shared" si="7"/>
        <v>2019</v>
      </c>
      <c r="K13">
        <f t="shared" si="8"/>
        <v>11</v>
      </c>
      <c r="L13">
        <f t="shared" si="9"/>
        <v>12.625</v>
      </c>
      <c r="M13" t="s">
        <v>351</v>
      </c>
      <c r="N13" s="10">
        <f t="shared" si="10"/>
        <v>0.95833333333575865</v>
      </c>
      <c r="O13">
        <f>IFERROR(VLOOKUP($A13,IF(C13=1,Pre12.11.19!$A$17:$O$40,IF(C13=2,Pre13.11.19!$A$17:$O$40,IF(C13=3,Pre14.11.19!$A$17:$O$40,IF(C13=4,Pre15.11.19!$A$17:$O$40,IF(C13=5,Inc18.11.19!$A$17:$O$40,IF(C13=6,Inc21.11.19!$A$17:$O$40,Inc22.11.19!$A$17:$O$28)))))),14,FALSE),"")</f>
        <v>11.866268647898963</v>
      </c>
      <c r="P13" s="10">
        <f t="shared" si="11"/>
        <v>0.95833333333575865</v>
      </c>
    </row>
    <row r="14" spans="1:16">
      <c r="A14" t="s">
        <v>152</v>
      </c>
      <c r="B14" t="str">
        <f t="shared" si="2"/>
        <v>HEW22</v>
      </c>
      <c r="C14">
        <v>2</v>
      </c>
      <c r="D14" t="str">
        <f t="shared" si="3"/>
        <v/>
      </c>
      <c r="E14">
        <f>VLOOKUP($A14,Pre12.11.19!$A$17:$N$29,9,FALSE)</f>
        <v>43780.666666666664</v>
      </c>
      <c r="F14">
        <f t="shared" si="4"/>
        <v>2019</v>
      </c>
      <c r="G14">
        <f t="shared" si="5"/>
        <v>11</v>
      </c>
      <c r="H14">
        <f t="shared" si="6"/>
        <v>11.666666666664241</v>
      </c>
      <c r="I14" s="140">
        <f>VLOOKUP($A14,IF(C14=1,Pre12.11.19!$A$17:$O$40,IF(C14=2,Pre13.11.19!$A$17:$O$40,IF(C14=3,Pre14.11.19!$A$17:$O$40,IF(C14=4,Pre15.11.19!$A$17:$O$40,IF(C14=5,Inc18.11.19!$A$17:$O$40,IF(C14=6,Inc21.11.19!$A$17:$O$40,Inc22.11.19!$A$17:$O$28)))))),2,FALSE)</f>
        <v>43782.611111111109</v>
      </c>
      <c r="J14">
        <f t="shared" si="7"/>
        <v>2019</v>
      </c>
      <c r="K14">
        <f t="shared" si="8"/>
        <v>11</v>
      </c>
      <c r="L14">
        <f t="shared" si="9"/>
        <v>13.611111111109494</v>
      </c>
      <c r="M14" t="s">
        <v>351</v>
      </c>
      <c r="N14" s="10">
        <f t="shared" si="10"/>
        <v>1.9444444444452529</v>
      </c>
      <c r="O14">
        <f>IFERROR(VLOOKUP($A14,IF(C14=1,Pre12.11.19!$A$17:$O$40,IF(C14=2,Pre13.11.19!$A$17:$O$40,IF(C14=3,Pre14.11.19!$A$17:$O$40,IF(C14=4,Pre15.11.19!$A$17:$O$40,IF(C14=5,Inc18.11.19!$A$17:$O$40,IF(C14=6,Inc21.11.19!$A$17:$O$40,Inc22.11.19!$A$17:$O$28)))))),14,FALSE),"")</f>
        <v>15.228832795008458</v>
      </c>
      <c r="P14" s="10">
        <f t="shared" si="11"/>
        <v>1.9444444444452529</v>
      </c>
    </row>
    <row r="15" spans="1:16">
      <c r="A15" t="s">
        <v>153</v>
      </c>
      <c r="B15" t="str">
        <f t="shared" si="2"/>
        <v>HEW22</v>
      </c>
      <c r="C15">
        <f t="shared" ref="C15:C78" si="13">C14</f>
        <v>2</v>
      </c>
      <c r="D15" t="str">
        <f t="shared" si="3"/>
        <v/>
      </c>
      <c r="E15">
        <f>VLOOKUP($A15,Pre12.11.19!$A$17:$N$29,9,FALSE)</f>
        <v>43780.666666666664</v>
      </c>
      <c r="F15">
        <f t="shared" si="4"/>
        <v>2019</v>
      </c>
      <c r="G15">
        <f t="shared" si="5"/>
        <v>11</v>
      </c>
      <c r="H15">
        <f t="shared" si="6"/>
        <v>11.666666666664241</v>
      </c>
      <c r="I15" s="140">
        <f>VLOOKUP($A15,IF(C15=1,Pre12.11.19!$A$17:$O$40,IF(C15=2,Pre13.11.19!$A$17:$O$40,IF(C15=3,Pre14.11.19!$A$17:$O$40,IF(C15=4,Pre15.11.19!$A$17:$O$40,IF(C15=5,Inc18.11.19!$A$17:$O$40,IF(C15=6,Inc21.11.19!$A$17:$O$40,Inc22.11.19!$A$17:$O$28)))))),2,FALSE)</f>
        <v>43782.611111111109</v>
      </c>
      <c r="J15">
        <f t="shared" si="7"/>
        <v>2019</v>
      </c>
      <c r="K15">
        <f t="shared" si="8"/>
        <v>11</v>
      </c>
      <c r="L15">
        <f t="shared" si="9"/>
        <v>13.611111111109494</v>
      </c>
      <c r="M15" t="s">
        <v>351</v>
      </c>
      <c r="N15" s="10">
        <f t="shared" si="10"/>
        <v>1.9444444444452529</v>
      </c>
      <c r="O15">
        <f>IFERROR(VLOOKUP($A15,IF(C15=1,Pre12.11.19!$A$17:$O$40,IF(C15=2,Pre13.11.19!$A$17:$O$40,IF(C15=3,Pre14.11.19!$A$17:$O$40,IF(C15=4,Pre15.11.19!$A$17:$O$40,IF(C15=5,Inc18.11.19!$A$17:$O$40,IF(C15=6,Inc21.11.19!$A$17:$O$40,Inc22.11.19!$A$17:$O$28)))))),14,FALSE),"")</f>
        <v>15.264973552943022</v>
      </c>
      <c r="P15" s="10">
        <f t="shared" si="11"/>
        <v>1.9444444444452529</v>
      </c>
    </row>
    <row r="16" spans="1:16">
      <c r="A16" t="s">
        <v>154</v>
      </c>
      <c r="B16" t="str">
        <f t="shared" si="2"/>
        <v>HEW41</v>
      </c>
      <c r="C16">
        <f t="shared" si="13"/>
        <v>2</v>
      </c>
      <c r="D16" t="str">
        <f t="shared" si="3"/>
        <v/>
      </c>
      <c r="E16">
        <f>VLOOKUP($A16,Pre12.11.19!$A$17:$N$29,9,FALSE)</f>
        <v>43780.666666666664</v>
      </c>
      <c r="F16">
        <f t="shared" si="4"/>
        <v>2019</v>
      </c>
      <c r="G16">
        <f t="shared" si="5"/>
        <v>11</v>
      </c>
      <c r="H16">
        <f t="shared" si="6"/>
        <v>11.666666666664241</v>
      </c>
      <c r="I16" s="140">
        <f>VLOOKUP($A16,IF(C16=1,Pre12.11.19!$A$17:$O$40,IF(C16=2,Pre13.11.19!$A$17:$O$40,IF(C16=3,Pre14.11.19!$A$17:$O$40,IF(C16=4,Pre15.11.19!$A$17:$O$40,IF(C16=5,Inc18.11.19!$A$17:$O$40,IF(C16=6,Inc21.11.19!$A$17:$O$40,Inc22.11.19!$A$17:$O$28)))))),2,FALSE)</f>
        <v>43782.611111111109</v>
      </c>
      <c r="J16">
        <f t="shared" si="7"/>
        <v>2019</v>
      </c>
      <c r="K16">
        <f t="shared" si="8"/>
        <v>11</v>
      </c>
      <c r="L16">
        <f t="shared" si="9"/>
        <v>13.611111111109494</v>
      </c>
      <c r="M16" t="s">
        <v>351</v>
      </c>
      <c r="N16" s="10">
        <f t="shared" si="10"/>
        <v>1.9444444444452529</v>
      </c>
      <c r="O16">
        <f>IFERROR(VLOOKUP($A16,IF(C16=1,Pre12.11.19!$A$17:$O$40,IF(C16=2,Pre13.11.19!$A$17:$O$40,IF(C16=3,Pre14.11.19!$A$17:$O$40,IF(C16=4,Pre15.11.19!$A$17:$O$40,IF(C16=5,Inc18.11.19!$A$17:$O$40,IF(C16=6,Inc21.11.19!$A$17:$O$40,Inc22.11.19!$A$17:$O$28)))))),14,FALSE),"")</f>
        <v>11.735135943703678</v>
      </c>
      <c r="P16" s="10">
        <f t="shared" si="11"/>
        <v>1.9444444444452529</v>
      </c>
    </row>
    <row r="17" spans="1:16">
      <c r="A17" t="s">
        <v>155</v>
      </c>
      <c r="B17" t="str">
        <f t="shared" si="2"/>
        <v>HEW41</v>
      </c>
      <c r="C17">
        <f t="shared" si="13"/>
        <v>2</v>
      </c>
      <c r="D17" t="str">
        <f t="shared" si="3"/>
        <v/>
      </c>
      <c r="E17">
        <f>VLOOKUP($A17,Pre12.11.19!$A$17:$N$29,9,FALSE)</f>
        <v>43780.666666666664</v>
      </c>
      <c r="F17">
        <f t="shared" si="4"/>
        <v>2019</v>
      </c>
      <c r="G17">
        <f t="shared" si="5"/>
        <v>11</v>
      </c>
      <c r="H17">
        <f t="shared" si="6"/>
        <v>11.666666666664241</v>
      </c>
      <c r="I17" s="140">
        <f>VLOOKUP($A17,IF(C17=1,Pre12.11.19!$A$17:$O$40,IF(C17=2,Pre13.11.19!$A$17:$O$40,IF(C17=3,Pre14.11.19!$A$17:$O$40,IF(C17=4,Pre15.11.19!$A$17:$O$40,IF(C17=5,Inc18.11.19!$A$17:$O$40,IF(C17=6,Inc21.11.19!$A$17:$O$40,Inc22.11.19!$A$17:$O$28)))))),2,FALSE)</f>
        <v>43782.611111111109</v>
      </c>
      <c r="J17">
        <f t="shared" si="7"/>
        <v>2019</v>
      </c>
      <c r="K17">
        <f t="shared" si="8"/>
        <v>11</v>
      </c>
      <c r="L17">
        <f t="shared" si="9"/>
        <v>13.611111111109494</v>
      </c>
      <c r="M17" t="s">
        <v>351</v>
      </c>
      <c r="N17" s="10">
        <f t="shared" si="10"/>
        <v>1.9444444444452529</v>
      </c>
      <c r="O17">
        <f>IFERROR(VLOOKUP($A17,IF(C17=1,Pre12.11.19!$A$17:$O$40,IF(C17=2,Pre13.11.19!$A$17:$O$40,IF(C17=3,Pre14.11.19!$A$17:$O$40,IF(C17=4,Pre15.11.19!$A$17:$O$40,IF(C17=5,Inc18.11.19!$A$17:$O$40,IF(C17=6,Inc21.11.19!$A$17:$O$40,Inc22.11.19!$A$17:$O$28)))))),14,FALSE),"")</f>
        <v>12.134052841054569</v>
      </c>
      <c r="P17" s="10">
        <f t="shared" si="11"/>
        <v>1.9444444444452529</v>
      </c>
    </row>
    <row r="18" spans="1:16">
      <c r="A18" t="s">
        <v>156</v>
      </c>
      <c r="B18" t="str">
        <f t="shared" si="2"/>
        <v>HEW42</v>
      </c>
      <c r="C18">
        <f t="shared" si="13"/>
        <v>2</v>
      </c>
      <c r="D18" t="str">
        <f t="shared" si="3"/>
        <v/>
      </c>
      <c r="E18">
        <f>VLOOKUP($A18,Pre12.11.19!$A$17:$N$29,9,FALSE)</f>
        <v>43780.666666666664</v>
      </c>
      <c r="F18">
        <f t="shared" si="4"/>
        <v>2019</v>
      </c>
      <c r="G18">
        <f t="shared" si="5"/>
        <v>11</v>
      </c>
      <c r="H18">
        <f t="shared" si="6"/>
        <v>11.666666666664241</v>
      </c>
      <c r="I18" s="140">
        <f>VLOOKUP($A18,IF(C18=1,Pre12.11.19!$A$17:$O$40,IF(C18=2,Pre13.11.19!$A$17:$O$40,IF(C18=3,Pre14.11.19!$A$17:$O$40,IF(C18=4,Pre15.11.19!$A$17:$O$40,IF(C18=5,Inc18.11.19!$A$17:$O$40,IF(C18=6,Inc21.11.19!$A$17:$O$40,Inc22.11.19!$A$17:$O$28)))))),2,FALSE)</f>
        <v>43782.611111111109</v>
      </c>
      <c r="J18">
        <f t="shared" si="7"/>
        <v>2019</v>
      </c>
      <c r="K18">
        <f t="shared" si="8"/>
        <v>11</v>
      </c>
      <c r="L18">
        <f t="shared" si="9"/>
        <v>13.611111111109494</v>
      </c>
      <c r="M18" t="s">
        <v>351</v>
      </c>
      <c r="N18" s="10">
        <f t="shared" si="10"/>
        <v>1.9444444444452529</v>
      </c>
      <c r="O18">
        <f>IFERROR(VLOOKUP($A18,IF(C18=1,Pre12.11.19!$A$17:$O$40,IF(C18=2,Pre13.11.19!$A$17:$O$40,IF(C18=3,Pre14.11.19!$A$17:$O$40,IF(C18=4,Pre15.11.19!$A$17:$O$40,IF(C18=5,Inc18.11.19!$A$17:$O$40,IF(C18=6,Inc21.11.19!$A$17:$O$40,Inc22.11.19!$A$17:$O$28)))))),14,FALSE),"")</f>
        <v>7.8777458105143712</v>
      </c>
      <c r="P18" s="10">
        <f t="shared" si="11"/>
        <v>1.9444444444452529</v>
      </c>
    </row>
    <row r="19" spans="1:16">
      <c r="A19" t="s">
        <v>157</v>
      </c>
      <c r="B19" t="str">
        <f t="shared" si="2"/>
        <v>HEW42</v>
      </c>
      <c r="C19">
        <f t="shared" si="13"/>
        <v>2</v>
      </c>
      <c r="D19" t="str">
        <f t="shared" si="3"/>
        <v/>
      </c>
      <c r="E19">
        <f>VLOOKUP($A19,Pre12.11.19!$A$17:$N$29,9,FALSE)</f>
        <v>43780.666666666664</v>
      </c>
      <c r="F19">
        <f t="shared" si="4"/>
        <v>2019</v>
      </c>
      <c r="G19">
        <f t="shared" si="5"/>
        <v>11</v>
      </c>
      <c r="H19">
        <f t="shared" si="6"/>
        <v>11.666666666664241</v>
      </c>
      <c r="I19" s="140">
        <f>VLOOKUP($A19,IF(C19=1,Pre12.11.19!$A$17:$O$40,IF(C19=2,Pre13.11.19!$A$17:$O$40,IF(C19=3,Pre14.11.19!$A$17:$O$40,IF(C19=4,Pre15.11.19!$A$17:$O$40,IF(C19=5,Inc18.11.19!$A$17:$O$40,IF(C19=6,Inc21.11.19!$A$17:$O$40,Inc22.11.19!$A$17:$O$28)))))),2,FALSE)</f>
        <v>43782.611111111109</v>
      </c>
      <c r="J19">
        <f t="shared" si="7"/>
        <v>2019</v>
      </c>
      <c r="K19">
        <f t="shared" si="8"/>
        <v>11</v>
      </c>
      <c r="L19">
        <f t="shared" si="9"/>
        <v>13.611111111109494</v>
      </c>
      <c r="M19" t="s">
        <v>351</v>
      </c>
      <c r="N19" s="10">
        <f t="shared" si="10"/>
        <v>1.9444444444452529</v>
      </c>
      <c r="O19">
        <f>IFERROR(VLOOKUP($A19,IF(C19=1,Pre12.11.19!$A$17:$O$40,IF(C19=2,Pre13.11.19!$A$17:$O$40,IF(C19=3,Pre14.11.19!$A$17:$O$40,IF(C19=4,Pre15.11.19!$A$17:$O$40,IF(C19=5,Inc18.11.19!$A$17:$O$40,IF(C19=6,Inc21.11.19!$A$17:$O$40,Inc22.11.19!$A$17:$O$28)))))),14,FALSE),"")</f>
        <v>7.6322484676149482</v>
      </c>
      <c r="P19" s="10">
        <f t="shared" si="11"/>
        <v>1.9444444444452529</v>
      </c>
    </row>
    <row r="20" spans="1:16">
      <c r="A20" t="s">
        <v>158</v>
      </c>
      <c r="B20" t="str">
        <f t="shared" si="2"/>
        <v>HEG10</v>
      </c>
      <c r="C20">
        <f t="shared" si="13"/>
        <v>2</v>
      </c>
      <c r="D20" t="str">
        <f t="shared" si="3"/>
        <v/>
      </c>
      <c r="E20">
        <f>VLOOKUP($A20,Pre12.11.19!$A$17:$N$29,9,FALSE)</f>
        <v>43780.666666666664</v>
      </c>
      <c r="F20">
        <f t="shared" si="4"/>
        <v>2019</v>
      </c>
      <c r="G20">
        <f t="shared" si="5"/>
        <v>11</v>
      </c>
      <c r="H20">
        <f t="shared" si="6"/>
        <v>11.666666666664241</v>
      </c>
      <c r="I20" s="140">
        <f>VLOOKUP($A20,IF(C20=1,Pre12.11.19!$A$17:$O$40,IF(C20=2,Pre13.11.19!$A$17:$O$40,IF(C20=3,Pre14.11.19!$A$17:$O$40,IF(C20=4,Pre15.11.19!$A$17:$O$40,IF(C20=5,Inc18.11.19!$A$17:$O$40,IF(C20=6,Inc21.11.19!$A$17:$O$40,Inc22.11.19!$A$17:$O$28)))))),2,FALSE)</f>
        <v>43782.611111111109</v>
      </c>
      <c r="J20">
        <f t="shared" si="7"/>
        <v>2019</v>
      </c>
      <c r="K20">
        <f t="shared" si="8"/>
        <v>11</v>
      </c>
      <c r="L20">
        <f t="shared" si="9"/>
        <v>13.611111111109494</v>
      </c>
      <c r="M20" t="s">
        <v>351</v>
      </c>
      <c r="N20" s="10">
        <f t="shared" si="10"/>
        <v>1.9444444444452529</v>
      </c>
      <c r="O20">
        <f>IFERROR(VLOOKUP($A20,IF(C20=1,Pre12.11.19!$A$17:$O$40,IF(C20=2,Pre13.11.19!$A$17:$O$40,IF(C20=3,Pre14.11.19!$A$17:$O$40,IF(C20=4,Pre15.11.19!$A$17:$O$40,IF(C20=5,Inc18.11.19!$A$17:$O$40,IF(C20=6,Inc21.11.19!$A$17:$O$40,Inc22.11.19!$A$17:$O$28)))))),14,FALSE),"")</f>
        <v>25.778197985505305</v>
      </c>
      <c r="P20" s="10">
        <f t="shared" si="11"/>
        <v>1.9444444444452529</v>
      </c>
    </row>
    <row r="21" spans="1:16">
      <c r="A21" t="s">
        <v>159</v>
      </c>
      <c r="B21" t="str">
        <f t="shared" si="2"/>
        <v>HEG10</v>
      </c>
      <c r="C21">
        <f t="shared" si="13"/>
        <v>2</v>
      </c>
      <c r="D21" t="str">
        <f t="shared" si="3"/>
        <v/>
      </c>
      <c r="E21">
        <f>VLOOKUP($A21,Pre12.11.19!$A$17:$N$29,9,FALSE)</f>
        <v>43780.666666666664</v>
      </c>
      <c r="F21">
        <f t="shared" si="4"/>
        <v>2019</v>
      </c>
      <c r="G21">
        <f t="shared" si="5"/>
        <v>11</v>
      </c>
      <c r="H21">
        <f t="shared" si="6"/>
        <v>11.666666666664241</v>
      </c>
      <c r="I21" s="140">
        <f>VLOOKUP($A21,IF(C21=1,Pre12.11.19!$A$17:$O$40,IF(C21=2,Pre13.11.19!$A$17:$O$40,IF(C21=3,Pre14.11.19!$A$17:$O$40,IF(C21=4,Pre15.11.19!$A$17:$O$40,IF(C21=5,Inc18.11.19!$A$17:$O$40,IF(C21=6,Inc21.11.19!$A$17:$O$40,Inc22.11.19!$A$17:$O$28)))))),2,FALSE)</f>
        <v>43782.611111111109</v>
      </c>
      <c r="J21">
        <f t="shared" si="7"/>
        <v>2019</v>
      </c>
      <c r="K21">
        <f t="shared" si="8"/>
        <v>11</v>
      </c>
      <c r="L21">
        <f t="shared" si="9"/>
        <v>13.611111111109494</v>
      </c>
      <c r="M21" t="s">
        <v>351</v>
      </c>
      <c r="N21" s="10">
        <f t="shared" si="10"/>
        <v>1.9444444444452529</v>
      </c>
      <c r="O21">
        <f>IFERROR(VLOOKUP($A21,IF(C21=1,Pre12.11.19!$A$17:$O$40,IF(C21=2,Pre13.11.19!$A$17:$O$40,IF(C21=3,Pre14.11.19!$A$17:$O$40,IF(C21=4,Pre15.11.19!$A$17:$O$40,IF(C21=5,Inc18.11.19!$A$17:$O$40,IF(C21=6,Inc21.11.19!$A$17:$O$40,Inc22.11.19!$A$17:$O$28)))))),14,FALSE),"")</f>
        <v>25.01678042036313</v>
      </c>
      <c r="P21" s="10">
        <f t="shared" si="11"/>
        <v>1.9444444444452529</v>
      </c>
    </row>
    <row r="22" spans="1:16">
      <c r="A22" t="s">
        <v>160</v>
      </c>
      <c r="B22" t="str">
        <f t="shared" si="2"/>
        <v>HEG32</v>
      </c>
      <c r="C22">
        <f t="shared" si="13"/>
        <v>2</v>
      </c>
      <c r="D22" t="str">
        <f t="shared" si="3"/>
        <v/>
      </c>
      <c r="E22">
        <f>VLOOKUP($A22,Pre12.11.19!$A$17:$N$29,9,FALSE)</f>
        <v>43780.666666666664</v>
      </c>
      <c r="F22">
        <f t="shared" si="4"/>
        <v>2019</v>
      </c>
      <c r="G22">
        <f t="shared" si="5"/>
        <v>11</v>
      </c>
      <c r="H22">
        <f t="shared" si="6"/>
        <v>11.666666666664241</v>
      </c>
      <c r="I22" s="140">
        <f>VLOOKUP($A22,IF(C22=1,Pre12.11.19!$A$17:$O$40,IF(C22=2,Pre13.11.19!$A$17:$O$40,IF(C22=3,Pre14.11.19!$A$17:$O$40,IF(C22=4,Pre15.11.19!$A$17:$O$40,IF(C22=5,Inc18.11.19!$A$17:$O$40,IF(C22=6,Inc21.11.19!$A$17:$O$40,Inc22.11.19!$A$17:$O$28)))))),2,FALSE)</f>
        <v>43782.611111111109</v>
      </c>
      <c r="J22">
        <f t="shared" si="7"/>
        <v>2019</v>
      </c>
      <c r="K22">
        <f t="shared" si="8"/>
        <v>11</v>
      </c>
      <c r="L22">
        <f t="shared" si="9"/>
        <v>13.611111111109494</v>
      </c>
      <c r="M22" t="s">
        <v>351</v>
      </c>
      <c r="N22" s="10">
        <f t="shared" si="10"/>
        <v>1.9444444444452529</v>
      </c>
      <c r="O22">
        <f>IFERROR(VLOOKUP($A22,IF(C22=1,Pre12.11.19!$A$17:$O$40,IF(C22=2,Pre13.11.19!$A$17:$O$40,IF(C22=3,Pre14.11.19!$A$17:$O$40,IF(C22=4,Pre15.11.19!$A$17:$O$40,IF(C22=5,Inc18.11.19!$A$17:$O$40,IF(C22=6,Inc21.11.19!$A$17:$O$40,Inc22.11.19!$A$17:$O$28)))))),14,FALSE),"")</f>
        <v>27.209173170538254</v>
      </c>
      <c r="P22" s="10">
        <f t="shared" si="11"/>
        <v>1.9444444444452529</v>
      </c>
    </row>
    <row r="23" spans="1:16">
      <c r="A23" t="s">
        <v>161</v>
      </c>
      <c r="B23" t="str">
        <f t="shared" si="2"/>
        <v>HEG32</v>
      </c>
      <c r="C23">
        <f t="shared" si="13"/>
        <v>2</v>
      </c>
      <c r="D23" t="str">
        <f t="shared" si="3"/>
        <v/>
      </c>
      <c r="E23">
        <f>VLOOKUP($A23,Pre12.11.19!$A$17:$N$29,9,FALSE)</f>
        <v>43780.666666666664</v>
      </c>
      <c r="F23">
        <f t="shared" si="4"/>
        <v>2019</v>
      </c>
      <c r="G23">
        <f t="shared" si="5"/>
        <v>11</v>
      </c>
      <c r="H23">
        <f t="shared" si="6"/>
        <v>11.666666666664241</v>
      </c>
      <c r="I23" s="140">
        <f>VLOOKUP($A23,IF(C23=1,Pre12.11.19!$A$17:$O$40,IF(C23=2,Pre13.11.19!$A$17:$O$40,IF(C23=3,Pre14.11.19!$A$17:$O$40,IF(C23=4,Pre15.11.19!$A$17:$O$40,IF(C23=5,Inc18.11.19!$A$17:$O$40,IF(C23=6,Inc21.11.19!$A$17:$O$40,Inc22.11.19!$A$17:$O$28)))))),2,FALSE)</f>
        <v>43782.611111111109</v>
      </c>
      <c r="J23">
        <f t="shared" si="7"/>
        <v>2019</v>
      </c>
      <c r="K23">
        <f t="shared" si="8"/>
        <v>11</v>
      </c>
      <c r="L23">
        <f t="shared" si="9"/>
        <v>13.611111111109494</v>
      </c>
      <c r="M23" t="s">
        <v>351</v>
      </c>
      <c r="N23" s="10">
        <f t="shared" si="10"/>
        <v>1.9444444444452529</v>
      </c>
      <c r="O23">
        <f>IFERROR(VLOOKUP($A23,IF(C23=1,Pre12.11.19!$A$17:$O$40,IF(C23=2,Pre13.11.19!$A$17:$O$40,IF(C23=3,Pre14.11.19!$A$17:$O$40,IF(C23=4,Pre15.11.19!$A$17:$O$40,IF(C23=5,Inc18.11.19!$A$17:$O$40,IF(C23=6,Inc21.11.19!$A$17:$O$40,Inc22.11.19!$A$17:$O$28)))))),14,FALSE),"")</f>
        <v>27.887949291641046</v>
      </c>
      <c r="P23" s="10">
        <f t="shared" si="11"/>
        <v>1.9444444444452529</v>
      </c>
    </row>
    <row r="24" spans="1:16">
      <c r="A24" t="s">
        <v>162</v>
      </c>
      <c r="B24" t="str">
        <f t="shared" si="2"/>
        <v>HEG48</v>
      </c>
      <c r="C24">
        <f t="shared" si="13"/>
        <v>2</v>
      </c>
      <c r="D24" t="str">
        <f t="shared" si="3"/>
        <v/>
      </c>
      <c r="E24">
        <f>VLOOKUP($A24,Pre12.11.19!$A$17:$N$29,9,FALSE)</f>
        <v>43780.666666666664</v>
      </c>
      <c r="F24">
        <f t="shared" si="4"/>
        <v>2019</v>
      </c>
      <c r="G24">
        <f t="shared" si="5"/>
        <v>11</v>
      </c>
      <c r="H24">
        <f t="shared" si="6"/>
        <v>11.666666666664241</v>
      </c>
      <c r="I24" s="140">
        <f>VLOOKUP($A24,IF(C24=1,Pre12.11.19!$A$17:$O$40,IF(C24=2,Pre13.11.19!$A$17:$O$40,IF(C24=3,Pre14.11.19!$A$17:$O$40,IF(C24=4,Pre15.11.19!$A$17:$O$40,IF(C24=5,Inc18.11.19!$A$17:$O$40,IF(C24=6,Inc21.11.19!$A$17:$O$40,Inc22.11.19!$A$17:$O$28)))))),2,FALSE)</f>
        <v>43782.611111111109</v>
      </c>
      <c r="J24">
        <f t="shared" si="7"/>
        <v>2019</v>
      </c>
      <c r="K24">
        <f t="shared" si="8"/>
        <v>11</v>
      </c>
      <c r="L24">
        <f t="shared" si="9"/>
        <v>13.611111111109494</v>
      </c>
      <c r="M24" t="s">
        <v>351</v>
      </c>
      <c r="N24" s="10">
        <f t="shared" si="10"/>
        <v>1.9444444444452529</v>
      </c>
      <c r="O24">
        <f>IFERROR(VLOOKUP($A24,IF(C24=1,Pre12.11.19!$A$17:$O$40,IF(C24=2,Pre13.11.19!$A$17:$O$40,IF(C24=3,Pre14.11.19!$A$17:$O$40,IF(C24=4,Pre15.11.19!$A$17:$O$40,IF(C24=5,Inc18.11.19!$A$17:$O$40,IF(C24=6,Inc21.11.19!$A$17:$O$40,Inc22.11.19!$A$17:$O$28)))))),14,FALSE),"")</f>
        <v>24.045024107633413</v>
      </c>
      <c r="P24" s="10">
        <f t="shared" si="11"/>
        <v>1.9444444444452529</v>
      </c>
    </row>
    <row r="25" spans="1:16">
      <c r="A25" t="s">
        <v>163</v>
      </c>
      <c r="B25" t="str">
        <f t="shared" si="2"/>
        <v>HEG48</v>
      </c>
      <c r="C25">
        <f t="shared" si="13"/>
        <v>2</v>
      </c>
      <c r="D25" t="str">
        <f t="shared" si="3"/>
        <v/>
      </c>
      <c r="E25">
        <f>VLOOKUP($A25,Pre12.11.19!$A$17:$N$29,9,FALSE)</f>
        <v>43780.666666666664</v>
      </c>
      <c r="F25">
        <f t="shared" si="4"/>
        <v>2019</v>
      </c>
      <c r="G25">
        <f t="shared" si="5"/>
        <v>11</v>
      </c>
      <c r="H25">
        <f t="shared" si="6"/>
        <v>11.666666666664241</v>
      </c>
      <c r="I25" s="140">
        <f>VLOOKUP($A25,IF(C25=1,Pre12.11.19!$A$17:$O$40,IF(C25=2,Pre13.11.19!$A$17:$O$40,IF(C25=3,Pre14.11.19!$A$17:$O$40,IF(C25=4,Pre15.11.19!$A$17:$O$40,IF(C25=5,Inc18.11.19!$A$17:$O$40,IF(C25=6,Inc21.11.19!$A$17:$O$40,Inc22.11.19!$A$17:$O$28)))))),2,FALSE)</f>
        <v>43782.611111111109</v>
      </c>
      <c r="J25">
        <f t="shared" si="7"/>
        <v>2019</v>
      </c>
      <c r="K25">
        <f t="shared" si="8"/>
        <v>11</v>
      </c>
      <c r="L25">
        <f t="shared" si="9"/>
        <v>13.611111111109494</v>
      </c>
      <c r="M25" t="s">
        <v>351</v>
      </c>
      <c r="N25" s="10">
        <f t="shared" si="10"/>
        <v>1.9444444444452529</v>
      </c>
      <c r="O25">
        <f>IFERROR(VLOOKUP($A25,IF(C25=1,Pre12.11.19!$A$17:$O$40,IF(C25=2,Pre13.11.19!$A$17:$O$40,IF(C25=3,Pre14.11.19!$A$17:$O$40,IF(C25=4,Pre15.11.19!$A$17:$O$40,IF(C25=5,Inc18.11.19!$A$17:$O$40,IF(C25=6,Inc21.11.19!$A$17:$O$40,Inc22.11.19!$A$17:$O$28)))))),14,FALSE),"")</f>
        <v>23.3673673907855</v>
      </c>
      <c r="P25" s="10">
        <f t="shared" si="11"/>
        <v>1.9444444444452529</v>
      </c>
    </row>
    <row r="26" spans="1:16">
      <c r="A26" t="s">
        <v>152</v>
      </c>
      <c r="B26" t="str">
        <f t="shared" si="2"/>
        <v>HEW22</v>
      </c>
      <c r="C26">
        <v>3</v>
      </c>
      <c r="D26" t="str">
        <f t="shared" si="3"/>
        <v/>
      </c>
      <c r="E26">
        <f>VLOOKUP($A26,Pre12.11.19!$A$17:$N$29,9,FALSE)</f>
        <v>43780.666666666664</v>
      </c>
      <c r="F26">
        <f t="shared" si="4"/>
        <v>2019</v>
      </c>
      <c r="G26">
        <f t="shared" si="5"/>
        <v>11</v>
      </c>
      <c r="H26">
        <f t="shared" si="6"/>
        <v>11.666666666664241</v>
      </c>
      <c r="I26" s="140">
        <f>VLOOKUP($A26,IF(C26=1,Pre12.11.19!$A$17:$O$40,IF(C26=2,Pre13.11.19!$A$17:$O$40,IF(C26=3,Pre14.11.19!$A$17:$O$40,IF(C26=4,Pre15.11.19!$A$17:$O$40,IF(C26=5,Inc18.11.19!$A$17:$O$40,IF(C26=6,Inc21.11.19!$A$17:$O$40,Inc22.11.19!$A$17:$O$28)))))),2,FALSE)</f>
        <v>43783.572916666664</v>
      </c>
      <c r="J26">
        <f t="shared" si="7"/>
        <v>2019</v>
      </c>
      <c r="K26">
        <f t="shared" si="8"/>
        <v>11</v>
      </c>
      <c r="L26">
        <f t="shared" si="9"/>
        <v>14.572916666664241</v>
      </c>
      <c r="M26" t="s">
        <v>351</v>
      </c>
      <c r="N26" s="10">
        <f t="shared" si="10"/>
        <v>2.90625</v>
      </c>
      <c r="O26">
        <f>IFERROR(VLOOKUP($A26,IF(C26=1,Pre12.11.19!$A$17:$O$40,IF(C26=2,Pre13.11.19!$A$17:$O$40,IF(C26=3,Pre14.11.19!$A$17:$O$40,IF(C26=4,Pre15.11.19!$A$17:$O$40,IF(C26=5,Inc18.11.19!$A$17:$O$40,IF(C26=6,Inc21.11.19!$A$17:$O$40,Inc22.11.19!$A$17:$O$28)))))),14,FALSE),"")</f>
        <v>23.21929483905565</v>
      </c>
      <c r="P26" s="10">
        <f t="shared" si="11"/>
        <v>2.90625</v>
      </c>
    </row>
    <row r="27" spans="1:16">
      <c r="A27" t="s">
        <v>153</v>
      </c>
      <c r="B27" t="str">
        <f t="shared" si="2"/>
        <v>HEW22</v>
      </c>
      <c r="C27">
        <f t="shared" ref="C27" si="14">C26</f>
        <v>3</v>
      </c>
      <c r="D27" t="str">
        <f t="shared" si="3"/>
        <v/>
      </c>
      <c r="E27">
        <f>VLOOKUP($A27,Pre12.11.19!$A$17:$N$29,9,FALSE)</f>
        <v>43780.666666666664</v>
      </c>
      <c r="F27">
        <f t="shared" si="4"/>
        <v>2019</v>
      </c>
      <c r="G27">
        <f t="shared" si="5"/>
        <v>11</v>
      </c>
      <c r="H27">
        <f t="shared" si="6"/>
        <v>11.666666666664241</v>
      </c>
      <c r="I27" s="140">
        <f>VLOOKUP($A27,IF(C27=1,Pre12.11.19!$A$17:$O$40,IF(C27=2,Pre13.11.19!$A$17:$O$40,IF(C27=3,Pre14.11.19!$A$17:$O$40,IF(C27=4,Pre15.11.19!$A$17:$O$40,IF(C27=5,Inc18.11.19!$A$17:$O$40,IF(C27=6,Inc21.11.19!$A$17:$O$40,Inc22.11.19!$A$17:$O$28)))))),2,FALSE)</f>
        <v>43783.572916666664</v>
      </c>
      <c r="J27">
        <f t="shared" si="7"/>
        <v>2019</v>
      </c>
      <c r="K27">
        <f t="shared" si="8"/>
        <v>11</v>
      </c>
      <c r="L27">
        <f t="shared" si="9"/>
        <v>14.572916666664241</v>
      </c>
      <c r="M27" t="s">
        <v>351</v>
      </c>
      <c r="N27" s="10">
        <f t="shared" si="10"/>
        <v>2.90625</v>
      </c>
      <c r="O27">
        <f>IFERROR(VLOOKUP($A27,IF(C27=1,Pre12.11.19!$A$17:$O$40,IF(C27=2,Pre13.11.19!$A$17:$O$40,IF(C27=3,Pre14.11.19!$A$17:$O$40,IF(C27=4,Pre15.11.19!$A$17:$O$40,IF(C27=5,Inc18.11.19!$A$17:$O$40,IF(C27=6,Inc21.11.19!$A$17:$O$40,Inc22.11.19!$A$17:$O$28)))))),14,FALSE),"")</f>
        <v>24.544041477053153</v>
      </c>
      <c r="P27" s="10">
        <f t="shared" si="11"/>
        <v>2.90625</v>
      </c>
    </row>
    <row r="28" spans="1:16">
      <c r="A28" t="s">
        <v>154</v>
      </c>
      <c r="B28" t="str">
        <f t="shared" si="2"/>
        <v>HEW41</v>
      </c>
      <c r="C28">
        <f t="shared" si="13"/>
        <v>3</v>
      </c>
      <c r="D28" t="str">
        <f t="shared" si="3"/>
        <v/>
      </c>
      <c r="E28">
        <f>VLOOKUP($A28,Pre12.11.19!$A$17:$N$29,9,FALSE)</f>
        <v>43780.666666666664</v>
      </c>
      <c r="F28">
        <f t="shared" si="4"/>
        <v>2019</v>
      </c>
      <c r="G28">
        <f t="shared" si="5"/>
        <v>11</v>
      </c>
      <c r="H28">
        <f t="shared" si="6"/>
        <v>11.666666666664241</v>
      </c>
      <c r="I28" s="140">
        <f>VLOOKUP($A28,IF(C28=1,Pre12.11.19!$A$17:$O$40,IF(C28=2,Pre13.11.19!$A$17:$O$40,IF(C28=3,Pre14.11.19!$A$17:$O$40,IF(C28=4,Pre15.11.19!$A$17:$O$40,IF(C28=5,Inc18.11.19!$A$17:$O$40,IF(C28=6,Inc21.11.19!$A$17:$O$40,Inc22.11.19!$A$17:$O$28)))))),2,FALSE)</f>
        <v>43783.572916666664</v>
      </c>
      <c r="J28">
        <f t="shared" si="7"/>
        <v>2019</v>
      </c>
      <c r="K28">
        <f t="shared" si="8"/>
        <v>11</v>
      </c>
      <c r="L28">
        <f t="shared" si="9"/>
        <v>14.572916666664241</v>
      </c>
      <c r="M28" t="s">
        <v>351</v>
      </c>
      <c r="N28" s="10">
        <f t="shared" si="10"/>
        <v>2.90625</v>
      </c>
      <c r="O28">
        <f>IFERROR(VLOOKUP($A28,IF(C28=1,Pre12.11.19!$A$17:$O$40,IF(C28=2,Pre13.11.19!$A$17:$O$40,IF(C28=3,Pre14.11.19!$A$17:$O$40,IF(C28=4,Pre15.11.19!$A$17:$O$40,IF(C28=5,Inc18.11.19!$A$17:$O$40,IF(C28=6,Inc21.11.19!$A$17:$O$40,Inc22.11.19!$A$17:$O$28)))))),14,FALSE),"")</f>
        <v>16.330320081141672</v>
      </c>
      <c r="P28" s="10">
        <f t="shared" si="11"/>
        <v>2.90625</v>
      </c>
    </row>
    <row r="29" spans="1:16">
      <c r="A29" t="s">
        <v>155</v>
      </c>
      <c r="B29" t="str">
        <f t="shared" si="2"/>
        <v>HEW41</v>
      </c>
      <c r="C29">
        <f t="shared" si="13"/>
        <v>3</v>
      </c>
      <c r="D29" t="str">
        <f t="shared" si="3"/>
        <v/>
      </c>
      <c r="E29">
        <f>VLOOKUP($A29,Pre12.11.19!$A$17:$N$29,9,FALSE)</f>
        <v>43780.666666666664</v>
      </c>
      <c r="F29">
        <f t="shared" si="4"/>
        <v>2019</v>
      </c>
      <c r="G29">
        <f t="shared" si="5"/>
        <v>11</v>
      </c>
      <c r="H29">
        <f t="shared" si="6"/>
        <v>11.666666666664241</v>
      </c>
      <c r="I29" s="140">
        <f>VLOOKUP($A29,IF(C29=1,Pre12.11.19!$A$17:$O$40,IF(C29=2,Pre13.11.19!$A$17:$O$40,IF(C29=3,Pre14.11.19!$A$17:$O$40,IF(C29=4,Pre15.11.19!$A$17:$O$40,IF(C29=5,Inc18.11.19!$A$17:$O$40,IF(C29=6,Inc21.11.19!$A$17:$O$40,Inc22.11.19!$A$17:$O$28)))))),2,FALSE)</f>
        <v>43783.572916666664</v>
      </c>
      <c r="J29">
        <f t="shared" si="7"/>
        <v>2019</v>
      </c>
      <c r="K29">
        <f t="shared" si="8"/>
        <v>11</v>
      </c>
      <c r="L29">
        <f t="shared" si="9"/>
        <v>14.572916666664241</v>
      </c>
      <c r="M29" t="s">
        <v>351</v>
      </c>
      <c r="N29" s="10">
        <f t="shared" si="10"/>
        <v>2.90625</v>
      </c>
      <c r="O29">
        <f>IFERROR(VLOOKUP($A29,IF(C29=1,Pre12.11.19!$A$17:$O$40,IF(C29=2,Pre13.11.19!$A$17:$O$40,IF(C29=3,Pre14.11.19!$A$17:$O$40,IF(C29=4,Pre15.11.19!$A$17:$O$40,IF(C29=5,Inc18.11.19!$A$17:$O$40,IF(C29=6,Inc21.11.19!$A$17:$O$40,Inc22.11.19!$A$17:$O$28)))))),14,FALSE),"")</f>
        <v>18.268359874462707</v>
      </c>
      <c r="P29" s="10">
        <f t="shared" si="11"/>
        <v>2.90625</v>
      </c>
    </row>
    <row r="30" spans="1:16">
      <c r="A30" t="s">
        <v>156</v>
      </c>
      <c r="B30" t="str">
        <f t="shared" si="2"/>
        <v>HEW42</v>
      </c>
      <c r="C30">
        <f t="shared" si="13"/>
        <v>3</v>
      </c>
      <c r="D30" t="str">
        <f t="shared" si="3"/>
        <v/>
      </c>
      <c r="E30">
        <f>VLOOKUP($A30,Pre12.11.19!$A$17:$N$29,9,FALSE)</f>
        <v>43780.666666666664</v>
      </c>
      <c r="F30">
        <f t="shared" si="4"/>
        <v>2019</v>
      </c>
      <c r="G30">
        <f t="shared" si="5"/>
        <v>11</v>
      </c>
      <c r="H30">
        <f t="shared" si="6"/>
        <v>11.666666666664241</v>
      </c>
      <c r="I30" s="140">
        <f>VLOOKUP($A30,IF(C30=1,Pre12.11.19!$A$17:$O$40,IF(C30=2,Pre13.11.19!$A$17:$O$40,IF(C30=3,Pre14.11.19!$A$17:$O$40,IF(C30=4,Pre15.11.19!$A$17:$O$40,IF(C30=5,Inc18.11.19!$A$17:$O$40,IF(C30=6,Inc21.11.19!$A$17:$O$40,Inc22.11.19!$A$17:$O$28)))))),2,FALSE)</f>
        <v>43783.572916666664</v>
      </c>
      <c r="J30">
        <f t="shared" si="7"/>
        <v>2019</v>
      </c>
      <c r="K30">
        <f t="shared" si="8"/>
        <v>11</v>
      </c>
      <c r="L30">
        <f t="shared" si="9"/>
        <v>14.572916666664241</v>
      </c>
      <c r="M30" t="s">
        <v>351</v>
      </c>
      <c r="N30" s="10">
        <f t="shared" si="10"/>
        <v>2.90625</v>
      </c>
      <c r="O30">
        <f>IFERROR(VLOOKUP($A30,IF(C30=1,Pre12.11.19!$A$17:$O$40,IF(C30=2,Pre13.11.19!$A$17:$O$40,IF(C30=3,Pre14.11.19!$A$17:$O$40,IF(C30=4,Pre15.11.19!$A$17:$O$40,IF(C30=5,Inc18.11.19!$A$17:$O$40,IF(C30=6,Inc21.11.19!$A$17:$O$40,Inc22.11.19!$A$17:$O$28)))))),14,FALSE),"")</f>
        <v>12.854964682029985</v>
      </c>
      <c r="P30" s="10">
        <f t="shared" si="11"/>
        <v>2.90625</v>
      </c>
    </row>
    <row r="31" spans="1:16">
      <c r="A31" t="s">
        <v>157</v>
      </c>
      <c r="B31" t="str">
        <f t="shared" si="2"/>
        <v>HEW42</v>
      </c>
      <c r="C31">
        <f t="shared" si="13"/>
        <v>3</v>
      </c>
      <c r="D31" t="str">
        <f t="shared" si="3"/>
        <v/>
      </c>
      <c r="E31">
        <f>VLOOKUP($A31,Pre12.11.19!$A$17:$N$29,9,FALSE)</f>
        <v>43780.666666666664</v>
      </c>
      <c r="F31">
        <f t="shared" si="4"/>
        <v>2019</v>
      </c>
      <c r="G31">
        <f t="shared" si="5"/>
        <v>11</v>
      </c>
      <c r="H31">
        <f t="shared" si="6"/>
        <v>11.666666666664241</v>
      </c>
      <c r="I31" s="140">
        <f>VLOOKUP($A31,IF(C31=1,Pre12.11.19!$A$17:$O$40,IF(C31=2,Pre13.11.19!$A$17:$O$40,IF(C31=3,Pre14.11.19!$A$17:$O$40,IF(C31=4,Pre15.11.19!$A$17:$O$40,IF(C31=5,Inc18.11.19!$A$17:$O$40,IF(C31=6,Inc21.11.19!$A$17:$O$40,Inc22.11.19!$A$17:$O$28)))))),2,FALSE)</f>
        <v>43783.572916666664</v>
      </c>
      <c r="J31">
        <f t="shared" si="7"/>
        <v>2019</v>
      </c>
      <c r="K31">
        <f t="shared" si="8"/>
        <v>11</v>
      </c>
      <c r="L31">
        <f t="shared" si="9"/>
        <v>14.572916666664241</v>
      </c>
      <c r="M31" t="s">
        <v>351</v>
      </c>
      <c r="N31" s="10">
        <f t="shared" si="10"/>
        <v>2.90625</v>
      </c>
      <c r="O31">
        <f>IFERROR(VLOOKUP($A31,IF(C31=1,Pre12.11.19!$A$17:$O$40,IF(C31=2,Pre13.11.19!$A$17:$O$40,IF(C31=3,Pre14.11.19!$A$17:$O$40,IF(C31=4,Pre15.11.19!$A$17:$O$40,IF(C31=5,Inc18.11.19!$A$17:$O$40,IF(C31=6,Inc21.11.19!$A$17:$O$40,Inc22.11.19!$A$17:$O$28)))))),14,FALSE),"")</f>
        <v>12.799506883107989</v>
      </c>
      <c r="P31" s="10">
        <f t="shared" si="11"/>
        <v>2.90625</v>
      </c>
    </row>
    <row r="32" spans="1:16">
      <c r="A32" t="s">
        <v>158</v>
      </c>
      <c r="B32" t="str">
        <f t="shared" si="2"/>
        <v>HEG10</v>
      </c>
      <c r="C32">
        <f t="shared" si="13"/>
        <v>3</v>
      </c>
      <c r="D32" t="str">
        <f t="shared" si="3"/>
        <v/>
      </c>
      <c r="E32">
        <f>VLOOKUP($A32,Pre12.11.19!$A$17:$N$29,9,FALSE)</f>
        <v>43780.666666666664</v>
      </c>
      <c r="F32">
        <f t="shared" si="4"/>
        <v>2019</v>
      </c>
      <c r="G32">
        <f t="shared" si="5"/>
        <v>11</v>
      </c>
      <c r="H32">
        <f t="shared" si="6"/>
        <v>11.666666666664241</v>
      </c>
      <c r="I32" s="140">
        <f>VLOOKUP($A32,IF(C32=1,Pre12.11.19!$A$17:$O$40,IF(C32=2,Pre13.11.19!$A$17:$O$40,IF(C32=3,Pre14.11.19!$A$17:$O$40,IF(C32=4,Pre15.11.19!$A$17:$O$40,IF(C32=5,Inc18.11.19!$A$17:$O$40,IF(C32=6,Inc21.11.19!$A$17:$O$40,Inc22.11.19!$A$17:$O$28)))))),2,FALSE)</f>
        <v>43783.572916666664</v>
      </c>
      <c r="J32">
        <f t="shared" si="7"/>
        <v>2019</v>
      </c>
      <c r="K32">
        <f t="shared" si="8"/>
        <v>11</v>
      </c>
      <c r="L32">
        <f t="shared" si="9"/>
        <v>14.572916666664241</v>
      </c>
      <c r="M32" t="s">
        <v>351</v>
      </c>
      <c r="N32" s="10">
        <f t="shared" si="10"/>
        <v>2.90625</v>
      </c>
      <c r="O32">
        <f>IFERROR(VLOOKUP($A32,IF(C32=1,Pre12.11.19!$A$17:$O$40,IF(C32=2,Pre13.11.19!$A$17:$O$40,IF(C32=3,Pre14.11.19!$A$17:$O$40,IF(C32=4,Pre15.11.19!$A$17:$O$40,IF(C32=5,Inc18.11.19!$A$17:$O$40,IF(C32=6,Inc21.11.19!$A$17:$O$40,Inc22.11.19!$A$17:$O$28)))))),14,FALSE),"")</f>
        <v>32.260515315627842</v>
      </c>
      <c r="P32" s="10">
        <f t="shared" si="11"/>
        <v>2.90625</v>
      </c>
    </row>
    <row r="33" spans="1:16">
      <c r="A33" t="s">
        <v>159</v>
      </c>
      <c r="B33" t="str">
        <f t="shared" si="2"/>
        <v>HEG10</v>
      </c>
      <c r="C33">
        <f t="shared" si="13"/>
        <v>3</v>
      </c>
      <c r="D33" t="str">
        <f t="shared" si="3"/>
        <v/>
      </c>
      <c r="E33">
        <f>VLOOKUP($A33,Pre12.11.19!$A$17:$N$29,9,FALSE)</f>
        <v>43780.666666666664</v>
      </c>
      <c r="F33">
        <f t="shared" si="4"/>
        <v>2019</v>
      </c>
      <c r="G33">
        <f t="shared" si="5"/>
        <v>11</v>
      </c>
      <c r="H33">
        <f t="shared" si="6"/>
        <v>11.666666666664241</v>
      </c>
      <c r="I33" s="140">
        <f>VLOOKUP($A33,IF(C33=1,Pre12.11.19!$A$17:$O$40,IF(C33=2,Pre13.11.19!$A$17:$O$40,IF(C33=3,Pre14.11.19!$A$17:$O$40,IF(C33=4,Pre15.11.19!$A$17:$O$40,IF(C33=5,Inc18.11.19!$A$17:$O$40,IF(C33=6,Inc21.11.19!$A$17:$O$40,Inc22.11.19!$A$17:$O$28)))))),2,FALSE)</f>
        <v>43783.572916666664</v>
      </c>
      <c r="J33">
        <f t="shared" si="7"/>
        <v>2019</v>
      </c>
      <c r="K33">
        <f t="shared" si="8"/>
        <v>11</v>
      </c>
      <c r="L33">
        <f t="shared" si="9"/>
        <v>14.572916666664241</v>
      </c>
      <c r="M33" t="s">
        <v>351</v>
      </c>
      <c r="N33" s="10">
        <f t="shared" si="10"/>
        <v>2.90625</v>
      </c>
      <c r="O33">
        <f>IFERROR(VLOOKUP($A33,IF(C33=1,Pre12.11.19!$A$17:$O$40,IF(C33=2,Pre13.11.19!$A$17:$O$40,IF(C33=3,Pre14.11.19!$A$17:$O$40,IF(C33=4,Pre15.11.19!$A$17:$O$40,IF(C33=5,Inc18.11.19!$A$17:$O$40,IF(C33=6,Inc21.11.19!$A$17:$O$40,Inc22.11.19!$A$17:$O$28)))))),14,FALSE),"")</f>
        <v>30.178755868870578</v>
      </c>
      <c r="P33" s="10">
        <f t="shared" si="11"/>
        <v>2.90625</v>
      </c>
    </row>
    <row r="34" spans="1:16">
      <c r="A34" t="s">
        <v>160</v>
      </c>
      <c r="B34" t="str">
        <f t="shared" si="2"/>
        <v>HEG32</v>
      </c>
      <c r="C34">
        <f t="shared" si="13"/>
        <v>3</v>
      </c>
      <c r="D34" t="str">
        <f t="shared" si="3"/>
        <v/>
      </c>
      <c r="E34">
        <f>VLOOKUP($A34,Pre12.11.19!$A$17:$N$29,9,FALSE)</f>
        <v>43780.666666666664</v>
      </c>
      <c r="F34">
        <f t="shared" si="4"/>
        <v>2019</v>
      </c>
      <c r="G34">
        <f t="shared" si="5"/>
        <v>11</v>
      </c>
      <c r="H34">
        <f t="shared" si="6"/>
        <v>11.666666666664241</v>
      </c>
      <c r="I34" s="140">
        <f>VLOOKUP($A34,IF(C34=1,Pre12.11.19!$A$17:$O$40,IF(C34=2,Pre13.11.19!$A$17:$O$40,IF(C34=3,Pre14.11.19!$A$17:$O$40,IF(C34=4,Pre15.11.19!$A$17:$O$40,IF(C34=5,Inc18.11.19!$A$17:$O$40,IF(C34=6,Inc21.11.19!$A$17:$O$40,Inc22.11.19!$A$17:$O$28)))))),2,FALSE)</f>
        <v>43783.572916666664</v>
      </c>
      <c r="J34">
        <f t="shared" si="7"/>
        <v>2019</v>
      </c>
      <c r="K34">
        <f t="shared" si="8"/>
        <v>11</v>
      </c>
      <c r="L34">
        <f t="shared" si="9"/>
        <v>14.572916666664241</v>
      </c>
      <c r="M34" t="s">
        <v>351</v>
      </c>
      <c r="N34" s="10">
        <f t="shared" si="10"/>
        <v>2.90625</v>
      </c>
      <c r="O34">
        <f>IFERROR(VLOOKUP($A34,IF(C34=1,Pre12.11.19!$A$17:$O$40,IF(C34=2,Pre13.11.19!$A$17:$O$40,IF(C34=3,Pre14.11.19!$A$17:$O$40,IF(C34=4,Pre15.11.19!$A$17:$O$40,IF(C34=5,Inc18.11.19!$A$17:$O$40,IF(C34=6,Inc21.11.19!$A$17:$O$40,Inc22.11.19!$A$17:$O$28)))))),14,FALSE),"")</f>
        <v>34.850135171212166</v>
      </c>
      <c r="P34" s="10">
        <f t="shared" si="11"/>
        <v>2.90625</v>
      </c>
    </row>
    <row r="35" spans="1:16">
      <c r="A35" t="s">
        <v>161</v>
      </c>
      <c r="B35" t="str">
        <f t="shared" si="2"/>
        <v>HEG32</v>
      </c>
      <c r="C35">
        <f t="shared" si="13"/>
        <v>3</v>
      </c>
      <c r="D35" t="str">
        <f t="shared" si="3"/>
        <v/>
      </c>
      <c r="E35">
        <f>VLOOKUP($A35,Pre12.11.19!$A$17:$N$29,9,FALSE)</f>
        <v>43780.666666666664</v>
      </c>
      <c r="F35">
        <f t="shared" si="4"/>
        <v>2019</v>
      </c>
      <c r="G35">
        <f t="shared" si="5"/>
        <v>11</v>
      </c>
      <c r="H35">
        <f t="shared" si="6"/>
        <v>11.666666666664241</v>
      </c>
      <c r="I35" s="140">
        <f>VLOOKUP($A35,IF(C35=1,Pre12.11.19!$A$17:$O$40,IF(C35=2,Pre13.11.19!$A$17:$O$40,IF(C35=3,Pre14.11.19!$A$17:$O$40,IF(C35=4,Pre15.11.19!$A$17:$O$40,IF(C35=5,Inc18.11.19!$A$17:$O$40,IF(C35=6,Inc21.11.19!$A$17:$O$40,Inc22.11.19!$A$17:$O$28)))))),2,FALSE)</f>
        <v>43783.572916666664</v>
      </c>
      <c r="J35">
        <f t="shared" si="7"/>
        <v>2019</v>
      </c>
      <c r="K35">
        <f t="shared" si="8"/>
        <v>11</v>
      </c>
      <c r="L35">
        <f t="shared" si="9"/>
        <v>14.572916666664241</v>
      </c>
      <c r="M35" t="s">
        <v>351</v>
      </c>
      <c r="N35" s="10">
        <f t="shared" si="10"/>
        <v>2.90625</v>
      </c>
      <c r="O35">
        <f>IFERROR(VLOOKUP($A35,IF(C35=1,Pre12.11.19!$A$17:$O$40,IF(C35=2,Pre13.11.19!$A$17:$O$40,IF(C35=3,Pre14.11.19!$A$17:$O$40,IF(C35=4,Pre15.11.19!$A$17:$O$40,IF(C35=5,Inc18.11.19!$A$17:$O$40,IF(C35=6,Inc21.11.19!$A$17:$O$40,Inc22.11.19!$A$17:$O$28)))))),14,FALSE),"")</f>
        <v>33.670313963362744</v>
      </c>
      <c r="P35" s="10">
        <f t="shared" si="11"/>
        <v>2.90625</v>
      </c>
    </row>
    <row r="36" spans="1:16">
      <c r="A36" t="s">
        <v>162</v>
      </c>
      <c r="B36" t="str">
        <f t="shared" si="2"/>
        <v>HEG48</v>
      </c>
      <c r="C36">
        <f t="shared" si="13"/>
        <v>3</v>
      </c>
      <c r="D36" t="str">
        <f t="shared" si="3"/>
        <v/>
      </c>
      <c r="E36">
        <f>VLOOKUP($A36,Pre12.11.19!$A$17:$N$29,9,FALSE)</f>
        <v>43780.666666666664</v>
      </c>
      <c r="F36">
        <f t="shared" si="4"/>
        <v>2019</v>
      </c>
      <c r="G36">
        <f t="shared" si="5"/>
        <v>11</v>
      </c>
      <c r="H36">
        <f t="shared" si="6"/>
        <v>11.666666666664241</v>
      </c>
      <c r="I36" s="140">
        <f>VLOOKUP($A36,IF(C36=1,Pre12.11.19!$A$17:$O$40,IF(C36=2,Pre13.11.19!$A$17:$O$40,IF(C36=3,Pre14.11.19!$A$17:$O$40,IF(C36=4,Pre15.11.19!$A$17:$O$40,IF(C36=5,Inc18.11.19!$A$17:$O$40,IF(C36=6,Inc21.11.19!$A$17:$O$40,Inc22.11.19!$A$17:$O$28)))))),2,FALSE)</f>
        <v>43783.572916666664</v>
      </c>
      <c r="J36">
        <f t="shared" si="7"/>
        <v>2019</v>
      </c>
      <c r="K36">
        <f t="shared" si="8"/>
        <v>11</v>
      </c>
      <c r="L36">
        <f t="shared" si="9"/>
        <v>14.572916666664241</v>
      </c>
      <c r="M36" t="s">
        <v>351</v>
      </c>
      <c r="N36" s="10">
        <f t="shared" si="10"/>
        <v>2.90625</v>
      </c>
      <c r="O36">
        <f>IFERROR(VLOOKUP($A36,IF(C36=1,Pre12.11.19!$A$17:$O$40,IF(C36=2,Pre13.11.19!$A$17:$O$40,IF(C36=3,Pre14.11.19!$A$17:$O$40,IF(C36=4,Pre15.11.19!$A$17:$O$40,IF(C36=5,Inc18.11.19!$A$17:$O$40,IF(C36=6,Inc21.11.19!$A$17:$O$40,Inc22.11.19!$A$17:$O$28)))))),14,FALSE),"")</f>
        <v>29.860677224173564</v>
      </c>
      <c r="P36" s="10">
        <f t="shared" si="11"/>
        <v>2.90625</v>
      </c>
    </row>
    <row r="37" spans="1:16">
      <c r="A37" t="s">
        <v>163</v>
      </c>
      <c r="B37" t="str">
        <f t="shared" si="2"/>
        <v>HEG48</v>
      </c>
      <c r="C37">
        <f t="shared" si="13"/>
        <v>3</v>
      </c>
      <c r="D37" t="str">
        <f t="shared" si="3"/>
        <v/>
      </c>
      <c r="E37">
        <f>VLOOKUP($A37,Pre12.11.19!$A$17:$N$29,9,FALSE)</f>
        <v>43780.666666666664</v>
      </c>
      <c r="F37">
        <f t="shared" si="4"/>
        <v>2019</v>
      </c>
      <c r="G37">
        <f t="shared" si="5"/>
        <v>11</v>
      </c>
      <c r="H37">
        <f t="shared" si="6"/>
        <v>11.666666666664241</v>
      </c>
      <c r="I37" s="140">
        <f>VLOOKUP($A37,IF(C37=1,Pre12.11.19!$A$17:$O$40,IF(C37=2,Pre13.11.19!$A$17:$O$40,IF(C37=3,Pre14.11.19!$A$17:$O$40,IF(C37=4,Pre15.11.19!$A$17:$O$40,IF(C37=5,Inc18.11.19!$A$17:$O$40,IF(C37=6,Inc21.11.19!$A$17:$O$40,Inc22.11.19!$A$17:$O$28)))))),2,FALSE)</f>
        <v>43783.572916666664</v>
      </c>
      <c r="J37">
        <f t="shared" si="7"/>
        <v>2019</v>
      </c>
      <c r="K37">
        <f t="shared" si="8"/>
        <v>11</v>
      </c>
      <c r="L37">
        <f t="shared" si="9"/>
        <v>14.572916666664241</v>
      </c>
      <c r="M37" t="s">
        <v>351</v>
      </c>
      <c r="N37" s="10">
        <f t="shared" si="10"/>
        <v>2.90625</v>
      </c>
      <c r="O37">
        <f>IFERROR(VLOOKUP($A37,IF(C37=1,Pre12.11.19!$A$17:$O$40,IF(C37=2,Pre13.11.19!$A$17:$O$40,IF(C37=3,Pre14.11.19!$A$17:$O$40,IF(C37=4,Pre15.11.19!$A$17:$O$40,IF(C37=5,Inc18.11.19!$A$17:$O$40,IF(C37=6,Inc21.11.19!$A$17:$O$40,Inc22.11.19!$A$17:$O$28)))))),14,FALSE),"")</f>
        <v>28.616364660310563</v>
      </c>
      <c r="P37" s="10">
        <f t="shared" si="11"/>
        <v>2.90625</v>
      </c>
    </row>
    <row r="38" spans="1:16">
      <c r="A38" t="s">
        <v>152</v>
      </c>
      <c r="B38" t="str">
        <f t="shared" si="2"/>
        <v>HEW22</v>
      </c>
      <c r="C38">
        <v>4</v>
      </c>
      <c r="D38" t="str">
        <f t="shared" si="3"/>
        <v/>
      </c>
      <c r="E38">
        <f>VLOOKUP($A38,Pre12.11.19!$A$17:$N$29,9,FALSE)</f>
        <v>43780.666666666664</v>
      </c>
      <c r="F38">
        <f t="shared" si="4"/>
        <v>2019</v>
      </c>
      <c r="G38">
        <f t="shared" si="5"/>
        <v>11</v>
      </c>
      <c r="H38">
        <f t="shared" si="6"/>
        <v>11.666666666664241</v>
      </c>
      <c r="I38" s="140">
        <f>VLOOKUP($A38,IF(C38=1,Pre12.11.19!$A$17:$O$40,IF(C38=2,Pre13.11.19!$A$17:$O$40,IF(C38=3,Pre14.11.19!$A$17:$O$40,IF(C38=4,Pre15.11.19!$A$17:$O$40,IF(C38=5,Inc18.11.19!$A$17:$O$40,IF(C38=6,Inc21.11.19!$A$17:$O$40,Inc22.11.19!$A$17:$O$28)))))),2,FALSE)</f>
        <v>43784.625</v>
      </c>
      <c r="J38">
        <f t="shared" si="7"/>
        <v>2019</v>
      </c>
      <c r="K38">
        <f t="shared" si="8"/>
        <v>11</v>
      </c>
      <c r="L38">
        <f t="shared" si="9"/>
        <v>15.625</v>
      </c>
      <c r="M38" t="s">
        <v>351</v>
      </c>
      <c r="N38" s="10">
        <f t="shared" si="10"/>
        <v>3.9583333333357587</v>
      </c>
      <c r="O38">
        <f>IFERROR(VLOOKUP($A38,IF(C38=1,Pre12.11.19!$A$17:$O$40,IF(C38=2,Pre13.11.19!$A$17:$O$40,IF(C38=3,Pre14.11.19!$A$17:$O$40,IF(C38=4,Pre15.11.19!$A$17:$O$40,IF(C38=5,Inc18.11.19!$A$17:$O$40,IF(C38=6,Inc21.11.19!$A$17:$O$40,Inc22.11.19!$A$17:$O$28)))))),14,FALSE),"")</f>
        <v>26.41946381705964</v>
      </c>
      <c r="P38" s="10">
        <f t="shared" si="11"/>
        <v>3.9583333333357587</v>
      </c>
    </row>
    <row r="39" spans="1:16">
      <c r="A39" t="s">
        <v>153</v>
      </c>
      <c r="B39" t="str">
        <f t="shared" si="2"/>
        <v>HEW22</v>
      </c>
      <c r="C39">
        <f t="shared" ref="C39" si="15">C38</f>
        <v>4</v>
      </c>
      <c r="D39" t="str">
        <f t="shared" si="3"/>
        <v/>
      </c>
      <c r="E39">
        <f>VLOOKUP($A39,Pre12.11.19!$A$17:$N$29,9,FALSE)</f>
        <v>43780.666666666664</v>
      </c>
      <c r="F39">
        <f t="shared" si="4"/>
        <v>2019</v>
      </c>
      <c r="G39">
        <f t="shared" si="5"/>
        <v>11</v>
      </c>
      <c r="H39">
        <f t="shared" si="6"/>
        <v>11.666666666664241</v>
      </c>
      <c r="I39" s="140">
        <f>VLOOKUP($A39,IF(C39=1,Pre12.11.19!$A$17:$O$40,IF(C39=2,Pre13.11.19!$A$17:$O$40,IF(C39=3,Pre14.11.19!$A$17:$O$40,IF(C39=4,Pre15.11.19!$A$17:$O$40,IF(C39=5,Inc18.11.19!$A$17:$O$40,IF(C39=6,Inc21.11.19!$A$17:$O$40,Inc22.11.19!$A$17:$O$28)))))),2,FALSE)</f>
        <v>43784.625</v>
      </c>
      <c r="J39">
        <f t="shared" si="7"/>
        <v>2019</v>
      </c>
      <c r="K39">
        <f t="shared" si="8"/>
        <v>11</v>
      </c>
      <c r="L39">
        <f t="shared" si="9"/>
        <v>15.625</v>
      </c>
      <c r="M39" t="s">
        <v>351</v>
      </c>
      <c r="N39" s="10">
        <f t="shared" si="10"/>
        <v>3.9583333333357587</v>
      </c>
      <c r="O39">
        <f>IFERROR(VLOOKUP($A39,IF(C39=1,Pre12.11.19!$A$17:$O$40,IF(C39=2,Pre13.11.19!$A$17:$O$40,IF(C39=3,Pre14.11.19!$A$17:$O$40,IF(C39=4,Pre15.11.19!$A$17:$O$40,IF(C39=5,Inc18.11.19!$A$17:$O$40,IF(C39=6,Inc21.11.19!$A$17:$O$40,Inc22.11.19!$A$17:$O$28)))))),14,FALSE),"")</f>
        <v>28.52004288501319</v>
      </c>
      <c r="P39" s="10">
        <f t="shared" si="11"/>
        <v>3.9583333333357587</v>
      </c>
    </row>
    <row r="40" spans="1:16">
      <c r="A40" t="s">
        <v>154</v>
      </c>
      <c r="B40" t="str">
        <f t="shared" si="2"/>
        <v>HEW41</v>
      </c>
      <c r="C40">
        <f t="shared" si="13"/>
        <v>4</v>
      </c>
      <c r="D40" t="str">
        <f t="shared" si="3"/>
        <v/>
      </c>
      <c r="E40">
        <f>VLOOKUP($A40,Pre12.11.19!$A$17:$N$29,9,FALSE)</f>
        <v>43780.666666666664</v>
      </c>
      <c r="F40">
        <f t="shared" si="4"/>
        <v>2019</v>
      </c>
      <c r="G40">
        <f t="shared" si="5"/>
        <v>11</v>
      </c>
      <c r="H40">
        <f t="shared" si="6"/>
        <v>11.666666666664241</v>
      </c>
      <c r="I40" s="140">
        <f>VLOOKUP($A40,IF(C40=1,Pre12.11.19!$A$17:$O$40,IF(C40=2,Pre13.11.19!$A$17:$O$40,IF(C40=3,Pre14.11.19!$A$17:$O$40,IF(C40=4,Pre15.11.19!$A$17:$O$40,IF(C40=5,Inc18.11.19!$A$17:$O$40,IF(C40=6,Inc21.11.19!$A$17:$O$40,Inc22.11.19!$A$17:$O$28)))))),2,FALSE)</f>
        <v>43784.625</v>
      </c>
      <c r="J40">
        <f t="shared" si="7"/>
        <v>2019</v>
      </c>
      <c r="K40">
        <f t="shared" si="8"/>
        <v>11</v>
      </c>
      <c r="L40">
        <f t="shared" si="9"/>
        <v>15.625</v>
      </c>
      <c r="M40" t="s">
        <v>351</v>
      </c>
      <c r="N40" s="10">
        <f t="shared" si="10"/>
        <v>3.9583333333357587</v>
      </c>
      <c r="O40">
        <f>IFERROR(VLOOKUP($A40,IF(C40=1,Pre12.11.19!$A$17:$O$40,IF(C40=2,Pre13.11.19!$A$17:$O$40,IF(C40=3,Pre14.11.19!$A$17:$O$40,IF(C40=4,Pre15.11.19!$A$17:$O$40,IF(C40=5,Inc18.11.19!$A$17:$O$40,IF(C40=6,Inc21.11.19!$A$17:$O$40,Inc22.11.19!$A$17:$O$28)))))),14,FALSE),"")</f>
        <v>22.624098319011829</v>
      </c>
      <c r="P40" s="10">
        <f t="shared" si="11"/>
        <v>3.9583333333357587</v>
      </c>
    </row>
    <row r="41" spans="1:16">
      <c r="A41" t="s">
        <v>155</v>
      </c>
      <c r="B41" t="str">
        <f t="shared" si="2"/>
        <v>HEW41</v>
      </c>
      <c r="C41">
        <f t="shared" si="13"/>
        <v>4</v>
      </c>
      <c r="D41" t="str">
        <f t="shared" si="3"/>
        <v/>
      </c>
      <c r="E41">
        <f>VLOOKUP($A41,Pre12.11.19!$A$17:$N$29,9,FALSE)</f>
        <v>43780.666666666664</v>
      </c>
      <c r="F41">
        <f t="shared" si="4"/>
        <v>2019</v>
      </c>
      <c r="G41">
        <f t="shared" si="5"/>
        <v>11</v>
      </c>
      <c r="H41">
        <f t="shared" si="6"/>
        <v>11.666666666664241</v>
      </c>
      <c r="I41" s="140">
        <f>VLOOKUP($A41,IF(C41=1,Pre12.11.19!$A$17:$O$40,IF(C41=2,Pre13.11.19!$A$17:$O$40,IF(C41=3,Pre14.11.19!$A$17:$O$40,IF(C41=4,Pre15.11.19!$A$17:$O$40,IF(C41=5,Inc18.11.19!$A$17:$O$40,IF(C41=6,Inc21.11.19!$A$17:$O$40,Inc22.11.19!$A$17:$O$28)))))),2,FALSE)</f>
        <v>43784.625</v>
      </c>
      <c r="J41">
        <f t="shared" si="7"/>
        <v>2019</v>
      </c>
      <c r="K41">
        <f t="shared" si="8"/>
        <v>11</v>
      </c>
      <c r="L41">
        <f t="shared" si="9"/>
        <v>15.625</v>
      </c>
      <c r="M41" t="s">
        <v>351</v>
      </c>
      <c r="N41" s="10">
        <f t="shared" si="10"/>
        <v>3.9583333333357587</v>
      </c>
      <c r="O41">
        <f>IFERROR(VLOOKUP($A41,IF(C41=1,Pre12.11.19!$A$17:$O$40,IF(C41=2,Pre13.11.19!$A$17:$O$40,IF(C41=3,Pre14.11.19!$A$17:$O$40,IF(C41=4,Pre15.11.19!$A$17:$O$40,IF(C41=5,Inc18.11.19!$A$17:$O$40,IF(C41=6,Inc21.11.19!$A$17:$O$40,Inc22.11.19!$A$17:$O$28)))))),14,FALSE),"")</f>
        <v>24.02367693591966</v>
      </c>
      <c r="P41" s="10">
        <f t="shared" si="11"/>
        <v>3.9583333333357587</v>
      </c>
    </row>
    <row r="42" spans="1:16">
      <c r="A42" t="s">
        <v>156</v>
      </c>
      <c r="B42" t="str">
        <f t="shared" si="2"/>
        <v>HEW42</v>
      </c>
      <c r="C42">
        <f t="shared" si="13"/>
        <v>4</v>
      </c>
      <c r="D42" t="str">
        <f t="shared" si="3"/>
        <v/>
      </c>
      <c r="E42">
        <f>VLOOKUP($A42,Pre12.11.19!$A$17:$N$29,9,FALSE)</f>
        <v>43780.666666666664</v>
      </c>
      <c r="F42">
        <f t="shared" si="4"/>
        <v>2019</v>
      </c>
      <c r="G42">
        <f t="shared" si="5"/>
        <v>11</v>
      </c>
      <c r="H42">
        <f t="shared" si="6"/>
        <v>11.666666666664241</v>
      </c>
      <c r="I42" s="140">
        <f>VLOOKUP($A42,IF(C42=1,Pre12.11.19!$A$17:$O$40,IF(C42=2,Pre13.11.19!$A$17:$O$40,IF(C42=3,Pre14.11.19!$A$17:$O$40,IF(C42=4,Pre15.11.19!$A$17:$O$40,IF(C42=5,Inc18.11.19!$A$17:$O$40,IF(C42=6,Inc21.11.19!$A$17:$O$40,Inc22.11.19!$A$17:$O$28)))))),2,FALSE)</f>
        <v>43784.625</v>
      </c>
      <c r="J42">
        <f t="shared" si="7"/>
        <v>2019</v>
      </c>
      <c r="K42">
        <f t="shared" si="8"/>
        <v>11</v>
      </c>
      <c r="L42">
        <f t="shared" si="9"/>
        <v>15.625</v>
      </c>
      <c r="M42" t="s">
        <v>351</v>
      </c>
      <c r="N42" s="10">
        <f t="shared" si="10"/>
        <v>3.9583333333357587</v>
      </c>
      <c r="O42">
        <f>IFERROR(VLOOKUP($A42,IF(C42=1,Pre12.11.19!$A$17:$O$40,IF(C42=2,Pre13.11.19!$A$17:$O$40,IF(C42=3,Pre14.11.19!$A$17:$O$40,IF(C42=4,Pre15.11.19!$A$17:$O$40,IF(C42=5,Inc18.11.19!$A$17:$O$40,IF(C42=6,Inc21.11.19!$A$17:$O$40,Inc22.11.19!$A$17:$O$28)))))),14,FALSE),"")</f>
        <v>16.99641371050339</v>
      </c>
      <c r="P42" s="10">
        <f t="shared" si="11"/>
        <v>3.9583333333357587</v>
      </c>
    </row>
    <row r="43" spans="1:16">
      <c r="A43" t="s">
        <v>157</v>
      </c>
      <c r="B43" t="str">
        <f t="shared" si="2"/>
        <v>HEW42</v>
      </c>
      <c r="C43">
        <f t="shared" si="13"/>
        <v>4</v>
      </c>
      <c r="D43" t="str">
        <f t="shared" si="3"/>
        <v/>
      </c>
      <c r="E43">
        <f>VLOOKUP($A43,Pre12.11.19!$A$17:$N$29,9,FALSE)</f>
        <v>43780.666666666664</v>
      </c>
      <c r="F43">
        <f t="shared" si="4"/>
        <v>2019</v>
      </c>
      <c r="G43">
        <f t="shared" si="5"/>
        <v>11</v>
      </c>
      <c r="H43">
        <f t="shared" si="6"/>
        <v>11.666666666664241</v>
      </c>
      <c r="I43" s="140">
        <f>VLOOKUP($A43,IF(C43=1,Pre12.11.19!$A$17:$O$40,IF(C43=2,Pre13.11.19!$A$17:$O$40,IF(C43=3,Pre14.11.19!$A$17:$O$40,IF(C43=4,Pre15.11.19!$A$17:$O$40,IF(C43=5,Inc18.11.19!$A$17:$O$40,IF(C43=6,Inc21.11.19!$A$17:$O$40,Inc22.11.19!$A$17:$O$28)))))),2,FALSE)</f>
        <v>43784.625</v>
      </c>
      <c r="J43">
        <f t="shared" si="7"/>
        <v>2019</v>
      </c>
      <c r="K43">
        <f t="shared" si="8"/>
        <v>11</v>
      </c>
      <c r="L43">
        <f t="shared" si="9"/>
        <v>15.625</v>
      </c>
      <c r="M43" t="s">
        <v>351</v>
      </c>
      <c r="N43" s="10">
        <f t="shared" si="10"/>
        <v>3.9583333333357587</v>
      </c>
      <c r="O43">
        <f>IFERROR(VLOOKUP($A43,IF(C43=1,Pre12.11.19!$A$17:$O$40,IF(C43=2,Pre13.11.19!$A$17:$O$40,IF(C43=3,Pre14.11.19!$A$17:$O$40,IF(C43=4,Pre15.11.19!$A$17:$O$40,IF(C43=5,Inc18.11.19!$A$17:$O$40,IF(C43=6,Inc21.11.19!$A$17:$O$40,Inc22.11.19!$A$17:$O$28)))))),14,FALSE),"")</f>
        <v>16.9700545320092</v>
      </c>
      <c r="P43" s="10">
        <f t="shared" si="11"/>
        <v>3.9583333333357587</v>
      </c>
    </row>
    <row r="44" spans="1:16">
      <c r="A44" t="s">
        <v>158</v>
      </c>
      <c r="B44" t="str">
        <f t="shared" si="2"/>
        <v>HEG10</v>
      </c>
      <c r="C44">
        <f t="shared" si="13"/>
        <v>4</v>
      </c>
      <c r="D44" t="str">
        <f t="shared" si="3"/>
        <v/>
      </c>
      <c r="E44">
        <f>VLOOKUP($A44,Pre12.11.19!$A$17:$N$29,9,FALSE)</f>
        <v>43780.666666666664</v>
      </c>
      <c r="F44">
        <f t="shared" si="4"/>
        <v>2019</v>
      </c>
      <c r="G44">
        <f t="shared" si="5"/>
        <v>11</v>
      </c>
      <c r="H44">
        <f t="shared" si="6"/>
        <v>11.666666666664241</v>
      </c>
      <c r="I44" s="140">
        <f>VLOOKUP($A44,IF(C44=1,Pre12.11.19!$A$17:$O$40,IF(C44=2,Pre13.11.19!$A$17:$O$40,IF(C44=3,Pre14.11.19!$A$17:$O$40,IF(C44=4,Pre15.11.19!$A$17:$O$40,IF(C44=5,Inc18.11.19!$A$17:$O$40,IF(C44=6,Inc21.11.19!$A$17:$O$40,Inc22.11.19!$A$17:$O$28)))))),2,FALSE)</f>
        <v>43784.625</v>
      </c>
      <c r="J44">
        <f t="shared" si="7"/>
        <v>2019</v>
      </c>
      <c r="K44">
        <f t="shared" si="8"/>
        <v>11</v>
      </c>
      <c r="L44">
        <f t="shared" si="9"/>
        <v>15.625</v>
      </c>
      <c r="M44" t="s">
        <v>351</v>
      </c>
      <c r="N44" s="10">
        <f t="shared" si="10"/>
        <v>3.9583333333357587</v>
      </c>
      <c r="O44">
        <f>IFERROR(VLOOKUP($A44,IF(C44=1,Pre12.11.19!$A$17:$O$40,IF(C44=2,Pre13.11.19!$A$17:$O$40,IF(C44=3,Pre14.11.19!$A$17:$O$40,IF(C44=4,Pre15.11.19!$A$17:$O$40,IF(C44=5,Inc18.11.19!$A$17:$O$40,IF(C44=6,Inc21.11.19!$A$17:$O$40,Inc22.11.19!$A$17:$O$28)))))),14,FALSE),"")</f>
        <v>37.470612103684523</v>
      </c>
      <c r="P44" s="10">
        <f t="shared" si="11"/>
        <v>3.9583333333357587</v>
      </c>
    </row>
    <row r="45" spans="1:16">
      <c r="A45" t="s">
        <v>159</v>
      </c>
      <c r="B45" t="str">
        <f t="shared" si="2"/>
        <v>HEG10</v>
      </c>
      <c r="C45">
        <f t="shared" si="13"/>
        <v>4</v>
      </c>
      <c r="D45" t="str">
        <f t="shared" si="3"/>
        <v/>
      </c>
      <c r="E45">
        <f>VLOOKUP($A45,Pre12.11.19!$A$17:$N$29,9,FALSE)</f>
        <v>43780.666666666664</v>
      </c>
      <c r="F45">
        <f t="shared" si="4"/>
        <v>2019</v>
      </c>
      <c r="G45">
        <f t="shared" si="5"/>
        <v>11</v>
      </c>
      <c r="H45">
        <f t="shared" si="6"/>
        <v>11.666666666664241</v>
      </c>
      <c r="I45" s="140">
        <f>VLOOKUP($A45,IF(C45=1,Pre12.11.19!$A$17:$O$40,IF(C45=2,Pre13.11.19!$A$17:$O$40,IF(C45=3,Pre14.11.19!$A$17:$O$40,IF(C45=4,Pre15.11.19!$A$17:$O$40,IF(C45=5,Inc18.11.19!$A$17:$O$40,IF(C45=6,Inc21.11.19!$A$17:$O$40,Inc22.11.19!$A$17:$O$28)))))),2,FALSE)</f>
        <v>43784.625</v>
      </c>
      <c r="J45">
        <f t="shared" si="7"/>
        <v>2019</v>
      </c>
      <c r="K45">
        <f t="shared" si="8"/>
        <v>11</v>
      </c>
      <c r="L45">
        <f t="shared" si="9"/>
        <v>15.625</v>
      </c>
      <c r="M45" t="s">
        <v>351</v>
      </c>
      <c r="N45" s="10">
        <f t="shared" si="10"/>
        <v>3.9583333333357587</v>
      </c>
      <c r="O45">
        <f>IFERROR(VLOOKUP($A45,IF(C45=1,Pre12.11.19!$A$17:$O$40,IF(C45=2,Pre13.11.19!$A$17:$O$40,IF(C45=3,Pre14.11.19!$A$17:$O$40,IF(C45=4,Pre15.11.19!$A$17:$O$40,IF(C45=5,Inc18.11.19!$A$17:$O$40,IF(C45=6,Inc21.11.19!$A$17:$O$40,Inc22.11.19!$A$17:$O$28)))))),14,FALSE),"")</f>
        <v>30.491887471186782</v>
      </c>
      <c r="P45" s="10">
        <f t="shared" si="11"/>
        <v>3.9583333333357587</v>
      </c>
    </row>
    <row r="46" spans="1:16">
      <c r="A46" t="s">
        <v>160</v>
      </c>
      <c r="B46" t="str">
        <f t="shared" si="2"/>
        <v>HEG32</v>
      </c>
      <c r="C46">
        <f t="shared" si="13"/>
        <v>4</v>
      </c>
      <c r="D46" t="str">
        <f t="shared" si="3"/>
        <v/>
      </c>
      <c r="E46">
        <f>VLOOKUP($A46,Pre12.11.19!$A$17:$N$29,9,FALSE)</f>
        <v>43780.666666666664</v>
      </c>
      <c r="F46">
        <f t="shared" si="4"/>
        <v>2019</v>
      </c>
      <c r="G46">
        <f t="shared" si="5"/>
        <v>11</v>
      </c>
      <c r="H46">
        <f t="shared" si="6"/>
        <v>11.666666666664241</v>
      </c>
      <c r="I46" s="140">
        <f>VLOOKUP($A46,IF(C46=1,Pre12.11.19!$A$17:$O$40,IF(C46=2,Pre13.11.19!$A$17:$O$40,IF(C46=3,Pre14.11.19!$A$17:$O$40,IF(C46=4,Pre15.11.19!$A$17:$O$40,IF(C46=5,Inc18.11.19!$A$17:$O$40,IF(C46=6,Inc21.11.19!$A$17:$O$40,Inc22.11.19!$A$17:$O$28)))))),2,FALSE)</f>
        <v>43784.625</v>
      </c>
      <c r="J46">
        <f t="shared" si="7"/>
        <v>2019</v>
      </c>
      <c r="K46">
        <f t="shared" si="8"/>
        <v>11</v>
      </c>
      <c r="L46">
        <f t="shared" si="9"/>
        <v>15.625</v>
      </c>
      <c r="M46" t="s">
        <v>351</v>
      </c>
      <c r="N46" s="10">
        <f t="shared" si="10"/>
        <v>3.9583333333357587</v>
      </c>
      <c r="O46">
        <f>IFERROR(VLOOKUP($A46,IF(C46=1,Pre12.11.19!$A$17:$O$40,IF(C46=2,Pre13.11.19!$A$17:$O$40,IF(C46=3,Pre14.11.19!$A$17:$O$40,IF(C46=4,Pre15.11.19!$A$17:$O$40,IF(C46=5,Inc18.11.19!$A$17:$O$40,IF(C46=6,Inc21.11.19!$A$17:$O$40,Inc22.11.19!$A$17:$O$28)))))),14,FALSE),"")</f>
        <v>39.689926304857863</v>
      </c>
      <c r="P46" s="10">
        <f t="shared" si="11"/>
        <v>3.9583333333357587</v>
      </c>
    </row>
    <row r="47" spans="1:16">
      <c r="A47" t="s">
        <v>161</v>
      </c>
      <c r="B47" t="str">
        <f t="shared" si="2"/>
        <v>HEG32</v>
      </c>
      <c r="C47">
        <f t="shared" si="13"/>
        <v>4</v>
      </c>
      <c r="D47" t="str">
        <f t="shared" si="3"/>
        <v/>
      </c>
      <c r="E47">
        <f>VLOOKUP($A47,Pre12.11.19!$A$17:$N$29,9,FALSE)</f>
        <v>43780.666666666664</v>
      </c>
      <c r="F47">
        <f t="shared" si="4"/>
        <v>2019</v>
      </c>
      <c r="G47">
        <f t="shared" si="5"/>
        <v>11</v>
      </c>
      <c r="H47">
        <f t="shared" si="6"/>
        <v>11.666666666664241</v>
      </c>
      <c r="I47" s="140">
        <f>VLOOKUP($A47,IF(C47=1,Pre12.11.19!$A$17:$O$40,IF(C47=2,Pre13.11.19!$A$17:$O$40,IF(C47=3,Pre14.11.19!$A$17:$O$40,IF(C47=4,Pre15.11.19!$A$17:$O$40,IF(C47=5,Inc18.11.19!$A$17:$O$40,IF(C47=6,Inc21.11.19!$A$17:$O$40,Inc22.11.19!$A$17:$O$28)))))),2,FALSE)</f>
        <v>43784.625</v>
      </c>
      <c r="J47">
        <f t="shared" si="7"/>
        <v>2019</v>
      </c>
      <c r="K47">
        <f t="shared" si="8"/>
        <v>11</v>
      </c>
      <c r="L47">
        <f t="shared" si="9"/>
        <v>15.625</v>
      </c>
      <c r="M47" t="s">
        <v>351</v>
      </c>
      <c r="N47" s="10">
        <f t="shared" si="10"/>
        <v>3.9583333333357587</v>
      </c>
      <c r="O47">
        <f>IFERROR(VLOOKUP($A47,IF(C47=1,Pre12.11.19!$A$17:$O$40,IF(C47=2,Pre13.11.19!$A$17:$O$40,IF(C47=3,Pre14.11.19!$A$17:$O$40,IF(C47=4,Pre15.11.19!$A$17:$O$40,IF(C47=5,Inc18.11.19!$A$17:$O$40,IF(C47=6,Inc21.11.19!$A$17:$O$40,Inc22.11.19!$A$17:$O$28)))))),14,FALSE),"")</f>
        <v>40.330069443439662</v>
      </c>
      <c r="P47" s="10">
        <f t="shared" si="11"/>
        <v>3.9583333333357587</v>
      </c>
    </row>
    <row r="48" spans="1:16">
      <c r="A48" t="s">
        <v>162</v>
      </c>
      <c r="B48" t="str">
        <f t="shared" si="2"/>
        <v>HEG48</v>
      </c>
      <c r="C48">
        <f t="shared" si="13"/>
        <v>4</v>
      </c>
      <c r="D48" t="str">
        <f t="shared" si="3"/>
        <v/>
      </c>
      <c r="E48">
        <f>VLOOKUP($A48,Pre12.11.19!$A$17:$N$29,9,FALSE)</f>
        <v>43780.666666666664</v>
      </c>
      <c r="F48">
        <f t="shared" si="4"/>
        <v>2019</v>
      </c>
      <c r="G48">
        <f t="shared" si="5"/>
        <v>11</v>
      </c>
      <c r="H48">
        <f t="shared" si="6"/>
        <v>11.666666666664241</v>
      </c>
      <c r="I48" s="140">
        <f>VLOOKUP($A48,IF(C48=1,Pre12.11.19!$A$17:$O$40,IF(C48=2,Pre13.11.19!$A$17:$O$40,IF(C48=3,Pre14.11.19!$A$17:$O$40,IF(C48=4,Pre15.11.19!$A$17:$O$40,IF(C48=5,Inc18.11.19!$A$17:$O$40,IF(C48=6,Inc21.11.19!$A$17:$O$40,Inc22.11.19!$A$17:$O$28)))))),2,FALSE)</f>
        <v>43784.625</v>
      </c>
      <c r="J48">
        <f t="shared" si="7"/>
        <v>2019</v>
      </c>
      <c r="K48">
        <f t="shared" si="8"/>
        <v>11</v>
      </c>
      <c r="L48">
        <f t="shared" si="9"/>
        <v>15.625</v>
      </c>
      <c r="M48" t="s">
        <v>351</v>
      </c>
      <c r="N48" s="10">
        <f t="shared" si="10"/>
        <v>3.9583333333357587</v>
      </c>
      <c r="O48">
        <f>IFERROR(VLOOKUP($A48,IF(C48=1,Pre12.11.19!$A$17:$O$40,IF(C48=2,Pre13.11.19!$A$17:$O$40,IF(C48=3,Pre14.11.19!$A$17:$O$40,IF(C48=4,Pre15.11.19!$A$17:$O$40,IF(C48=5,Inc18.11.19!$A$17:$O$40,IF(C48=6,Inc21.11.19!$A$17:$O$40,Inc22.11.19!$A$17:$O$28)))))),14,FALSE),"")</f>
        <v>35.600691587111356</v>
      </c>
      <c r="P48" s="10">
        <f t="shared" si="11"/>
        <v>3.9583333333357587</v>
      </c>
    </row>
    <row r="49" spans="1:16">
      <c r="A49" t="s">
        <v>163</v>
      </c>
      <c r="B49" t="str">
        <f t="shared" si="2"/>
        <v>HEG48</v>
      </c>
      <c r="C49">
        <f t="shared" si="13"/>
        <v>4</v>
      </c>
      <c r="D49" t="str">
        <f t="shared" si="3"/>
        <v/>
      </c>
      <c r="E49">
        <f>VLOOKUP($A49,Pre12.11.19!$A$17:$N$29,9,FALSE)</f>
        <v>43780.666666666664</v>
      </c>
      <c r="F49">
        <f t="shared" si="4"/>
        <v>2019</v>
      </c>
      <c r="G49">
        <f t="shared" si="5"/>
        <v>11</v>
      </c>
      <c r="H49">
        <f t="shared" si="6"/>
        <v>11.666666666664241</v>
      </c>
      <c r="I49" s="140">
        <f>VLOOKUP($A49,IF(C49=1,Pre12.11.19!$A$17:$O$40,IF(C49=2,Pre13.11.19!$A$17:$O$40,IF(C49=3,Pre14.11.19!$A$17:$O$40,IF(C49=4,Pre15.11.19!$A$17:$O$40,IF(C49=5,Inc18.11.19!$A$17:$O$40,IF(C49=6,Inc21.11.19!$A$17:$O$40,Inc22.11.19!$A$17:$O$28)))))),2,FALSE)</f>
        <v>43784.625</v>
      </c>
      <c r="J49">
        <f t="shared" si="7"/>
        <v>2019</v>
      </c>
      <c r="K49">
        <f t="shared" si="8"/>
        <v>11</v>
      </c>
      <c r="L49">
        <f t="shared" si="9"/>
        <v>15.625</v>
      </c>
      <c r="M49" t="s">
        <v>351</v>
      </c>
      <c r="N49" s="10">
        <f t="shared" si="10"/>
        <v>3.9583333333357587</v>
      </c>
      <c r="O49">
        <f>IFERROR(VLOOKUP($A49,IF(C49=1,Pre12.11.19!$A$17:$O$40,IF(C49=2,Pre13.11.19!$A$17:$O$40,IF(C49=3,Pre14.11.19!$A$17:$O$40,IF(C49=4,Pre15.11.19!$A$17:$O$40,IF(C49=5,Inc18.11.19!$A$17:$O$40,IF(C49=6,Inc21.11.19!$A$17:$O$40,Inc22.11.19!$A$17:$O$28)))))),14,FALSE),"")</f>
        <v>34.925237638197878</v>
      </c>
      <c r="P49" s="10">
        <f t="shared" si="11"/>
        <v>3.9583333333357587</v>
      </c>
    </row>
    <row r="50" spans="1:16">
      <c r="A50" t="s">
        <v>152</v>
      </c>
      <c r="B50" t="str">
        <f t="shared" si="2"/>
        <v>HEW22</v>
      </c>
      <c r="C50">
        <v>5</v>
      </c>
      <c r="D50" t="str">
        <f t="shared" si="3"/>
        <v/>
      </c>
      <c r="E50">
        <f>VLOOKUP($A50,Pre12.11.19!$A$17:$N$29,9,FALSE)</f>
        <v>43780.666666666664</v>
      </c>
      <c r="F50">
        <f t="shared" si="4"/>
        <v>2019</v>
      </c>
      <c r="G50">
        <f t="shared" si="5"/>
        <v>11</v>
      </c>
      <c r="H50">
        <f t="shared" si="6"/>
        <v>11.666666666664241</v>
      </c>
      <c r="I50" s="140">
        <f>VLOOKUP($A50,IF(C50=1,Pre12.11.19!$A$17:$O$40,IF(C50=2,Pre13.11.19!$A$17:$O$40,IF(C50=3,Pre14.11.19!$A$17:$O$40,IF(C50=4,Pre15.11.19!$A$17:$O$40,IF(C50=5,Inc18.11.19!$A$17:$O$40,IF(C50=6,Inc21.11.19!$A$17:$O$40,Inc22.11.19!$A$17:$O$28)))))),2,FALSE)</f>
        <v>43787.416666666664</v>
      </c>
      <c r="J50">
        <f t="shared" si="7"/>
        <v>2019</v>
      </c>
      <c r="K50">
        <f t="shared" si="8"/>
        <v>11</v>
      </c>
      <c r="L50">
        <f t="shared" si="9"/>
        <v>18.416666666664241</v>
      </c>
      <c r="M50" t="s">
        <v>351</v>
      </c>
      <c r="N50" s="10">
        <f t="shared" si="10"/>
        <v>6.75</v>
      </c>
      <c r="O50">
        <f>IFERROR(VLOOKUP($A50,IF(C50=1,Pre12.11.19!$A$17:$O$40,IF(C50=2,Pre13.11.19!$A$17:$O$40,IF(C50=3,Pre14.11.19!$A$17:$O$40,IF(C50=4,Pre15.11.19!$A$17:$O$40,IF(C50=5,Inc18.11.19!$A$17:$O$40,IF(C50=6,Inc21.11.19!$A$17:$O$40,Inc22.11.19!$A$17:$O$28)))))),14,FALSE),"")</f>
        <v>9.667273630000949</v>
      </c>
      <c r="P50" s="10">
        <f t="shared" si="11"/>
        <v>6.75</v>
      </c>
    </row>
    <row r="51" spans="1:16">
      <c r="A51" t="s">
        <v>153</v>
      </c>
      <c r="B51" t="str">
        <f t="shared" si="2"/>
        <v>HEW22</v>
      </c>
      <c r="C51">
        <f t="shared" ref="C51" si="16">C50</f>
        <v>5</v>
      </c>
      <c r="D51" t="str">
        <f t="shared" si="3"/>
        <v/>
      </c>
      <c r="E51">
        <f>VLOOKUP($A51,Pre12.11.19!$A$17:$N$29,9,FALSE)</f>
        <v>43780.666666666664</v>
      </c>
      <c r="F51">
        <f t="shared" si="4"/>
        <v>2019</v>
      </c>
      <c r="G51">
        <f t="shared" si="5"/>
        <v>11</v>
      </c>
      <c r="H51">
        <f t="shared" si="6"/>
        <v>11.666666666664241</v>
      </c>
      <c r="I51" s="140">
        <f>VLOOKUP($A51,IF(C51=1,Pre12.11.19!$A$17:$O$40,IF(C51=2,Pre13.11.19!$A$17:$O$40,IF(C51=3,Pre14.11.19!$A$17:$O$40,IF(C51=4,Pre15.11.19!$A$17:$O$40,IF(C51=5,Inc18.11.19!$A$17:$O$40,IF(C51=6,Inc21.11.19!$A$17:$O$40,Inc22.11.19!$A$17:$O$28)))))),2,FALSE)</f>
        <v>43787.416666666664</v>
      </c>
      <c r="J51">
        <f t="shared" si="7"/>
        <v>2019</v>
      </c>
      <c r="K51">
        <f t="shared" si="8"/>
        <v>11</v>
      </c>
      <c r="L51">
        <f t="shared" si="9"/>
        <v>18.416666666664241</v>
      </c>
      <c r="M51" t="s">
        <v>351</v>
      </c>
      <c r="N51" s="10">
        <f t="shared" si="10"/>
        <v>6.75</v>
      </c>
      <c r="O51">
        <f>IFERROR(VLOOKUP($A51,IF(C51=1,Pre12.11.19!$A$17:$O$40,IF(C51=2,Pre13.11.19!$A$17:$O$40,IF(C51=3,Pre14.11.19!$A$17:$O$40,IF(C51=4,Pre15.11.19!$A$17:$O$40,IF(C51=5,Inc18.11.19!$A$17:$O$40,IF(C51=6,Inc21.11.19!$A$17:$O$40,Inc22.11.19!$A$17:$O$28)))))),14,FALSE),"")</f>
        <v>10.863506303229046</v>
      </c>
      <c r="P51" s="10">
        <f t="shared" si="11"/>
        <v>6.75</v>
      </c>
    </row>
    <row r="52" spans="1:16">
      <c r="A52" t="s">
        <v>154</v>
      </c>
      <c r="B52" t="str">
        <f t="shared" si="2"/>
        <v>HEW41</v>
      </c>
      <c r="C52">
        <f t="shared" si="13"/>
        <v>5</v>
      </c>
      <c r="D52" t="str">
        <f t="shared" si="3"/>
        <v/>
      </c>
      <c r="E52">
        <f>VLOOKUP($A52,Pre12.11.19!$A$17:$N$29,9,FALSE)</f>
        <v>43780.666666666664</v>
      </c>
      <c r="F52">
        <f t="shared" si="4"/>
        <v>2019</v>
      </c>
      <c r="G52">
        <f t="shared" si="5"/>
        <v>11</v>
      </c>
      <c r="H52">
        <f t="shared" si="6"/>
        <v>11.666666666664241</v>
      </c>
      <c r="I52" s="140">
        <f>VLOOKUP($A52,IF(C52=1,Pre12.11.19!$A$17:$O$40,IF(C52=2,Pre13.11.19!$A$17:$O$40,IF(C52=3,Pre14.11.19!$A$17:$O$40,IF(C52=4,Pre15.11.19!$A$17:$O$40,IF(C52=5,Inc18.11.19!$A$17:$O$40,IF(C52=6,Inc21.11.19!$A$17:$O$40,Inc22.11.19!$A$17:$O$28)))))),2,FALSE)</f>
        <v>43787.416666666664</v>
      </c>
      <c r="J52">
        <f t="shared" si="7"/>
        <v>2019</v>
      </c>
      <c r="K52">
        <f t="shared" si="8"/>
        <v>11</v>
      </c>
      <c r="L52">
        <f t="shared" si="9"/>
        <v>18.416666666664241</v>
      </c>
      <c r="M52" t="s">
        <v>351</v>
      </c>
      <c r="N52" s="10">
        <f t="shared" si="10"/>
        <v>6.75</v>
      </c>
      <c r="O52">
        <f>IFERROR(VLOOKUP($A52,IF(C52=1,Pre12.11.19!$A$17:$O$40,IF(C52=2,Pre13.11.19!$A$17:$O$40,IF(C52=3,Pre14.11.19!$A$17:$O$40,IF(C52=4,Pre15.11.19!$A$17:$O$40,IF(C52=5,Inc18.11.19!$A$17:$O$40,IF(C52=6,Inc21.11.19!$A$17:$O$40,Inc22.11.19!$A$17:$O$28)))))),14,FALSE),"")</f>
        <v>11.307529110428085</v>
      </c>
      <c r="P52" s="10">
        <f t="shared" si="11"/>
        <v>6.75</v>
      </c>
    </row>
    <row r="53" spans="1:16">
      <c r="A53" t="s">
        <v>155</v>
      </c>
      <c r="B53" t="str">
        <f t="shared" si="2"/>
        <v>HEW41</v>
      </c>
      <c r="C53">
        <f t="shared" si="13"/>
        <v>5</v>
      </c>
      <c r="D53" t="str">
        <f t="shared" si="3"/>
        <v/>
      </c>
      <c r="E53">
        <f>VLOOKUP($A53,Pre12.11.19!$A$17:$N$29,9,FALSE)</f>
        <v>43780.666666666664</v>
      </c>
      <c r="F53">
        <f t="shared" si="4"/>
        <v>2019</v>
      </c>
      <c r="G53">
        <f t="shared" si="5"/>
        <v>11</v>
      </c>
      <c r="H53">
        <f t="shared" si="6"/>
        <v>11.666666666664241</v>
      </c>
      <c r="I53" s="140">
        <f>VLOOKUP($A53,IF(C53=1,Pre12.11.19!$A$17:$O$40,IF(C53=2,Pre13.11.19!$A$17:$O$40,IF(C53=3,Pre14.11.19!$A$17:$O$40,IF(C53=4,Pre15.11.19!$A$17:$O$40,IF(C53=5,Inc18.11.19!$A$17:$O$40,IF(C53=6,Inc21.11.19!$A$17:$O$40,Inc22.11.19!$A$17:$O$28)))))),2,FALSE)</f>
        <v>43787.416666666664</v>
      </c>
      <c r="J53">
        <f t="shared" si="7"/>
        <v>2019</v>
      </c>
      <c r="K53">
        <f t="shared" si="8"/>
        <v>11</v>
      </c>
      <c r="L53">
        <f t="shared" si="9"/>
        <v>18.416666666664241</v>
      </c>
      <c r="M53" t="s">
        <v>351</v>
      </c>
      <c r="N53" s="10">
        <f t="shared" si="10"/>
        <v>6.75</v>
      </c>
      <c r="O53">
        <f>IFERROR(VLOOKUP($A53,IF(C53=1,Pre12.11.19!$A$17:$O$40,IF(C53=2,Pre13.11.19!$A$17:$O$40,IF(C53=3,Pre14.11.19!$A$17:$O$40,IF(C53=4,Pre15.11.19!$A$17:$O$40,IF(C53=5,Inc18.11.19!$A$17:$O$40,IF(C53=6,Inc21.11.19!$A$17:$O$40,Inc22.11.19!$A$17:$O$28)))))),14,FALSE),"")</f>
        <v>11.363460485539985</v>
      </c>
      <c r="P53" s="10">
        <f t="shared" si="11"/>
        <v>6.75</v>
      </c>
    </row>
    <row r="54" spans="1:16">
      <c r="A54" t="s">
        <v>156</v>
      </c>
      <c r="B54" t="str">
        <f t="shared" si="2"/>
        <v>HEW42</v>
      </c>
      <c r="C54">
        <f t="shared" si="13"/>
        <v>5</v>
      </c>
      <c r="D54" t="str">
        <f t="shared" si="3"/>
        <v/>
      </c>
      <c r="E54">
        <f>VLOOKUP($A54,Pre12.11.19!$A$17:$N$29,9,FALSE)</f>
        <v>43780.666666666664</v>
      </c>
      <c r="F54">
        <f t="shared" si="4"/>
        <v>2019</v>
      </c>
      <c r="G54">
        <f t="shared" si="5"/>
        <v>11</v>
      </c>
      <c r="H54">
        <f t="shared" si="6"/>
        <v>11.666666666664241</v>
      </c>
      <c r="I54" s="140">
        <f>VLOOKUP($A54,IF(C54=1,Pre12.11.19!$A$17:$O$40,IF(C54=2,Pre13.11.19!$A$17:$O$40,IF(C54=3,Pre14.11.19!$A$17:$O$40,IF(C54=4,Pre15.11.19!$A$17:$O$40,IF(C54=5,Inc18.11.19!$A$17:$O$40,IF(C54=6,Inc21.11.19!$A$17:$O$40,Inc22.11.19!$A$17:$O$28)))))),2,FALSE)</f>
        <v>43787.416666666664</v>
      </c>
      <c r="J54">
        <f t="shared" si="7"/>
        <v>2019</v>
      </c>
      <c r="K54">
        <f t="shared" si="8"/>
        <v>11</v>
      </c>
      <c r="L54">
        <f t="shared" si="9"/>
        <v>18.416666666664241</v>
      </c>
      <c r="M54" t="s">
        <v>351</v>
      </c>
      <c r="N54" s="10">
        <f t="shared" si="10"/>
        <v>6.75</v>
      </c>
      <c r="O54">
        <f>IFERROR(VLOOKUP($A54,IF(C54=1,Pre12.11.19!$A$17:$O$40,IF(C54=2,Pre13.11.19!$A$17:$O$40,IF(C54=3,Pre14.11.19!$A$17:$O$40,IF(C54=4,Pre15.11.19!$A$17:$O$40,IF(C54=5,Inc18.11.19!$A$17:$O$40,IF(C54=6,Inc21.11.19!$A$17:$O$40,Inc22.11.19!$A$17:$O$28)))))),14,FALSE),"")</f>
        <v>7.2140553864215651</v>
      </c>
      <c r="P54" s="10">
        <f t="shared" si="11"/>
        <v>6.75</v>
      </c>
    </row>
    <row r="55" spans="1:16">
      <c r="A55" t="s">
        <v>157</v>
      </c>
      <c r="B55" t="str">
        <f t="shared" si="2"/>
        <v>HEW42</v>
      </c>
      <c r="C55">
        <f t="shared" si="13"/>
        <v>5</v>
      </c>
      <c r="D55" t="str">
        <f t="shared" si="3"/>
        <v/>
      </c>
      <c r="E55">
        <f>VLOOKUP($A55,Pre12.11.19!$A$17:$N$29,9,FALSE)</f>
        <v>43780.666666666664</v>
      </c>
      <c r="F55">
        <f t="shared" si="4"/>
        <v>2019</v>
      </c>
      <c r="G55">
        <f t="shared" si="5"/>
        <v>11</v>
      </c>
      <c r="H55">
        <f t="shared" si="6"/>
        <v>11.666666666664241</v>
      </c>
      <c r="I55" s="140">
        <f>VLOOKUP($A55,IF(C55=1,Pre12.11.19!$A$17:$O$40,IF(C55=2,Pre13.11.19!$A$17:$O$40,IF(C55=3,Pre14.11.19!$A$17:$O$40,IF(C55=4,Pre15.11.19!$A$17:$O$40,IF(C55=5,Inc18.11.19!$A$17:$O$40,IF(C55=6,Inc21.11.19!$A$17:$O$40,Inc22.11.19!$A$17:$O$28)))))),2,FALSE)</f>
        <v>43787.416666666664</v>
      </c>
      <c r="J55">
        <f t="shared" si="7"/>
        <v>2019</v>
      </c>
      <c r="K55">
        <f t="shared" si="8"/>
        <v>11</v>
      </c>
      <c r="L55">
        <f t="shared" si="9"/>
        <v>18.416666666664241</v>
      </c>
      <c r="M55" t="s">
        <v>351</v>
      </c>
      <c r="N55" s="10">
        <f t="shared" si="10"/>
        <v>6.75</v>
      </c>
      <c r="O55">
        <f>IFERROR(VLOOKUP($A55,IF(C55=1,Pre12.11.19!$A$17:$O$40,IF(C55=2,Pre13.11.19!$A$17:$O$40,IF(C55=3,Pre14.11.19!$A$17:$O$40,IF(C55=4,Pre15.11.19!$A$17:$O$40,IF(C55=5,Inc18.11.19!$A$17:$O$40,IF(C55=6,Inc21.11.19!$A$17:$O$40,Inc22.11.19!$A$17:$O$28)))))),14,FALSE),"")</f>
        <v>7.3706363485420336</v>
      </c>
      <c r="P55" s="10">
        <f t="shared" si="11"/>
        <v>6.75</v>
      </c>
    </row>
    <row r="56" spans="1:16">
      <c r="A56" t="s">
        <v>158</v>
      </c>
      <c r="B56" t="str">
        <f t="shared" si="2"/>
        <v>HEG10</v>
      </c>
      <c r="C56">
        <f t="shared" si="13"/>
        <v>5</v>
      </c>
      <c r="D56" t="str">
        <f t="shared" si="3"/>
        <v/>
      </c>
      <c r="E56">
        <f>VLOOKUP($A56,Pre12.11.19!$A$17:$N$29,9,FALSE)</f>
        <v>43780.666666666664</v>
      </c>
      <c r="F56">
        <f t="shared" si="4"/>
        <v>2019</v>
      </c>
      <c r="G56">
        <f t="shared" si="5"/>
        <v>11</v>
      </c>
      <c r="H56">
        <f t="shared" si="6"/>
        <v>11.666666666664241</v>
      </c>
      <c r="I56" s="140">
        <f>VLOOKUP($A56,IF(C56=1,Pre12.11.19!$A$17:$O$40,IF(C56=2,Pre13.11.19!$A$17:$O$40,IF(C56=3,Pre14.11.19!$A$17:$O$40,IF(C56=4,Pre15.11.19!$A$17:$O$40,IF(C56=5,Inc18.11.19!$A$17:$O$40,IF(C56=6,Inc21.11.19!$A$17:$O$40,Inc22.11.19!$A$17:$O$28)))))),2,FALSE)</f>
        <v>43787.416666666664</v>
      </c>
      <c r="J56">
        <f t="shared" si="7"/>
        <v>2019</v>
      </c>
      <c r="K56">
        <f t="shared" si="8"/>
        <v>11</v>
      </c>
      <c r="L56">
        <f t="shared" si="9"/>
        <v>18.416666666664241</v>
      </c>
      <c r="M56" t="s">
        <v>351</v>
      </c>
      <c r="N56" s="10">
        <f t="shared" si="10"/>
        <v>6.75</v>
      </c>
      <c r="O56">
        <f>IFERROR(VLOOKUP($A56,IF(C56=1,Pre12.11.19!$A$17:$O$40,IF(C56=2,Pre13.11.19!$A$17:$O$40,IF(C56=3,Pre14.11.19!$A$17:$O$40,IF(C56=4,Pre15.11.19!$A$17:$O$40,IF(C56=5,Inc18.11.19!$A$17:$O$40,IF(C56=6,Inc21.11.19!$A$17:$O$40,Inc22.11.19!$A$17:$O$28)))))),14,FALSE),"")</f>
        <v>13.087934421891621</v>
      </c>
      <c r="P56" s="10">
        <f t="shared" si="11"/>
        <v>6.75</v>
      </c>
    </row>
    <row r="57" spans="1:16">
      <c r="A57" t="s">
        <v>159</v>
      </c>
      <c r="B57" t="str">
        <f t="shared" si="2"/>
        <v>HEG10</v>
      </c>
      <c r="C57">
        <f t="shared" si="13"/>
        <v>5</v>
      </c>
      <c r="D57" t="str">
        <f t="shared" si="3"/>
        <v/>
      </c>
      <c r="E57">
        <f>VLOOKUP($A57,Pre12.11.19!$A$17:$N$29,9,FALSE)</f>
        <v>43780.666666666664</v>
      </c>
      <c r="F57">
        <f t="shared" si="4"/>
        <v>2019</v>
      </c>
      <c r="G57">
        <f t="shared" si="5"/>
        <v>11</v>
      </c>
      <c r="H57">
        <f t="shared" si="6"/>
        <v>11.666666666664241</v>
      </c>
      <c r="I57" s="140">
        <f>VLOOKUP($A57,IF(C57=1,Pre12.11.19!$A$17:$O$40,IF(C57=2,Pre13.11.19!$A$17:$O$40,IF(C57=3,Pre14.11.19!$A$17:$O$40,IF(C57=4,Pre15.11.19!$A$17:$O$40,IF(C57=5,Inc18.11.19!$A$17:$O$40,IF(C57=6,Inc21.11.19!$A$17:$O$40,Inc22.11.19!$A$17:$O$28)))))),2,FALSE)</f>
        <v>43787.416666666664</v>
      </c>
      <c r="J57">
        <f t="shared" si="7"/>
        <v>2019</v>
      </c>
      <c r="K57">
        <f t="shared" si="8"/>
        <v>11</v>
      </c>
      <c r="L57">
        <f t="shared" si="9"/>
        <v>18.416666666664241</v>
      </c>
      <c r="M57" t="s">
        <v>351</v>
      </c>
      <c r="N57" s="10">
        <f t="shared" si="10"/>
        <v>6.75</v>
      </c>
      <c r="O57">
        <f>IFERROR(VLOOKUP($A57,IF(C57=1,Pre12.11.19!$A$17:$O$40,IF(C57=2,Pre13.11.19!$A$17:$O$40,IF(C57=3,Pre14.11.19!$A$17:$O$40,IF(C57=4,Pre15.11.19!$A$17:$O$40,IF(C57=5,Inc18.11.19!$A$17:$O$40,IF(C57=6,Inc21.11.19!$A$17:$O$40,Inc22.11.19!$A$17:$O$28)))))),14,FALSE),"")</f>
        <v>11.596812142111776</v>
      </c>
      <c r="P57" s="10">
        <f t="shared" si="11"/>
        <v>6.75</v>
      </c>
    </row>
    <row r="58" spans="1:16">
      <c r="A58" t="s">
        <v>160</v>
      </c>
      <c r="B58" t="str">
        <f t="shared" si="2"/>
        <v>HEG32</v>
      </c>
      <c r="C58">
        <f t="shared" si="13"/>
        <v>5</v>
      </c>
      <c r="D58" t="str">
        <f t="shared" si="3"/>
        <v/>
      </c>
      <c r="E58">
        <f>VLOOKUP($A58,Pre12.11.19!$A$17:$N$29,9,FALSE)</f>
        <v>43780.666666666664</v>
      </c>
      <c r="F58">
        <f t="shared" si="4"/>
        <v>2019</v>
      </c>
      <c r="G58">
        <f t="shared" si="5"/>
        <v>11</v>
      </c>
      <c r="H58">
        <f t="shared" si="6"/>
        <v>11.666666666664241</v>
      </c>
      <c r="I58" s="140">
        <f>VLOOKUP($A58,IF(C58=1,Pre12.11.19!$A$17:$O$40,IF(C58=2,Pre13.11.19!$A$17:$O$40,IF(C58=3,Pre14.11.19!$A$17:$O$40,IF(C58=4,Pre15.11.19!$A$17:$O$40,IF(C58=5,Inc18.11.19!$A$17:$O$40,IF(C58=6,Inc21.11.19!$A$17:$O$40,Inc22.11.19!$A$17:$O$28)))))),2,FALSE)</f>
        <v>43787.416666666664</v>
      </c>
      <c r="J58">
        <f t="shared" si="7"/>
        <v>2019</v>
      </c>
      <c r="K58">
        <f t="shared" si="8"/>
        <v>11</v>
      </c>
      <c r="L58">
        <f t="shared" si="9"/>
        <v>18.416666666664241</v>
      </c>
      <c r="M58" t="s">
        <v>351</v>
      </c>
      <c r="N58" s="10">
        <f t="shared" si="10"/>
        <v>6.75</v>
      </c>
      <c r="O58">
        <f>IFERROR(VLOOKUP($A58,IF(C58=1,Pre12.11.19!$A$17:$O$40,IF(C58=2,Pre13.11.19!$A$17:$O$40,IF(C58=3,Pre14.11.19!$A$17:$O$40,IF(C58=4,Pre15.11.19!$A$17:$O$40,IF(C58=5,Inc18.11.19!$A$17:$O$40,IF(C58=6,Inc21.11.19!$A$17:$O$40,Inc22.11.19!$A$17:$O$28)))))),14,FALSE),"")</f>
        <v>15.009725184671517</v>
      </c>
      <c r="P58" s="10">
        <f t="shared" si="11"/>
        <v>6.75</v>
      </c>
    </row>
    <row r="59" spans="1:16">
      <c r="A59" t="s">
        <v>161</v>
      </c>
      <c r="B59" t="str">
        <f t="shared" si="2"/>
        <v>HEG32</v>
      </c>
      <c r="C59">
        <f t="shared" si="13"/>
        <v>5</v>
      </c>
      <c r="D59" t="str">
        <f t="shared" si="3"/>
        <v/>
      </c>
      <c r="E59">
        <f>VLOOKUP($A59,Pre12.11.19!$A$17:$N$29,9,FALSE)</f>
        <v>43780.666666666664</v>
      </c>
      <c r="F59">
        <f t="shared" si="4"/>
        <v>2019</v>
      </c>
      <c r="G59">
        <f t="shared" si="5"/>
        <v>11</v>
      </c>
      <c r="H59">
        <f t="shared" si="6"/>
        <v>11.666666666664241</v>
      </c>
      <c r="I59" s="140">
        <f>VLOOKUP($A59,IF(C59=1,Pre12.11.19!$A$17:$O$40,IF(C59=2,Pre13.11.19!$A$17:$O$40,IF(C59=3,Pre14.11.19!$A$17:$O$40,IF(C59=4,Pre15.11.19!$A$17:$O$40,IF(C59=5,Inc18.11.19!$A$17:$O$40,IF(C59=6,Inc21.11.19!$A$17:$O$40,Inc22.11.19!$A$17:$O$28)))))),2,FALSE)</f>
        <v>43787.416666666664</v>
      </c>
      <c r="J59">
        <f t="shared" si="7"/>
        <v>2019</v>
      </c>
      <c r="K59">
        <f t="shared" si="8"/>
        <v>11</v>
      </c>
      <c r="L59">
        <f t="shared" si="9"/>
        <v>18.416666666664241</v>
      </c>
      <c r="M59" t="s">
        <v>351</v>
      </c>
      <c r="N59" s="10">
        <f t="shared" si="10"/>
        <v>6.75</v>
      </c>
      <c r="O59">
        <f>IFERROR(VLOOKUP($A59,IF(C59=1,Pre12.11.19!$A$17:$O$40,IF(C59=2,Pre13.11.19!$A$17:$O$40,IF(C59=3,Pre14.11.19!$A$17:$O$40,IF(C59=4,Pre15.11.19!$A$17:$O$40,IF(C59=5,Inc18.11.19!$A$17:$O$40,IF(C59=6,Inc21.11.19!$A$17:$O$40,Inc22.11.19!$A$17:$O$28)))))),14,FALSE),"")</f>
        <v>13.708988379801244</v>
      </c>
      <c r="P59" s="10">
        <f t="shared" si="11"/>
        <v>6.75</v>
      </c>
    </row>
    <row r="60" spans="1:16">
      <c r="A60" t="s">
        <v>162</v>
      </c>
      <c r="B60" t="str">
        <f t="shared" si="2"/>
        <v>HEG48</v>
      </c>
      <c r="C60">
        <f t="shared" si="13"/>
        <v>5</v>
      </c>
      <c r="D60" t="str">
        <f t="shared" si="3"/>
        <v/>
      </c>
      <c r="E60">
        <f>VLOOKUP($A60,Pre12.11.19!$A$17:$N$29,9,FALSE)</f>
        <v>43780.666666666664</v>
      </c>
      <c r="F60">
        <f t="shared" si="4"/>
        <v>2019</v>
      </c>
      <c r="G60">
        <f t="shared" si="5"/>
        <v>11</v>
      </c>
      <c r="H60">
        <f t="shared" si="6"/>
        <v>11.666666666664241</v>
      </c>
      <c r="I60" s="140">
        <f>VLOOKUP($A60,IF(C60=1,Pre12.11.19!$A$17:$O$40,IF(C60=2,Pre13.11.19!$A$17:$O$40,IF(C60=3,Pre14.11.19!$A$17:$O$40,IF(C60=4,Pre15.11.19!$A$17:$O$40,IF(C60=5,Inc18.11.19!$A$17:$O$40,IF(C60=6,Inc21.11.19!$A$17:$O$40,Inc22.11.19!$A$17:$O$28)))))),2,FALSE)</f>
        <v>43787.416666666664</v>
      </c>
      <c r="J60">
        <f t="shared" si="7"/>
        <v>2019</v>
      </c>
      <c r="K60">
        <f t="shared" si="8"/>
        <v>11</v>
      </c>
      <c r="L60">
        <f t="shared" si="9"/>
        <v>18.416666666664241</v>
      </c>
      <c r="M60" t="s">
        <v>351</v>
      </c>
      <c r="N60" s="10">
        <f t="shared" si="10"/>
        <v>6.75</v>
      </c>
      <c r="O60">
        <f>IFERROR(VLOOKUP($A60,IF(C60=1,Pre12.11.19!$A$17:$O$40,IF(C60=2,Pre13.11.19!$A$17:$O$40,IF(C60=3,Pre14.11.19!$A$17:$O$40,IF(C60=4,Pre15.11.19!$A$17:$O$40,IF(C60=5,Inc18.11.19!$A$17:$O$40,IF(C60=6,Inc21.11.19!$A$17:$O$40,Inc22.11.19!$A$17:$O$28)))))),14,FALSE),"")</f>
        <v>16.377012514616318</v>
      </c>
      <c r="P60" s="10">
        <f t="shared" si="11"/>
        <v>6.75</v>
      </c>
    </row>
    <row r="61" spans="1:16">
      <c r="A61" t="s">
        <v>163</v>
      </c>
      <c r="B61" t="str">
        <f t="shared" si="2"/>
        <v>HEG48</v>
      </c>
      <c r="C61">
        <f t="shared" si="13"/>
        <v>5</v>
      </c>
      <c r="D61" t="str">
        <f t="shared" si="3"/>
        <v/>
      </c>
      <c r="E61">
        <f>VLOOKUP($A61,Pre12.11.19!$A$17:$N$29,9,FALSE)</f>
        <v>43780.666666666664</v>
      </c>
      <c r="F61">
        <f t="shared" si="4"/>
        <v>2019</v>
      </c>
      <c r="G61">
        <f t="shared" si="5"/>
        <v>11</v>
      </c>
      <c r="H61">
        <f t="shared" si="6"/>
        <v>11.666666666664241</v>
      </c>
      <c r="I61" s="140">
        <f>VLOOKUP($A61,IF(C61=1,Pre12.11.19!$A$17:$O$40,IF(C61=2,Pre13.11.19!$A$17:$O$40,IF(C61=3,Pre14.11.19!$A$17:$O$40,IF(C61=4,Pre15.11.19!$A$17:$O$40,IF(C61=5,Inc18.11.19!$A$17:$O$40,IF(C61=6,Inc21.11.19!$A$17:$O$40,Inc22.11.19!$A$17:$O$28)))))),2,FALSE)</f>
        <v>43787.416666666664</v>
      </c>
      <c r="J61">
        <f t="shared" si="7"/>
        <v>2019</v>
      </c>
      <c r="K61">
        <f t="shared" si="8"/>
        <v>11</v>
      </c>
      <c r="L61">
        <f t="shared" si="9"/>
        <v>18.416666666664241</v>
      </c>
      <c r="M61" t="s">
        <v>351</v>
      </c>
      <c r="N61" s="10">
        <f t="shared" si="10"/>
        <v>6.75</v>
      </c>
      <c r="O61">
        <f>IFERROR(VLOOKUP($A61,IF(C61=1,Pre12.11.19!$A$17:$O$40,IF(C61=2,Pre13.11.19!$A$17:$O$40,IF(C61=3,Pre14.11.19!$A$17:$O$40,IF(C61=4,Pre15.11.19!$A$17:$O$40,IF(C61=5,Inc18.11.19!$A$17:$O$40,IF(C61=6,Inc21.11.19!$A$17:$O$40,Inc22.11.19!$A$17:$O$28)))))),14,FALSE),"")</f>
        <v>14.642738554701667</v>
      </c>
      <c r="P61" s="10">
        <f t="shared" si="11"/>
        <v>6.75</v>
      </c>
    </row>
    <row r="62" spans="1:16">
      <c r="A62" t="s">
        <v>152</v>
      </c>
      <c r="B62" t="str">
        <f t="shared" si="2"/>
        <v>HEW22</v>
      </c>
      <c r="C62">
        <v>6</v>
      </c>
      <c r="D62" t="str">
        <f t="shared" si="3"/>
        <v/>
      </c>
      <c r="E62">
        <f>VLOOKUP($A62,Pre12.11.19!$A$17:$N$29,9,FALSE)</f>
        <v>43780.666666666664</v>
      </c>
      <c r="F62">
        <f t="shared" si="4"/>
        <v>2019</v>
      </c>
      <c r="G62">
        <f t="shared" si="5"/>
        <v>11</v>
      </c>
      <c r="H62">
        <f t="shared" si="6"/>
        <v>11.666666666664241</v>
      </c>
      <c r="I62" s="140">
        <f>VLOOKUP($A62,IF(C62=1,Pre12.11.19!$A$17:$O$40,IF(C62=2,Pre13.11.19!$A$17:$O$40,IF(C62=3,Pre14.11.19!$A$17:$O$40,IF(C62=4,Pre15.11.19!$A$17:$O$40,IF(C62=5,Inc18.11.19!$A$17:$O$40,IF(C62=6,Inc21.11.19!$A$17:$O$40,Inc22.11.19!$A$17:$O$28)))))),2,FALSE)</f>
        <v>43790.6875</v>
      </c>
      <c r="J62">
        <f t="shared" si="7"/>
        <v>2019</v>
      </c>
      <c r="K62">
        <f t="shared" si="8"/>
        <v>11</v>
      </c>
      <c r="L62">
        <f t="shared" si="9"/>
        <v>21.6875</v>
      </c>
      <c r="M62" t="s">
        <v>351</v>
      </c>
      <c r="N62" s="10">
        <f t="shared" si="10"/>
        <v>10.020833333335759</v>
      </c>
      <c r="O62">
        <f>IFERROR(VLOOKUP($A62,IF(C62=1,Pre12.11.19!$A$17:$O$40,IF(C62=2,Pre13.11.19!$A$17:$O$40,IF(C62=3,Pre14.11.19!$A$17:$O$40,IF(C62=4,Pre15.11.19!$A$17:$O$40,IF(C62=5,Inc18.11.19!$A$17:$O$40,IF(C62=6,Inc21.11.19!$A$17:$O$40,Inc22.11.19!$A$17:$O$28)))))),14,FALSE),"")</f>
        <v>13.401471024194027</v>
      </c>
      <c r="P62" s="10">
        <f t="shared" si="11"/>
        <v>10.020833333335759</v>
      </c>
    </row>
    <row r="63" spans="1:16">
      <c r="A63" t="s">
        <v>153</v>
      </c>
      <c r="B63" t="str">
        <f t="shared" si="2"/>
        <v>HEW22</v>
      </c>
      <c r="C63">
        <f t="shared" ref="C63" si="17">C62</f>
        <v>6</v>
      </c>
      <c r="D63" t="str">
        <f t="shared" si="3"/>
        <v/>
      </c>
      <c r="E63">
        <f>VLOOKUP($A63,Pre12.11.19!$A$17:$N$29,9,FALSE)</f>
        <v>43780.666666666664</v>
      </c>
      <c r="F63">
        <f t="shared" si="4"/>
        <v>2019</v>
      </c>
      <c r="G63">
        <f t="shared" si="5"/>
        <v>11</v>
      </c>
      <c r="H63">
        <f t="shared" si="6"/>
        <v>11.666666666664241</v>
      </c>
      <c r="I63" s="140">
        <f>VLOOKUP($A63,IF(C63=1,Pre12.11.19!$A$17:$O$40,IF(C63=2,Pre13.11.19!$A$17:$O$40,IF(C63=3,Pre14.11.19!$A$17:$O$40,IF(C63=4,Pre15.11.19!$A$17:$O$40,IF(C63=5,Inc18.11.19!$A$17:$O$40,IF(C63=6,Inc21.11.19!$A$17:$O$40,Inc22.11.19!$A$17:$O$28)))))),2,FALSE)</f>
        <v>43790.6875</v>
      </c>
      <c r="J63">
        <f t="shared" si="7"/>
        <v>2019</v>
      </c>
      <c r="K63">
        <f t="shared" si="8"/>
        <v>11</v>
      </c>
      <c r="L63">
        <f t="shared" si="9"/>
        <v>21.6875</v>
      </c>
      <c r="M63" t="s">
        <v>351</v>
      </c>
      <c r="N63" s="10">
        <f t="shared" si="10"/>
        <v>10.020833333335759</v>
      </c>
      <c r="O63">
        <f>IFERROR(VLOOKUP($A63,IF(C63=1,Pre12.11.19!$A$17:$O$40,IF(C63=2,Pre13.11.19!$A$17:$O$40,IF(C63=3,Pre14.11.19!$A$17:$O$40,IF(C63=4,Pre15.11.19!$A$17:$O$40,IF(C63=5,Inc18.11.19!$A$17:$O$40,IF(C63=6,Inc21.11.19!$A$17:$O$40,Inc22.11.19!$A$17:$O$28)))))),14,FALSE),"")</f>
        <v>14.403454684956213</v>
      </c>
      <c r="P63" s="10">
        <f t="shared" si="11"/>
        <v>10.020833333335759</v>
      </c>
    </row>
    <row r="64" spans="1:16">
      <c r="A64" t="s">
        <v>154</v>
      </c>
      <c r="B64" t="str">
        <f t="shared" si="2"/>
        <v>HEW41</v>
      </c>
      <c r="C64">
        <f t="shared" si="13"/>
        <v>6</v>
      </c>
      <c r="D64" t="str">
        <f t="shared" si="3"/>
        <v/>
      </c>
      <c r="E64">
        <f>VLOOKUP($A64,Pre12.11.19!$A$17:$N$29,9,FALSE)</f>
        <v>43780.666666666664</v>
      </c>
      <c r="F64">
        <f t="shared" si="4"/>
        <v>2019</v>
      </c>
      <c r="G64">
        <f t="shared" si="5"/>
        <v>11</v>
      </c>
      <c r="H64">
        <f t="shared" si="6"/>
        <v>11.666666666664241</v>
      </c>
      <c r="I64" s="140">
        <f>VLOOKUP($A64,IF(C64=1,Pre12.11.19!$A$17:$O$40,IF(C64=2,Pre13.11.19!$A$17:$O$40,IF(C64=3,Pre14.11.19!$A$17:$O$40,IF(C64=4,Pre15.11.19!$A$17:$O$40,IF(C64=5,Inc18.11.19!$A$17:$O$40,IF(C64=6,Inc21.11.19!$A$17:$O$40,Inc22.11.19!$A$17:$O$28)))))),2,FALSE)</f>
        <v>43790.6875</v>
      </c>
      <c r="J64">
        <f t="shared" si="7"/>
        <v>2019</v>
      </c>
      <c r="K64">
        <f t="shared" si="8"/>
        <v>11</v>
      </c>
      <c r="L64">
        <f t="shared" si="9"/>
        <v>21.6875</v>
      </c>
      <c r="M64" t="s">
        <v>351</v>
      </c>
      <c r="N64" s="10">
        <f t="shared" si="10"/>
        <v>10.020833333335759</v>
      </c>
      <c r="O64">
        <f>IFERROR(VLOOKUP($A64,IF(C64=1,Pre12.11.19!$A$17:$O$40,IF(C64=2,Pre13.11.19!$A$17:$O$40,IF(C64=3,Pre14.11.19!$A$17:$O$40,IF(C64=4,Pre15.11.19!$A$17:$O$40,IF(C64=5,Inc18.11.19!$A$17:$O$40,IF(C64=6,Inc21.11.19!$A$17:$O$40,Inc22.11.19!$A$17:$O$28)))))),14,FALSE),"")</f>
        <v>14.510121508014569</v>
      </c>
      <c r="P64" s="10">
        <f t="shared" si="11"/>
        <v>10.020833333335759</v>
      </c>
    </row>
    <row r="65" spans="1:16">
      <c r="A65" t="s">
        <v>155</v>
      </c>
      <c r="B65" t="str">
        <f t="shared" si="2"/>
        <v>HEW41</v>
      </c>
      <c r="C65">
        <f t="shared" si="13"/>
        <v>6</v>
      </c>
      <c r="D65" t="str">
        <f t="shared" si="3"/>
        <v/>
      </c>
      <c r="E65">
        <f>VLOOKUP($A65,Pre12.11.19!$A$17:$N$29,9,FALSE)</f>
        <v>43780.666666666664</v>
      </c>
      <c r="F65">
        <f t="shared" si="4"/>
        <v>2019</v>
      </c>
      <c r="G65">
        <f t="shared" si="5"/>
        <v>11</v>
      </c>
      <c r="H65">
        <f t="shared" si="6"/>
        <v>11.666666666664241</v>
      </c>
      <c r="I65" s="140">
        <f>VLOOKUP($A65,IF(C65=1,Pre12.11.19!$A$17:$O$40,IF(C65=2,Pre13.11.19!$A$17:$O$40,IF(C65=3,Pre14.11.19!$A$17:$O$40,IF(C65=4,Pre15.11.19!$A$17:$O$40,IF(C65=5,Inc18.11.19!$A$17:$O$40,IF(C65=6,Inc21.11.19!$A$17:$O$40,Inc22.11.19!$A$17:$O$28)))))),2,FALSE)</f>
        <v>43790.6875</v>
      </c>
      <c r="J65">
        <f t="shared" si="7"/>
        <v>2019</v>
      </c>
      <c r="K65">
        <f t="shared" si="8"/>
        <v>11</v>
      </c>
      <c r="L65">
        <f t="shared" si="9"/>
        <v>21.6875</v>
      </c>
      <c r="M65" t="s">
        <v>351</v>
      </c>
      <c r="N65" s="10">
        <f t="shared" si="10"/>
        <v>10.020833333335759</v>
      </c>
      <c r="O65">
        <f>IFERROR(VLOOKUP($A65,IF(C65=1,Pre12.11.19!$A$17:$O$40,IF(C65=2,Pre13.11.19!$A$17:$O$40,IF(C65=3,Pre14.11.19!$A$17:$O$40,IF(C65=4,Pre15.11.19!$A$17:$O$40,IF(C65=5,Inc18.11.19!$A$17:$O$40,IF(C65=6,Inc21.11.19!$A$17:$O$40,Inc22.11.19!$A$17:$O$28)))))),14,FALSE),"")</f>
        <v>16.254220445459946</v>
      </c>
      <c r="P65" s="10">
        <f t="shared" si="11"/>
        <v>10.020833333335759</v>
      </c>
    </row>
    <row r="66" spans="1:16">
      <c r="A66" t="s">
        <v>156</v>
      </c>
      <c r="B66" t="str">
        <f t="shared" si="2"/>
        <v>HEW42</v>
      </c>
      <c r="C66">
        <f t="shared" si="13"/>
        <v>6</v>
      </c>
      <c r="D66" t="str">
        <f t="shared" si="3"/>
        <v/>
      </c>
      <c r="E66">
        <f>VLOOKUP($A66,Pre12.11.19!$A$17:$N$29,9,FALSE)</f>
        <v>43780.666666666664</v>
      </c>
      <c r="F66">
        <f t="shared" si="4"/>
        <v>2019</v>
      </c>
      <c r="G66">
        <f t="shared" si="5"/>
        <v>11</v>
      </c>
      <c r="H66">
        <f t="shared" si="6"/>
        <v>11.666666666664241</v>
      </c>
      <c r="I66" s="140">
        <f>VLOOKUP($A66,IF(C66=1,Pre12.11.19!$A$17:$O$40,IF(C66=2,Pre13.11.19!$A$17:$O$40,IF(C66=3,Pre14.11.19!$A$17:$O$40,IF(C66=4,Pre15.11.19!$A$17:$O$40,IF(C66=5,Inc18.11.19!$A$17:$O$40,IF(C66=6,Inc21.11.19!$A$17:$O$40,Inc22.11.19!$A$17:$O$28)))))),2,FALSE)</f>
        <v>43790.6875</v>
      </c>
      <c r="J66">
        <f t="shared" si="7"/>
        <v>2019</v>
      </c>
      <c r="K66">
        <f t="shared" si="8"/>
        <v>11</v>
      </c>
      <c r="L66">
        <f t="shared" si="9"/>
        <v>21.6875</v>
      </c>
      <c r="M66" t="s">
        <v>351</v>
      </c>
      <c r="N66" s="10">
        <f t="shared" si="10"/>
        <v>10.020833333335759</v>
      </c>
      <c r="O66">
        <f>IFERROR(VLOOKUP($A66,IF(C66=1,Pre12.11.19!$A$17:$O$40,IF(C66=2,Pre13.11.19!$A$17:$O$40,IF(C66=3,Pre14.11.19!$A$17:$O$40,IF(C66=4,Pre15.11.19!$A$17:$O$40,IF(C66=5,Inc18.11.19!$A$17:$O$40,IF(C66=6,Inc21.11.19!$A$17:$O$40,Inc22.11.19!$A$17:$O$28)))))),14,FALSE),"")</f>
        <v>11.160925789344304</v>
      </c>
      <c r="P66" s="10">
        <f t="shared" si="11"/>
        <v>10.020833333335759</v>
      </c>
    </row>
    <row r="67" spans="1:16">
      <c r="A67" t="s">
        <v>157</v>
      </c>
      <c r="B67" t="str">
        <f t="shared" ref="B67:B85" si="18">LEFT(A67,5)</f>
        <v>HEW42</v>
      </c>
      <c r="C67">
        <f t="shared" si="13"/>
        <v>6</v>
      </c>
      <c r="D67" t="str">
        <f t="shared" ref="D67:D85" si="19">IF(AND(C67&lt;&gt;C66,I67=I66),"fix meas date","")</f>
        <v/>
      </c>
      <c r="E67">
        <f>VLOOKUP($A67,Pre12.11.19!$A$17:$N$29,9,FALSE)</f>
        <v>43780.666666666664</v>
      </c>
      <c r="F67">
        <f t="shared" ref="F67:F85" si="20">YEAR(E67)</f>
        <v>2019</v>
      </c>
      <c r="G67">
        <f t="shared" ref="G67:G85" si="21">MONTH(E67)</f>
        <v>11</v>
      </c>
      <c r="H67">
        <f t="shared" ref="H67:H85" si="22">DAY(E67)+E67-ROUNDDOWN(E67,0)</f>
        <v>11.666666666664241</v>
      </c>
      <c r="I67" s="140">
        <f>VLOOKUP($A67,IF(C67=1,Pre12.11.19!$A$17:$O$40,IF(C67=2,Pre13.11.19!$A$17:$O$40,IF(C67=3,Pre14.11.19!$A$17:$O$40,IF(C67=4,Pre15.11.19!$A$17:$O$40,IF(C67=5,Inc18.11.19!$A$17:$O$40,IF(C67=6,Inc21.11.19!$A$17:$O$40,Inc22.11.19!$A$17:$O$28)))))),2,FALSE)</f>
        <v>43790.6875</v>
      </c>
      <c r="J67">
        <f t="shared" ref="J67:J85" si="23">YEAR(I67)</f>
        <v>2019</v>
      </c>
      <c r="K67">
        <f t="shared" ref="K67:K85" si="24">MONTH(I67)</f>
        <v>11</v>
      </c>
      <c r="L67">
        <f t="shared" ref="L67:L85" si="25">DAY(I67)+I67-ROUNDDOWN(I67,0)</f>
        <v>21.6875</v>
      </c>
      <c r="M67" t="s">
        <v>351</v>
      </c>
      <c r="N67" s="10">
        <f t="shared" ref="N67:N85" si="26">I67-E67</f>
        <v>10.020833333335759</v>
      </c>
      <c r="O67">
        <f>IFERROR(VLOOKUP($A67,IF(C67=1,Pre12.11.19!$A$17:$O$40,IF(C67=2,Pre13.11.19!$A$17:$O$40,IF(C67=3,Pre14.11.19!$A$17:$O$40,IF(C67=4,Pre15.11.19!$A$17:$O$40,IF(C67=5,Inc18.11.19!$A$17:$O$40,IF(C67=6,Inc21.11.19!$A$17:$O$40,Inc22.11.19!$A$17:$O$28)))))),14,FALSE),"")</f>
        <v>11.077381176768343</v>
      </c>
      <c r="P67" s="10">
        <f t="shared" ref="P67:P85" si="27">IF(M67="pre",N67,I67-E67)</f>
        <v>10.020833333335759</v>
      </c>
    </row>
    <row r="68" spans="1:16">
      <c r="A68" t="s">
        <v>158</v>
      </c>
      <c r="B68" t="str">
        <f t="shared" si="18"/>
        <v>HEG10</v>
      </c>
      <c r="C68">
        <f t="shared" si="13"/>
        <v>6</v>
      </c>
      <c r="D68" t="str">
        <f t="shared" si="19"/>
        <v/>
      </c>
      <c r="E68">
        <f>VLOOKUP($A68,Pre12.11.19!$A$17:$N$29,9,FALSE)</f>
        <v>43780.666666666664</v>
      </c>
      <c r="F68">
        <f t="shared" si="20"/>
        <v>2019</v>
      </c>
      <c r="G68">
        <f t="shared" si="21"/>
        <v>11</v>
      </c>
      <c r="H68">
        <f t="shared" si="22"/>
        <v>11.666666666664241</v>
      </c>
      <c r="I68" s="140">
        <f>VLOOKUP($A68,IF(C68=1,Pre12.11.19!$A$17:$O$40,IF(C68=2,Pre13.11.19!$A$17:$O$40,IF(C68=3,Pre14.11.19!$A$17:$O$40,IF(C68=4,Pre15.11.19!$A$17:$O$40,IF(C68=5,Inc18.11.19!$A$17:$O$40,IF(C68=6,Inc21.11.19!$A$17:$O$40,Inc22.11.19!$A$17:$O$28)))))),2,FALSE)</f>
        <v>43790.6875</v>
      </c>
      <c r="J68">
        <f t="shared" si="23"/>
        <v>2019</v>
      </c>
      <c r="K68">
        <f t="shared" si="24"/>
        <v>11</v>
      </c>
      <c r="L68">
        <f t="shared" si="25"/>
        <v>21.6875</v>
      </c>
      <c r="M68" t="s">
        <v>351</v>
      </c>
      <c r="N68" s="10">
        <f t="shared" si="26"/>
        <v>10.020833333335759</v>
      </c>
      <c r="O68">
        <f>IFERROR(VLOOKUP($A68,IF(C68=1,Pre12.11.19!$A$17:$O$40,IF(C68=2,Pre13.11.19!$A$17:$O$40,IF(C68=3,Pre14.11.19!$A$17:$O$40,IF(C68=4,Pre15.11.19!$A$17:$O$40,IF(C68=5,Inc18.11.19!$A$17:$O$40,IF(C68=6,Inc21.11.19!$A$17:$O$40,Inc22.11.19!$A$17:$O$28)))))),14,FALSE),"")</f>
        <v>18.932492730936023</v>
      </c>
      <c r="P68" s="10">
        <f t="shared" si="27"/>
        <v>10.020833333335759</v>
      </c>
    </row>
    <row r="69" spans="1:16">
      <c r="A69" t="s">
        <v>159</v>
      </c>
      <c r="B69" t="str">
        <f t="shared" si="18"/>
        <v>HEG10</v>
      </c>
      <c r="C69">
        <f t="shared" si="13"/>
        <v>6</v>
      </c>
      <c r="D69" t="str">
        <f t="shared" si="19"/>
        <v/>
      </c>
      <c r="E69">
        <f>VLOOKUP($A69,Pre12.11.19!$A$17:$N$29,9,FALSE)</f>
        <v>43780.666666666664</v>
      </c>
      <c r="F69">
        <f t="shared" si="20"/>
        <v>2019</v>
      </c>
      <c r="G69">
        <f t="shared" si="21"/>
        <v>11</v>
      </c>
      <c r="H69">
        <f t="shared" si="22"/>
        <v>11.666666666664241</v>
      </c>
      <c r="I69" s="140">
        <f>VLOOKUP($A69,IF(C69=1,Pre12.11.19!$A$17:$O$40,IF(C69=2,Pre13.11.19!$A$17:$O$40,IF(C69=3,Pre14.11.19!$A$17:$O$40,IF(C69=4,Pre15.11.19!$A$17:$O$40,IF(C69=5,Inc18.11.19!$A$17:$O$40,IF(C69=6,Inc21.11.19!$A$17:$O$40,Inc22.11.19!$A$17:$O$28)))))),2,FALSE)</f>
        <v>43790.6875</v>
      </c>
      <c r="J69">
        <f t="shared" si="23"/>
        <v>2019</v>
      </c>
      <c r="K69">
        <f t="shared" si="24"/>
        <v>11</v>
      </c>
      <c r="L69">
        <f t="shared" si="25"/>
        <v>21.6875</v>
      </c>
      <c r="M69" t="s">
        <v>351</v>
      </c>
      <c r="N69" s="10">
        <f t="shared" si="26"/>
        <v>10.020833333335759</v>
      </c>
      <c r="O69">
        <f>IFERROR(VLOOKUP($A69,IF(C69=1,Pre12.11.19!$A$17:$O$40,IF(C69=2,Pre13.11.19!$A$17:$O$40,IF(C69=3,Pre14.11.19!$A$17:$O$40,IF(C69=4,Pre15.11.19!$A$17:$O$40,IF(C69=5,Inc18.11.19!$A$17:$O$40,IF(C69=6,Inc21.11.19!$A$17:$O$40,Inc22.11.19!$A$17:$O$28)))))),14,FALSE),"")</f>
        <v>16.677583311240046</v>
      </c>
      <c r="P69" s="10">
        <f t="shared" si="27"/>
        <v>10.020833333335759</v>
      </c>
    </row>
    <row r="70" spans="1:16">
      <c r="A70" t="s">
        <v>160</v>
      </c>
      <c r="B70" t="str">
        <f t="shared" si="18"/>
        <v>HEG32</v>
      </c>
      <c r="C70">
        <f t="shared" si="13"/>
        <v>6</v>
      </c>
      <c r="D70" t="str">
        <f t="shared" si="19"/>
        <v/>
      </c>
      <c r="E70">
        <f>VLOOKUP($A70,Pre12.11.19!$A$17:$N$29,9,FALSE)</f>
        <v>43780.666666666664</v>
      </c>
      <c r="F70">
        <f t="shared" si="20"/>
        <v>2019</v>
      </c>
      <c r="G70">
        <f t="shared" si="21"/>
        <v>11</v>
      </c>
      <c r="H70">
        <f t="shared" si="22"/>
        <v>11.666666666664241</v>
      </c>
      <c r="I70" s="140">
        <f>VLOOKUP($A70,IF(C70=1,Pre12.11.19!$A$17:$O$40,IF(C70=2,Pre13.11.19!$A$17:$O$40,IF(C70=3,Pre14.11.19!$A$17:$O$40,IF(C70=4,Pre15.11.19!$A$17:$O$40,IF(C70=5,Inc18.11.19!$A$17:$O$40,IF(C70=6,Inc21.11.19!$A$17:$O$40,Inc22.11.19!$A$17:$O$28)))))),2,FALSE)</f>
        <v>43790.6875</v>
      </c>
      <c r="J70">
        <f t="shared" si="23"/>
        <v>2019</v>
      </c>
      <c r="K70">
        <f t="shared" si="24"/>
        <v>11</v>
      </c>
      <c r="L70">
        <f t="shared" si="25"/>
        <v>21.6875</v>
      </c>
      <c r="M70" t="s">
        <v>351</v>
      </c>
      <c r="N70" s="10">
        <f t="shared" si="26"/>
        <v>10.020833333335759</v>
      </c>
      <c r="O70">
        <f>IFERROR(VLOOKUP($A70,IF(C70=1,Pre12.11.19!$A$17:$O$40,IF(C70=2,Pre13.11.19!$A$17:$O$40,IF(C70=3,Pre14.11.19!$A$17:$O$40,IF(C70=4,Pre15.11.19!$A$17:$O$40,IF(C70=5,Inc18.11.19!$A$17:$O$40,IF(C70=6,Inc21.11.19!$A$17:$O$40,Inc22.11.19!$A$17:$O$28)))))),14,FALSE),"")</f>
        <v>24.517452288207508</v>
      </c>
      <c r="P70" s="10">
        <f t="shared" si="27"/>
        <v>10.020833333335759</v>
      </c>
    </row>
    <row r="71" spans="1:16">
      <c r="A71" t="s">
        <v>161</v>
      </c>
      <c r="B71" t="str">
        <f t="shared" si="18"/>
        <v>HEG32</v>
      </c>
      <c r="C71">
        <f t="shared" si="13"/>
        <v>6</v>
      </c>
      <c r="D71" t="str">
        <f t="shared" si="19"/>
        <v/>
      </c>
      <c r="E71">
        <f>VLOOKUP($A71,Pre12.11.19!$A$17:$N$29,9,FALSE)</f>
        <v>43780.666666666664</v>
      </c>
      <c r="F71">
        <f t="shared" si="20"/>
        <v>2019</v>
      </c>
      <c r="G71">
        <f t="shared" si="21"/>
        <v>11</v>
      </c>
      <c r="H71">
        <f t="shared" si="22"/>
        <v>11.666666666664241</v>
      </c>
      <c r="I71" s="140">
        <f>VLOOKUP($A71,IF(C71=1,Pre12.11.19!$A$17:$O$40,IF(C71=2,Pre13.11.19!$A$17:$O$40,IF(C71=3,Pre14.11.19!$A$17:$O$40,IF(C71=4,Pre15.11.19!$A$17:$O$40,IF(C71=5,Inc18.11.19!$A$17:$O$40,IF(C71=6,Inc21.11.19!$A$17:$O$40,Inc22.11.19!$A$17:$O$28)))))),2,FALSE)</f>
        <v>43790.6875</v>
      </c>
      <c r="J71">
        <f t="shared" si="23"/>
        <v>2019</v>
      </c>
      <c r="K71">
        <f t="shared" si="24"/>
        <v>11</v>
      </c>
      <c r="L71">
        <f t="shared" si="25"/>
        <v>21.6875</v>
      </c>
      <c r="M71" t="s">
        <v>351</v>
      </c>
      <c r="N71" s="10">
        <f t="shared" si="26"/>
        <v>10.020833333335759</v>
      </c>
      <c r="O71">
        <f>IFERROR(VLOOKUP($A71,IF(C71=1,Pre12.11.19!$A$17:$O$40,IF(C71=2,Pre13.11.19!$A$17:$O$40,IF(C71=3,Pre14.11.19!$A$17:$O$40,IF(C71=4,Pre15.11.19!$A$17:$O$40,IF(C71=5,Inc18.11.19!$A$17:$O$40,IF(C71=6,Inc21.11.19!$A$17:$O$40,Inc22.11.19!$A$17:$O$28)))))),14,FALSE),"")</f>
        <v>21.033953416066208</v>
      </c>
      <c r="P71" s="10">
        <f t="shared" si="27"/>
        <v>10.020833333335759</v>
      </c>
    </row>
    <row r="72" spans="1:16">
      <c r="A72" t="s">
        <v>162</v>
      </c>
      <c r="B72" t="str">
        <f t="shared" si="18"/>
        <v>HEG48</v>
      </c>
      <c r="C72">
        <f t="shared" si="13"/>
        <v>6</v>
      </c>
      <c r="D72" t="str">
        <f t="shared" si="19"/>
        <v/>
      </c>
      <c r="E72">
        <f>VLOOKUP($A72,Pre12.11.19!$A$17:$N$29,9,FALSE)</f>
        <v>43780.666666666664</v>
      </c>
      <c r="F72">
        <f t="shared" si="20"/>
        <v>2019</v>
      </c>
      <c r="G72">
        <f t="shared" si="21"/>
        <v>11</v>
      </c>
      <c r="H72">
        <f t="shared" si="22"/>
        <v>11.666666666664241</v>
      </c>
      <c r="I72" s="140">
        <f>VLOOKUP($A72,IF(C72=1,Pre12.11.19!$A$17:$O$40,IF(C72=2,Pre13.11.19!$A$17:$O$40,IF(C72=3,Pre14.11.19!$A$17:$O$40,IF(C72=4,Pre15.11.19!$A$17:$O$40,IF(C72=5,Inc18.11.19!$A$17:$O$40,IF(C72=6,Inc21.11.19!$A$17:$O$40,Inc22.11.19!$A$17:$O$28)))))),2,FALSE)</f>
        <v>43790.6875</v>
      </c>
      <c r="J72">
        <f t="shared" si="23"/>
        <v>2019</v>
      </c>
      <c r="K72">
        <f t="shared" si="24"/>
        <v>11</v>
      </c>
      <c r="L72">
        <f t="shared" si="25"/>
        <v>21.6875</v>
      </c>
      <c r="M72" t="s">
        <v>351</v>
      </c>
      <c r="N72" s="10">
        <f t="shared" si="26"/>
        <v>10.020833333335759</v>
      </c>
      <c r="O72">
        <f>IFERROR(VLOOKUP($A72,IF(C72=1,Pre12.11.19!$A$17:$O$40,IF(C72=2,Pre13.11.19!$A$17:$O$40,IF(C72=3,Pre14.11.19!$A$17:$O$40,IF(C72=4,Pre15.11.19!$A$17:$O$40,IF(C72=5,Inc18.11.19!$A$17:$O$40,IF(C72=6,Inc21.11.19!$A$17:$O$40,Inc22.11.19!$A$17:$O$28)))))),14,FALSE),"")</f>
        <v>22.762341677236666</v>
      </c>
      <c r="P72" s="10">
        <f t="shared" si="27"/>
        <v>10.020833333335759</v>
      </c>
    </row>
    <row r="73" spans="1:16">
      <c r="A73" t="s">
        <v>163</v>
      </c>
      <c r="B73" t="str">
        <f t="shared" si="18"/>
        <v>HEG48</v>
      </c>
      <c r="C73">
        <f t="shared" si="13"/>
        <v>6</v>
      </c>
      <c r="D73" t="str">
        <f t="shared" si="19"/>
        <v/>
      </c>
      <c r="E73">
        <f>VLOOKUP($A73,Pre12.11.19!$A$17:$N$29,9,FALSE)</f>
        <v>43780.666666666664</v>
      </c>
      <c r="F73">
        <f t="shared" si="20"/>
        <v>2019</v>
      </c>
      <c r="G73">
        <f t="shared" si="21"/>
        <v>11</v>
      </c>
      <c r="H73">
        <f t="shared" si="22"/>
        <v>11.666666666664241</v>
      </c>
      <c r="I73" s="140">
        <f>VLOOKUP($A73,IF(C73=1,Pre12.11.19!$A$17:$O$40,IF(C73=2,Pre13.11.19!$A$17:$O$40,IF(C73=3,Pre14.11.19!$A$17:$O$40,IF(C73=4,Pre15.11.19!$A$17:$O$40,IF(C73=5,Inc18.11.19!$A$17:$O$40,IF(C73=6,Inc21.11.19!$A$17:$O$40,Inc22.11.19!$A$17:$O$28)))))),2,FALSE)</f>
        <v>43790.6875</v>
      </c>
      <c r="J73">
        <f t="shared" si="23"/>
        <v>2019</v>
      </c>
      <c r="K73">
        <f t="shared" si="24"/>
        <v>11</v>
      </c>
      <c r="L73">
        <f t="shared" si="25"/>
        <v>21.6875</v>
      </c>
      <c r="M73" t="s">
        <v>351</v>
      </c>
      <c r="N73" s="10">
        <f t="shared" si="26"/>
        <v>10.020833333335759</v>
      </c>
      <c r="O73">
        <f>IFERROR(VLOOKUP($A73,IF(C73=1,Pre12.11.19!$A$17:$O$40,IF(C73=2,Pre13.11.19!$A$17:$O$40,IF(C73=3,Pre14.11.19!$A$17:$O$40,IF(C73=4,Pre15.11.19!$A$17:$O$40,IF(C73=5,Inc18.11.19!$A$17:$O$40,IF(C73=6,Inc21.11.19!$A$17:$O$40,Inc22.11.19!$A$17:$O$28)))))),14,FALSE),"")</f>
        <v>21.931948653044138</v>
      </c>
      <c r="P73" s="10">
        <f t="shared" si="27"/>
        <v>10.020833333335759</v>
      </c>
    </row>
    <row r="74" spans="1:16">
      <c r="A74" t="s">
        <v>152</v>
      </c>
      <c r="B74" t="str">
        <f t="shared" si="18"/>
        <v>HEW22</v>
      </c>
      <c r="C74">
        <v>7</v>
      </c>
      <c r="D74" t="str">
        <f t="shared" si="19"/>
        <v/>
      </c>
      <c r="E74">
        <f>VLOOKUP($A74,Pre12.11.19!$A$17:$N$29,9,FALSE)</f>
        <v>43780.666666666664</v>
      </c>
      <c r="F74">
        <f t="shared" si="20"/>
        <v>2019</v>
      </c>
      <c r="G74">
        <f t="shared" si="21"/>
        <v>11</v>
      </c>
      <c r="H74">
        <f t="shared" si="22"/>
        <v>11.666666666664241</v>
      </c>
      <c r="I74" s="140">
        <f>VLOOKUP($A74,IF(C74=1,Pre12.11.19!$A$17:$O$40,IF(C74=2,Pre13.11.19!$A$17:$O$40,IF(C74=3,Pre14.11.19!$A$17:$O$40,IF(C74=4,Pre15.11.19!$A$17:$O$40,IF(C74=5,Inc18.11.19!$A$17:$O$40,IF(C74=6,Inc21.11.19!$A$17:$O$40,Inc22.11.19!$A$17:$O$28)))))),2,FALSE)</f>
        <v>43791.6875</v>
      </c>
      <c r="J74">
        <f t="shared" si="23"/>
        <v>2019</v>
      </c>
      <c r="K74">
        <f t="shared" si="24"/>
        <v>11</v>
      </c>
      <c r="L74">
        <f t="shared" si="25"/>
        <v>22.6875</v>
      </c>
      <c r="M74" t="s">
        <v>351</v>
      </c>
      <c r="N74" s="10">
        <f t="shared" si="26"/>
        <v>11.020833333335759</v>
      </c>
      <c r="O74">
        <f>IFERROR(VLOOKUP($A74,IF(C74=1,Pre12.11.19!$A$17:$O$40,IF(C74=2,Pre13.11.19!$A$17:$O$40,IF(C74=3,Pre14.11.19!$A$17:$O$40,IF(C74=4,Pre15.11.19!$A$17:$O$40,IF(C74=5,Inc18.11.19!$A$17:$O$40,IF(C74=6,Inc21.11.19!$A$17:$O$40,Inc22.11.19!$A$17:$O$28)))))),14,FALSE),"")</f>
        <v>16.15620302130862</v>
      </c>
      <c r="P74" s="10">
        <f t="shared" si="27"/>
        <v>11.020833333335759</v>
      </c>
    </row>
    <row r="75" spans="1:16">
      <c r="A75" t="s">
        <v>153</v>
      </c>
      <c r="B75" t="str">
        <f t="shared" si="18"/>
        <v>HEW22</v>
      </c>
      <c r="C75">
        <f t="shared" ref="C75" si="28">C74</f>
        <v>7</v>
      </c>
      <c r="D75" t="str">
        <f t="shared" si="19"/>
        <v/>
      </c>
      <c r="E75">
        <f>VLOOKUP($A75,Pre12.11.19!$A$17:$N$29,9,FALSE)</f>
        <v>43780.666666666664</v>
      </c>
      <c r="F75">
        <f t="shared" si="20"/>
        <v>2019</v>
      </c>
      <c r="G75">
        <f t="shared" si="21"/>
        <v>11</v>
      </c>
      <c r="H75">
        <f t="shared" si="22"/>
        <v>11.666666666664241</v>
      </c>
      <c r="I75" s="140">
        <f>VLOOKUP($A75,IF(C75=1,Pre12.11.19!$A$17:$O$40,IF(C75=2,Pre13.11.19!$A$17:$O$40,IF(C75=3,Pre14.11.19!$A$17:$O$40,IF(C75=4,Pre15.11.19!$A$17:$O$40,IF(C75=5,Inc18.11.19!$A$17:$O$40,IF(C75=6,Inc21.11.19!$A$17:$O$40,Inc22.11.19!$A$17:$O$28)))))),2,FALSE)</f>
        <v>43791.6875</v>
      </c>
      <c r="J75">
        <f t="shared" si="23"/>
        <v>2019</v>
      </c>
      <c r="K75">
        <f t="shared" si="24"/>
        <v>11</v>
      </c>
      <c r="L75">
        <f t="shared" si="25"/>
        <v>22.6875</v>
      </c>
      <c r="M75" t="s">
        <v>351</v>
      </c>
      <c r="N75" s="10">
        <f t="shared" si="26"/>
        <v>11.020833333335759</v>
      </c>
      <c r="O75">
        <f>IFERROR(VLOOKUP($A75,IF(C75=1,Pre12.11.19!$A$17:$O$40,IF(C75=2,Pre13.11.19!$A$17:$O$40,IF(C75=3,Pre14.11.19!$A$17:$O$40,IF(C75=4,Pre15.11.19!$A$17:$O$40,IF(C75=5,Inc18.11.19!$A$17:$O$40,IF(C75=6,Inc21.11.19!$A$17:$O$40,Inc22.11.19!$A$17:$O$28)))))),14,FALSE),"")</f>
        <v>19.126418923540847</v>
      </c>
      <c r="P75" s="10">
        <f t="shared" si="27"/>
        <v>11.020833333335759</v>
      </c>
    </row>
    <row r="76" spans="1:16">
      <c r="A76" t="s">
        <v>154</v>
      </c>
      <c r="B76" t="str">
        <f t="shared" si="18"/>
        <v>HEW41</v>
      </c>
      <c r="C76">
        <f t="shared" si="13"/>
        <v>7</v>
      </c>
      <c r="D76" t="str">
        <f t="shared" si="19"/>
        <v/>
      </c>
      <c r="E76">
        <f>VLOOKUP($A76,Pre12.11.19!$A$17:$N$29,9,FALSE)</f>
        <v>43780.666666666664</v>
      </c>
      <c r="F76">
        <f t="shared" si="20"/>
        <v>2019</v>
      </c>
      <c r="G76">
        <f t="shared" si="21"/>
        <v>11</v>
      </c>
      <c r="H76">
        <f t="shared" si="22"/>
        <v>11.666666666664241</v>
      </c>
      <c r="I76" s="140">
        <f>VLOOKUP($A76,IF(C76=1,Pre12.11.19!$A$17:$O$40,IF(C76=2,Pre13.11.19!$A$17:$O$40,IF(C76=3,Pre14.11.19!$A$17:$O$40,IF(C76=4,Pre15.11.19!$A$17:$O$40,IF(C76=5,Inc18.11.19!$A$17:$O$40,IF(C76=6,Inc21.11.19!$A$17:$O$40,Inc22.11.19!$A$17:$O$28)))))),2,FALSE)</f>
        <v>43791.6875</v>
      </c>
      <c r="J76">
        <f t="shared" si="23"/>
        <v>2019</v>
      </c>
      <c r="K76">
        <f t="shared" si="24"/>
        <v>11</v>
      </c>
      <c r="L76">
        <f t="shared" si="25"/>
        <v>22.6875</v>
      </c>
      <c r="M76" t="s">
        <v>351</v>
      </c>
      <c r="N76" s="10">
        <f t="shared" si="26"/>
        <v>11.020833333335759</v>
      </c>
      <c r="O76">
        <f>IFERROR(VLOOKUP($A76,IF(C76=1,Pre12.11.19!$A$17:$O$40,IF(C76=2,Pre13.11.19!$A$17:$O$40,IF(C76=3,Pre14.11.19!$A$17:$O$40,IF(C76=4,Pre15.11.19!$A$17:$O$40,IF(C76=5,Inc18.11.19!$A$17:$O$40,IF(C76=6,Inc21.11.19!$A$17:$O$40,Inc22.11.19!$A$17:$O$28)))))),14,FALSE),"")</f>
        <v>18.014693307734333</v>
      </c>
      <c r="P76" s="10">
        <f t="shared" si="27"/>
        <v>11.020833333335759</v>
      </c>
    </row>
    <row r="77" spans="1:16">
      <c r="A77" t="s">
        <v>155</v>
      </c>
      <c r="B77" t="str">
        <f t="shared" si="18"/>
        <v>HEW41</v>
      </c>
      <c r="C77">
        <f t="shared" si="13"/>
        <v>7</v>
      </c>
      <c r="D77" t="str">
        <f t="shared" si="19"/>
        <v/>
      </c>
      <c r="E77">
        <f>VLOOKUP($A77,Pre12.11.19!$A$17:$N$29,9,FALSE)</f>
        <v>43780.666666666664</v>
      </c>
      <c r="F77">
        <f t="shared" si="20"/>
        <v>2019</v>
      </c>
      <c r="G77">
        <f t="shared" si="21"/>
        <v>11</v>
      </c>
      <c r="H77">
        <f t="shared" si="22"/>
        <v>11.666666666664241</v>
      </c>
      <c r="I77" s="140">
        <f>VLOOKUP($A77,IF(C77=1,Pre12.11.19!$A$17:$O$40,IF(C77=2,Pre13.11.19!$A$17:$O$40,IF(C77=3,Pre14.11.19!$A$17:$O$40,IF(C77=4,Pre15.11.19!$A$17:$O$40,IF(C77=5,Inc18.11.19!$A$17:$O$40,IF(C77=6,Inc21.11.19!$A$17:$O$40,Inc22.11.19!$A$17:$O$28)))))),2,FALSE)</f>
        <v>43791.6875</v>
      </c>
      <c r="J77">
        <f t="shared" si="23"/>
        <v>2019</v>
      </c>
      <c r="K77">
        <f t="shared" si="24"/>
        <v>11</v>
      </c>
      <c r="L77">
        <f t="shared" si="25"/>
        <v>22.6875</v>
      </c>
      <c r="M77" t="s">
        <v>351</v>
      </c>
      <c r="N77" s="10">
        <f t="shared" si="26"/>
        <v>11.020833333335759</v>
      </c>
      <c r="O77">
        <f>IFERROR(VLOOKUP($A77,IF(C77=1,Pre12.11.19!$A$17:$O$40,IF(C77=2,Pre13.11.19!$A$17:$O$40,IF(C77=3,Pre14.11.19!$A$17:$O$40,IF(C77=4,Pre15.11.19!$A$17:$O$40,IF(C77=5,Inc18.11.19!$A$17:$O$40,IF(C77=6,Inc21.11.19!$A$17:$O$40,Inc22.11.19!$A$17:$O$28)))))),14,FALSE),"")</f>
        <v>20.563466901882393</v>
      </c>
      <c r="P77" s="10">
        <f t="shared" si="27"/>
        <v>11.020833333335759</v>
      </c>
    </row>
    <row r="78" spans="1:16">
      <c r="A78" t="s">
        <v>156</v>
      </c>
      <c r="B78" t="str">
        <f t="shared" si="18"/>
        <v>HEW42</v>
      </c>
      <c r="C78">
        <f t="shared" si="13"/>
        <v>7</v>
      </c>
      <c r="D78" t="str">
        <f t="shared" si="19"/>
        <v/>
      </c>
      <c r="E78">
        <f>VLOOKUP($A78,Pre12.11.19!$A$17:$N$29,9,FALSE)</f>
        <v>43780.666666666664</v>
      </c>
      <c r="F78">
        <f t="shared" si="20"/>
        <v>2019</v>
      </c>
      <c r="G78">
        <f t="shared" si="21"/>
        <v>11</v>
      </c>
      <c r="H78">
        <f t="shared" si="22"/>
        <v>11.666666666664241</v>
      </c>
      <c r="I78" s="140">
        <f>VLOOKUP($A78,IF(C78=1,Pre12.11.19!$A$17:$O$40,IF(C78=2,Pre13.11.19!$A$17:$O$40,IF(C78=3,Pre14.11.19!$A$17:$O$40,IF(C78=4,Pre15.11.19!$A$17:$O$40,IF(C78=5,Inc18.11.19!$A$17:$O$40,IF(C78=6,Inc21.11.19!$A$17:$O$40,Inc22.11.19!$A$17:$O$28)))))),2,FALSE)</f>
        <v>43791.6875</v>
      </c>
      <c r="J78">
        <f t="shared" si="23"/>
        <v>2019</v>
      </c>
      <c r="K78">
        <f t="shared" si="24"/>
        <v>11</v>
      </c>
      <c r="L78">
        <f t="shared" si="25"/>
        <v>22.6875</v>
      </c>
      <c r="M78" t="s">
        <v>351</v>
      </c>
      <c r="N78" s="10">
        <f t="shared" si="26"/>
        <v>11.020833333335759</v>
      </c>
      <c r="O78">
        <f>IFERROR(VLOOKUP($A78,IF(C78=1,Pre12.11.19!$A$17:$O$40,IF(C78=2,Pre13.11.19!$A$17:$O$40,IF(C78=3,Pre14.11.19!$A$17:$O$40,IF(C78=4,Pre15.11.19!$A$17:$O$40,IF(C78=5,Inc18.11.19!$A$17:$O$40,IF(C78=6,Inc21.11.19!$A$17:$O$40,Inc22.11.19!$A$17:$O$28)))))),14,FALSE),"")</f>
        <v>13.09401931239459</v>
      </c>
      <c r="P78" s="10">
        <f t="shared" si="27"/>
        <v>11.020833333335759</v>
      </c>
    </row>
    <row r="79" spans="1:16">
      <c r="A79" t="s">
        <v>157</v>
      </c>
      <c r="B79" t="str">
        <f t="shared" si="18"/>
        <v>HEW42</v>
      </c>
      <c r="C79">
        <f t="shared" ref="C79:C85" si="29">C78</f>
        <v>7</v>
      </c>
      <c r="D79" t="str">
        <f t="shared" si="19"/>
        <v/>
      </c>
      <c r="E79">
        <f>VLOOKUP($A79,Pre12.11.19!$A$17:$N$29,9,FALSE)</f>
        <v>43780.666666666664</v>
      </c>
      <c r="F79">
        <f t="shared" si="20"/>
        <v>2019</v>
      </c>
      <c r="G79">
        <f t="shared" si="21"/>
        <v>11</v>
      </c>
      <c r="H79">
        <f t="shared" si="22"/>
        <v>11.666666666664241</v>
      </c>
      <c r="I79" s="140">
        <f>VLOOKUP($A79,IF(C79=1,Pre12.11.19!$A$17:$O$40,IF(C79=2,Pre13.11.19!$A$17:$O$40,IF(C79=3,Pre14.11.19!$A$17:$O$40,IF(C79=4,Pre15.11.19!$A$17:$O$40,IF(C79=5,Inc18.11.19!$A$17:$O$40,IF(C79=6,Inc21.11.19!$A$17:$O$40,Inc22.11.19!$A$17:$O$28)))))),2,FALSE)</f>
        <v>43791.6875</v>
      </c>
      <c r="J79">
        <f t="shared" si="23"/>
        <v>2019</v>
      </c>
      <c r="K79">
        <f t="shared" si="24"/>
        <v>11</v>
      </c>
      <c r="L79">
        <f t="shared" si="25"/>
        <v>22.6875</v>
      </c>
      <c r="M79" t="s">
        <v>351</v>
      </c>
      <c r="N79" s="10">
        <f t="shared" si="26"/>
        <v>11.020833333335759</v>
      </c>
      <c r="O79">
        <f>IFERROR(VLOOKUP($A79,IF(C79=1,Pre12.11.19!$A$17:$O$40,IF(C79=2,Pre13.11.19!$A$17:$O$40,IF(C79=3,Pre14.11.19!$A$17:$O$40,IF(C79=4,Pre15.11.19!$A$17:$O$40,IF(C79=5,Inc18.11.19!$A$17:$O$40,IF(C79=6,Inc21.11.19!$A$17:$O$40,Inc22.11.19!$A$17:$O$28)))))),14,FALSE),"")</f>
        <v>14.268877643626949</v>
      </c>
      <c r="P79" s="10">
        <f t="shared" si="27"/>
        <v>11.020833333335759</v>
      </c>
    </row>
    <row r="80" spans="1:16">
      <c r="A80" t="s">
        <v>158</v>
      </c>
      <c r="B80" t="str">
        <f t="shared" si="18"/>
        <v>HEG10</v>
      </c>
      <c r="C80">
        <f t="shared" si="29"/>
        <v>7</v>
      </c>
      <c r="D80" t="str">
        <f t="shared" si="19"/>
        <v/>
      </c>
      <c r="E80">
        <f>VLOOKUP($A80,Pre12.11.19!$A$17:$N$29,9,FALSE)</f>
        <v>43780.666666666664</v>
      </c>
      <c r="F80">
        <f t="shared" si="20"/>
        <v>2019</v>
      </c>
      <c r="G80">
        <f t="shared" si="21"/>
        <v>11</v>
      </c>
      <c r="H80">
        <f t="shared" si="22"/>
        <v>11.666666666664241</v>
      </c>
      <c r="I80" s="140">
        <f>VLOOKUP($A80,IF(C80=1,Pre12.11.19!$A$17:$O$40,IF(C80=2,Pre13.11.19!$A$17:$O$40,IF(C80=3,Pre14.11.19!$A$17:$O$40,IF(C80=4,Pre15.11.19!$A$17:$O$40,IF(C80=5,Inc18.11.19!$A$17:$O$40,IF(C80=6,Inc21.11.19!$A$17:$O$40,Inc22.11.19!$A$17:$O$28)))))),2,FALSE)</f>
        <v>43791.6875</v>
      </c>
      <c r="J80">
        <f t="shared" si="23"/>
        <v>2019</v>
      </c>
      <c r="K80">
        <f t="shared" si="24"/>
        <v>11</v>
      </c>
      <c r="L80">
        <f t="shared" si="25"/>
        <v>22.6875</v>
      </c>
      <c r="M80" t="s">
        <v>351</v>
      </c>
      <c r="N80" s="10">
        <f t="shared" si="26"/>
        <v>11.020833333335759</v>
      </c>
      <c r="O80">
        <f>IFERROR(VLOOKUP($A80,IF(C80=1,Pre12.11.19!$A$17:$O$40,IF(C80=2,Pre13.11.19!$A$17:$O$40,IF(C80=3,Pre14.11.19!$A$17:$O$40,IF(C80=4,Pre15.11.19!$A$17:$O$40,IF(C80=5,Inc18.11.19!$A$17:$O$40,IF(C80=6,Inc21.11.19!$A$17:$O$40,Inc22.11.19!$A$17:$O$28)))))),14,FALSE),"")</f>
        <v>24.664045912852309</v>
      </c>
      <c r="P80" s="10">
        <f t="shared" si="27"/>
        <v>11.020833333335759</v>
      </c>
    </row>
    <row r="81" spans="1:16">
      <c r="A81" t="s">
        <v>159</v>
      </c>
      <c r="B81" t="str">
        <f t="shared" si="18"/>
        <v>HEG10</v>
      </c>
      <c r="C81">
        <f t="shared" si="29"/>
        <v>7</v>
      </c>
      <c r="D81" t="str">
        <f t="shared" si="19"/>
        <v/>
      </c>
      <c r="E81">
        <f>VLOOKUP($A81,Pre12.11.19!$A$17:$N$29,9,FALSE)</f>
        <v>43780.666666666664</v>
      </c>
      <c r="F81">
        <f t="shared" si="20"/>
        <v>2019</v>
      </c>
      <c r="G81">
        <f t="shared" si="21"/>
        <v>11</v>
      </c>
      <c r="H81">
        <f t="shared" si="22"/>
        <v>11.666666666664241</v>
      </c>
      <c r="I81" s="140">
        <f>VLOOKUP($A81,IF(C81=1,Pre12.11.19!$A$17:$O$40,IF(C81=2,Pre13.11.19!$A$17:$O$40,IF(C81=3,Pre14.11.19!$A$17:$O$40,IF(C81=4,Pre15.11.19!$A$17:$O$40,IF(C81=5,Inc18.11.19!$A$17:$O$40,IF(C81=6,Inc21.11.19!$A$17:$O$40,Inc22.11.19!$A$17:$O$28)))))),2,FALSE)</f>
        <v>43791.6875</v>
      </c>
      <c r="J81">
        <f t="shared" si="23"/>
        <v>2019</v>
      </c>
      <c r="K81">
        <f t="shared" si="24"/>
        <v>11</v>
      </c>
      <c r="L81">
        <f t="shared" si="25"/>
        <v>22.6875</v>
      </c>
      <c r="M81" t="s">
        <v>351</v>
      </c>
      <c r="N81" s="10">
        <f t="shared" si="26"/>
        <v>11.020833333335759</v>
      </c>
      <c r="O81">
        <f>IFERROR(VLOOKUP($A81,IF(C81=1,Pre12.11.19!$A$17:$O$40,IF(C81=2,Pre13.11.19!$A$17:$O$40,IF(C81=3,Pre14.11.19!$A$17:$O$40,IF(C81=4,Pre15.11.19!$A$17:$O$40,IF(C81=5,Inc18.11.19!$A$17:$O$40,IF(C81=6,Inc21.11.19!$A$17:$O$40,Inc22.11.19!$A$17:$O$28)))))),14,FALSE),"")</f>
        <v>20.327810824902489</v>
      </c>
      <c r="P81" s="10">
        <f t="shared" si="27"/>
        <v>11.020833333335759</v>
      </c>
    </row>
    <row r="82" spans="1:16">
      <c r="A82" t="s">
        <v>160</v>
      </c>
      <c r="B82" t="str">
        <f t="shared" si="18"/>
        <v>HEG32</v>
      </c>
      <c r="C82">
        <f t="shared" si="29"/>
        <v>7</v>
      </c>
      <c r="D82" t="str">
        <f t="shared" si="19"/>
        <v/>
      </c>
      <c r="E82">
        <f>VLOOKUP($A82,Pre12.11.19!$A$17:$N$29,9,FALSE)</f>
        <v>43780.666666666664</v>
      </c>
      <c r="F82">
        <f t="shared" si="20"/>
        <v>2019</v>
      </c>
      <c r="G82">
        <f t="shared" si="21"/>
        <v>11</v>
      </c>
      <c r="H82">
        <f t="shared" si="22"/>
        <v>11.666666666664241</v>
      </c>
      <c r="I82" s="140">
        <f>VLOOKUP($A82,IF(C82=1,Pre12.11.19!$A$17:$O$40,IF(C82=2,Pre13.11.19!$A$17:$O$40,IF(C82=3,Pre14.11.19!$A$17:$O$40,IF(C82=4,Pre15.11.19!$A$17:$O$40,IF(C82=5,Inc18.11.19!$A$17:$O$40,IF(C82=6,Inc21.11.19!$A$17:$O$40,Inc22.11.19!$A$17:$O$28)))))),2,FALSE)</f>
        <v>43791.6875</v>
      </c>
      <c r="J82">
        <f t="shared" si="23"/>
        <v>2019</v>
      </c>
      <c r="K82">
        <f t="shared" si="24"/>
        <v>11</v>
      </c>
      <c r="L82">
        <f t="shared" si="25"/>
        <v>22.6875</v>
      </c>
      <c r="M82" t="s">
        <v>351</v>
      </c>
      <c r="N82" s="10">
        <f t="shared" si="26"/>
        <v>11.020833333335759</v>
      </c>
      <c r="O82">
        <f>IFERROR(VLOOKUP($A82,IF(C82=1,Pre12.11.19!$A$17:$O$40,IF(C82=2,Pre13.11.19!$A$17:$O$40,IF(C82=3,Pre14.11.19!$A$17:$O$40,IF(C82=4,Pre15.11.19!$A$17:$O$40,IF(C82=5,Inc18.11.19!$A$17:$O$40,IF(C82=6,Inc21.11.19!$A$17:$O$40,Inc22.11.19!$A$17:$O$28)))))),14,FALSE),"")</f>
        <v>30.007300139407178</v>
      </c>
      <c r="P82" s="10">
        <f t="shared" si="27"/>
        <v>11.020833333335759</v>
      </c>
    </row>
    <row r="83" spans="1:16">
      <c r="A83" t="s">
        <v>161</v>
      </c>
      <c r="B83" t="str">
        <f t="shared" si="18"/>
        <v>HEG32</v>
      </c>
      <c r="C83">
        <f t="shared" si="29"/>
        <v>7</v>
      </c>
      <c r="D83" t="str">
        <f t="shared" si="19"/>
        <v/>
      </c>
      <c r="E83">
        <f>VLOOKUP($A83,Pre12.11.19!$A$17:$N$29,9,FALSE)</f>
        <v>43780.666666666664</v>
      </c>
      <c r="F83">
        <f t="shared" si="20"/>
        <v>2019</v>
      </c>
      <c r="G83">
        <f t="shared" si="21"/>
        <v>11</v>
      </c>
      <c r="H83">
        <f t="shared" si="22"/>
        <v>11.666666666664241</v>
      </c>
      <c r="I83" s="140">
        <f>VLOOKUP($A83,IF(C83=1,Pre12.11.19!$A$17:$O$40,IF(C83=2,Pre13.11.19!$A$17:$O$40,IF(C83=3,Pre14.11.19!$A$17:$O$40,IF(C83=4,Pre15.11.19!$A$17:$O$40,IF(C83=5,Inc18.11.19!$A$17:$O$40,IF(C83=6,Inc21.11.19!$A$17:$O$40,Inc22.11.19!$A$17:$O$28)))))),2,FALSE)</f>
        <v>43791.6875</v>
      </c>
      <c r="J83">
        <f t="shared" si="23"/>
        <v>2019</v>
      </c>
      <c r="K83">
        <f t="shared" si="24"/>
        <v>11</v>
      </c>
      <c r="L83">
        <f t="shared" si="25"/>
        <v>22.6875</v>
      </c>
      <c r="M83" t="s">
        <v>351</v>
      </c>
      <c r="N83" s="10">
        <f t="shared" si="26"/>
        <v>11.020833333335759</v>
      </c>
      <c r="O83">
        <f>IFERROR(VLOOKUP($A83,IF(C83=1,Pre12.11.19!$A$17:$O$40,IF(C83=2,Pre13.11.19!$A$17:$O$40,IF(C83=3,Pre14.11.19!$A$17:$O$40,IF(C83=4,Pre15.11.19!$A$17:$O$40,IF(C83=5,Inc18.11.19!$A$17:$O$40,IF(C83=6,Inc21.11.19!$A$17:$O$40,Inc22.11.19!$A$17:$O$28)))))),14,FALSE),"")</f>
        <v>26.321685689341226</v>
      </c>
      <c r="P83" s="10">
        <f t="shared" si="27"/>
        <v>11.020833333335759</v>
      </c>
    </row>
    <row r="84" spans="1:16">
      <c r="A84" t="s">
        <v>162</v>
      </c>
      <c r="B84" t="str">
        <f t="shared" si="18"/>
        <v>HEG48</v>
      </c>
      <c r="C84">
        <f t="shared" si="29"/>
        <v>7</v>
      </c>
      <c r="D84" t="str">
        <f t="shared" si="19"/>
        <v/>
      </c>
      <c r="E84">
        <f>VLOOKUP($A84,Pre12.11.19!$A$17:$N$29,9,FALSE)</f>
        <v>43780.666666666664</v>
      </c>
      <c r="F84">
        <f t="shared" si="20"/>
        <v>2019</v>
      </c>
      <c r="G84">
        <f t="shared" si="21"/>
        <v>11</v>
      </c>
      <c r="H84">
        <f t="shared" si="22"/>
        <v>11.666666666664241</v>
      </c>
      <c r="I84" s="140">
        <f>VLOOKUP($A84,IF(C84=1,Pre12.11.19!$A$17:$O$40,IF(C84=2,Pre13.11.19!$A$17:$O$40,IF(C84=3,Pre14.11.19!$A$17:$O$40,IF(C84=4,Pre15.11.19!$A$17:$O$40,IF(C84=5,Inc18.11.19!$A$17:$O$40,IF(C84=6,Inc21.11.19!$A$17:$O$40,Inc22.11.19!$A$17:$O$28)))))),2,FALSE)</f>
        <v>43791.6875</v>
      </c>
      <c r="J84">
        <f t="shared" si="23"/>
        <v>2019</v>
      </c>
      <c r="K84">
        <f t="shared" si="24"/>
        <v>11</v>
      </c>
      <c r="L84">
        <f t="shared" si="25"/>
        <v>22.6875</v>
      </c>
      <c r="M84" t="s">
        <v>351</v>
      </c>
      <c r="N84" s="10">
        <f t="shared" si="26"/>
        <v>11.020833333335759</v>
      </c>
      <c r="O84">
        <f>IFERROR(VLOOKUP($A84,IF(C84=1,Pre12.11.19!$A$17:$O$40,IF(C84=2,Pre13.11.19!$A$17:$O$40,IF(C84=3,Pre14.11.19!$A$17:$O$40,IF(C84=4,Pre15.11.19!$A$17:$O$40,IF(C84=5,Inc18.11.19!$A$17:$O$40,IF(C84=6,Inc21.11.19!$A$17:$O$40,Inc22.11.19!$A$17:$O$28)))))),14,FALSE),"")</f>
        <v>27.765416725895101</v>
      </c>
      <c r="P84" s="10">
        <f t="shared" si="27"/>
        <v>11.020833333335759</v>
      </c>
    </row>
    <row r="85" spans="1:16">
      <c r="A85" t="s">
        <v>163</v>
      </c>
      <c r="B85" t="str">
        <f t="shared" si="18"/>
        <v>HEG48</v>
      </c>
      <c r="C85">
        <f t="shared" si="29"/>
        <v>7</v>
      </c>
      <c r="D85" t="str">
        <f t="shared" si="19"/>
        <v/>
      </c>
      <c r="E85">
        <f>VLOOKUP($A85,Pre12.11.19!$A$17:$N$29,9,FALSE)</f>
        <v>43780.666666666664</v>
      </c>
      <c r="F85">
        <f t="shared" si="20"/>
        <v>2019</v>
      </c>
      <c r="G85">
        <f t="shared" si="21"/>
        <v>11</v>
      </c>
      <c r="H85">
        <f t="shared" si="22"/>
        <v>11.666666666664241</v>
      </c>
      <c r="I85" s="140">
        <f>VLOOKUP($A85,IF(C85=1,Pre12.11.19!$A$17:$O$40,IF(C85=2,Pre13.11.19!$A$17:$O$40,IF(C85=3,Pre14.11.19!$A$17:$O$40,IF(C85=4,Pre15.11.19!$A$17:$O$40,IF(C85=5,Inc18.11.19!$A$17:$O$40,IF(C85=6,Inc21.11.19!$A$17:$O$40,Inc22.11.19!$A$17:$O$28)))))),2,FALSE)</f>
        <v>43791.6875</v>
      </c>
      <c r="J85">
        <f t="shared" si="23"/>
        <v>2019</v>
      </c>
      <c r="K85">
        <f t="shared" si="24"/>
        <v>11</v>
      </c>
      <c r="L85">
        <f t="shared" si="25"/>
        <v>22.6875</v>
      </c>
      <c r="M85" t="s">
        <v>351</v>
      </c>
      <c r="N85" s="10">
        <f t="shared" si="26"/>
        <v>11.020833333335759</v>
      </c>
      <c r="O85">
        <f>IFERROR(VLOOKUP($A85,IF(C85=1,Pre12.11.19!$A$17:$O$40,IF(C85=2,Pre13.11.19!$A$17:$O$40,IF(C85=3,Pre14.11.19!$A$17:$O$40,IF(C85=4,Pre15.11.19!$A$17:$O$40,IF(C85=5,Inc18.11.19!$A$17:$O$40,IF(C85=6,Inc21.11.19!$A$17:$O$40,Inc22.11.19!$A$17:$O$28)))))),14,FALSE),"")</f>
        <v>26.67036980796048</v>
      </c>
      <c r="P85" s="10">
        <f t="shared" si="27"/>
        <v>11.020833333335759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640625" defaultRowHeight="14" x14ac:dyDescent="0"/>
  <cols>
    <col min="1" max="1" width="5.5" customWidth="1"/>
    <col min="2" max="2" width="12.6640625" customWidth="1"/>
    <col min="3" max="3" width="10.83203125" bestFit="1" customWidth="1"/>
    <col min="4" max="4" width="13.6640625" bestFit="1" customWidth="1"/>
    <col min="5" max="5" width="10.6640625" customWidth="1"/>
    <col min="6" max="6" width="9.83203125" customWidth="1"/>
    <col min="7" max="7" width="15.1640625" customWidth="1"/>
    <col min="8" max="8" width="9" customWidth="1"/>
  </cols>
  <sheetData>
    <row r="1" spans="1:13">
      <c r="A1" s="142" t="s">
        <v>5</v>
      </c>
      <c r="B1" s="141" t="s">
        <v>1</v>
      </c>
      <c r="C1" s="141" t="s">
        <v>0</v>
      </c>
      <c r="D1" s="141" t="s">
        <v>2</v>
      </c>
      <c r="E1" s="141" t="s">
        <v>3</v>
      </c>
      <c r="F1" s="141" t="s">
        <v>4</v>
      </c>
      <c r="G1" s="141" t="s">
        <v>126</v>
      </c>
      <c r="H1" s="141" t="s">
        <v>4</v>
      </c>
      <c r="I1" s="141" t="s">
        <v>127</v>
      </c>
      <c r="J1" s="141"/>
      <c r="K1" s="141" t="s">
        <v>129</v>
      </c>
      <c r="L1" s="141" t="s">
        <v>130</v>
      </c>
      <c r="M1" s="141"/>
    </row>
    <row r="2" spans="1:13">
      <c r="A2" s="143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>
      <c r="A9" s="1"/>
      <c r="B9" s="1"/>
      <c r="C9" s="2"/>
      <c r="D9" s="3"/>
      <c r="E9" s="4"/>
      <c r="F9" s="1"/>
      <c r="G9" s="1"/>
      <c r="H9" s="1"/>
      <c r="I9" s="1"/>
    </row>
    <row r="10" spans="1:13">
      <c r="A10" s="1"/>
      <c r="B10" s="1"/>
      <c r="C10" s="2"/>
      <c r="D10" s="3"/>
      <c r="E10" s="4"/>
      <c r="F10" s="1"/>
      <c r="G10" s="1"/>
      <c r="H10" s="1"/>
      <c r="I10" s="1"/>
    </row>
    <row r="11" spans="1:13">
      <c r="A11" s="1"/>
      <c r="B11" s="1"/>
      <c r="C11" s="2"/>
      <c r="D11" s="3"/>
      <c r="E11" s="4"/>
      <c r="F11" s="1"/>
      <c r="G11" s="1"/>
      <c r="H11" s="1"/>
      <c r="I11" s="1"/>
    </row>
    <row r="12" spans="1:13">
      <c r="A12" s="1"/>
      <c r="B12" s="1"/>
      <c r="C12" s="2"/>
      <c r="D12" s="3"/>
      <c r="E12" s="4"/>
      <c r="F12" s="1"/>
      <c r="G12" s="1"/>
      <c r="H12" s="1"/>
      <c r="I12" s="1"/>
    </row>
    <row r="13" spans="1:13">
      <c r="A13" s="1"/>
      <c r="B13" s="1"/>
      <c r="C13" s="2"/>
      <c r="D13" s="3"/>
      <c r="E13" s="4"/>
      <c r="F13" s="1"/>
      <c r="G13" s="1"/>
      <c r="H13" s="1"/>
      <c r="I13" s="1"/>
    </row>
    <row r="14" spans="1:13">
      <c r="A14" s="1"/>
      <c r="B14" s="1"/>
      <c r="C14" s="2"/>
      <c r="D14" s="3"/>
      <c r="E14" s="4"/>
      <c r="F14" s="1"/>
      <c r="G14" s="1"/>
      <c r="H14" s="1"/>
      <c r="I14" s="1"/>
    </row>
    <row r="15" spans="1:13">
      <c r="A15" s="1"/>
      <c r="B15" s="1"/>
      <c r="C15" s="5"/>
      <c r="D15" s="3"/>
      <c r="E15" s="4"/>
      <c r="F15" s="1"/>
      <c r="G15" s="1"/>
      <c r="H15" s="1"/>
      <c r="I15" s="1"/>
    </row>
    <row r="16" spans="1:13">
      <c r="A16" s="1"/>
      <c r="B16" s="1"/>
      <c r="C16" s="5"/>
      <c r="D16" s="3"/>
      <c r="E16" s="1"/>
      <c r="F16" s="1"/>
      <c r="G16" s="1"/>
      <c r="H16" s="1"/>
      <c r="I16" s="1"/>
    </row>
    <row r="17" spans="1:9">
      <c r="A17" s="1"/>
      <c r="B17" s="1"/>
      <c r="C17" s="5"/>
      <c r="D17" s="3"/>
      <c r="E17" s="1"/>
      <c r="F17" s="1"/>
      <c r="G17" s="1"/>
      <c r="H17" s="1"/>
      <c r="I17" s="1"/>
    </row>
    <row r="18" spans="1:9">
      <c r="A18" s="1"/>
      <c r="B18" s="1"/>
      <c r="C18" s="5"/>
      <c r="D18" s="3"/>
      <c r="E18" s="1"/>
      <c r="F18" s="1"/>
      <c r="G18" s="1"/>
      <c r="H18" s="1"/>
      <c r="I18" s="1"/>
    </row>
    <row r="19" spans="1:9">
      <c r="A19" s="1"/>
      <c r="B19" s="1"/>
      <c r="C19" s="5"/>
      <c r="D19" s="3"/>
      <c r="E19" s="1"/>
      <c r="F19" s="1"/>
      <c r="G19" s="1"/>
      <c r="H19" s="1"/>
      <c r="I19" s="1"/>
    </row>
    <row r="20" spans="1:9">
      <c r="A20" s="1"/>
      <c r="B20" s="1"/>
      <c r="C20" s="5"/>
      <c r="D20" s="3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4"/>
      <c r="F24" s="1"/>
      <c r="G24" s="1"/>
      <c r="H24" s="1"/>
      <c r="I24" s="1"/>
    </row>
    <row r="25" spans="1:9">
      <c r="A25" s="1"/>
      <c r="B25" s="1"/>
      <c r="C25" s="1"/>
      <c r="D25" s="1"/>
      <c r="E25" s="4"/>
      <c r="F25" s="1"/>
      <c r="G25" s="1"/>
      <c r="H25" s="1"/>
      <c r="I25" s="1"/>
    </row>
    <row r="26" spans="1:9">
      <c r="A26" s="1"/>
      <c r="B26" s="1"/>
      <c r="C26" s="1"/>
      <c r="D26" s="1"/>
      <c r="E26" s="4"/>
      <c r="F26" s="1"/>
      <c r="G26" s="1"/>
      <c r="H26" s="1"/>
      <c r="I26" s="1"/>
    </row>
    <row r="27" spans="1:9">
      <c r="A27" s="1"/>
      <c r="B27" s="1"/>
      <c r="C27" s="1"/>
      <c r="D27" s="1"/>
      <c r="E27" s="4"/>
      <c r="F27" s="1"/>
      <c r="G27" s="1"/>
      <c r="H27" s="1"/>
      <c r="I27" s="1"/>
    </row>
    <row r="28" spans="1:9">
      <c r="A28" s="1"/>
      <c r="B28" s="1"/>
      <c r="C28" s="1"/>
      <c r="D28" s="1"/>
      <c r="E28" s="4"/>
      <c r="F28" s="1"/>
      <c r="G28" s="1"/>
      <c r="H28" s="1"/>
      <c r="I28" s="1"/>
    </row>
    <row r="29" spans="1:9">
      <c r="A29" s="1"/>
      <c r="B29" s="1"/>
      <c r="C29" s="1"/>
      <c r="D29" s="1"/>
      <c r="E29" s="4"/>
      <c r="F29" s="1"/>
      <c r="G29" s="1"/>
      <c r="H29" s="1"/>
      <c r="I29" s="1"/>
    </row>
    <row r="30" spans="1:9">
      <c r="A30" s="1"/>
      <c r="B30" s="1"/>
      <c r="C30" s="1"/>
      <c r="D30" s="1"/>
      <c r="E30" s="4"/>
      <c r="F30" s="1"/>
      <c r="G30" s="1"/>
      <c r="H30" s="1"/>
      <c r="I30" s="1"/>
    </row>
    <row r="31" spans="1:9">
      <c r="A31" s="1"/>
      <c r="B31" s="1"/>
      <c r="C31" s="1"/>
      <c r="D31" s="1"/>
      <c r="E31" s="4"/>
      <c r="F31" s="1"/>
      <c r="G31" s="1"/>
      <c r="H31" s="1"/>
      <c r="I31" s="1"/>
    </row>
    <row r="32" spans="1:9">
      <c r="A32" s="1"/>
      <c r="B32" s="1"/>
      <c r="C32" s="1"/>
      <c r="D32" s="1"/>
      <c r="E32" s="4"/>
      <c r="F32" s="1"/>
      <c r="G32" s="1"/>
      <c r="H32" s="1"/>
      <c r="I32" s="1"/>
    </row>
    <row r="33" spans="1:9">
      <c r="A33" s="1"/>
      <c r="B33" s="1"/>
      <c r="C33" s="1"/>
      <c r="D33" s="1"/>
      <c r="E33" s="4"/>
      <c r="F33" s="1"/>
      <c r="G33" s="1"/>
      <c r="H33" s="1"/>
      <c r="I33" s="1"/>
    </row>
    <row r="34" spans="1:9">
      <c r="A34" s="1"/>
      <c r="B34" s="1"/>
      <c r="C34" s="1"/>
      <c r="D34" s="1"/>
      <c r="E34" s="4"/>
      <c r="F34" s="1"/>
      <c r="G34" s="1"/>
      <c r="H34" s="1"/>
      <c r="I34" s="1"/>
    </row>
    <row r="35" spans="1:9">
      <c r="A35" s="1"/>
      <c r="B35" s="1"/>
      <c r="C35" s="1"/>
      <c r="D35" s="1"/>
      <c r="E35" s="4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44" t="s">
        <v>5</v>
      </c>
      <c r="B1" s="145" t="s">
        <v>6</v>
      </c>
      <c r="C1" s="144" t="s">
        <v>7</v>
      </c>
      <c r="D1" s="144" t="s">
        <v>8</v>
      </c>
      <c r="E1" s="144" t="s">
        <v>48</v>
      </c>
      <c r="F1" s="144" t="s">
        <v>9</v>
      </c>
      <c r="G1" s="144" t="s">
        <v>10</v>
      </c>
      <c r="H1" s="146" t="s">
        <v>50</v>
      </c>
      <c r="I1" s="146" t="s">
        <v>49</v>
      </c>
      <c r="J1" s="144" t="s">
        <v>11</v>
      </c>
      <c r="K1" s="144" t="s">
        <v>12</v>
      </c>
      <c r="L1" s="144" t="s">
        <v>13</v>
      </c>
      <c r="M1" s="144" t="s">
        <v>14</v>
      </c>
      <c r="N1" s="144" t="s">
        <v>15</v>
      </c>
      <c r="O1" s="144" t="s">
        <v>16</v>
      </c>
      <c r="P1" s="144" t="s">
        <v>17</v>
      </c>
      <c r="Q1" s="144" t="s">
        <v>18</v>
      </c>
      <c r="R1" s="144" t="s">
        <v>19</v>
      </c>
      <c r="S1" s="144" t="s">
        <v>20</v>
      </c>
    </row>
    <row r="2" spans="1:19">
      <c r="A2" s="144"/>
      <c r="B2" s="145"/>
      <c r="C2" s="144"/>
      <c r="D2" s="144"/>
      <c r="E2" s="144"/>
      <c r="F2" s="144"/>
      <c r="G2" s="144"/>
      <c r="H2" s="146"/>
      <c r="I2" s="146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J10" sqref="J10"/>
    </sheetView>
  </sheetViews>
  <sheetFormatPr baseColWidth="10" defaultRowHeight="14" x14ac:dyDescent="0"/>
  <cols>
    <col min="2" max="2" width="11.8320312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  <col min="19" max="19" width="29.83203125" bestFit="1" customWidth="1"/>
    <col min="20" max="20" width="22.83203125" bestFit="1" customWidth="1"/>
  </cols>
  <sheetData>
    <row r="1" spans="1:24">
      <c r="A1" s="147" t="s">
        <v>6</v>
      </c>
      <c r="B1" s="148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" thickBot="1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" thickTop="1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9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>I5*L5</f>
        <v>12.323764127764132</v>
      </c>
      <c r="N5" s="13">
        <v>31.596</v>
      </c>
      <c r="O5" s="26">
        <f t="shared" ref="O5:O12" si="0">N5-J5</f>
        <v>21.17</v>
      </c>
      <c r="P5" s="27">
        <f t="shared" ref="P5:P12" si="1">(L5-M5)/(O5-M5)</f>
        <v>0.26477203480262512</v>
      </c>
      <c r="Q5" s="29">
        <f t="shared" ref="Q5:Q12" si="2">(((O5-M5)*0.6)+M5)/L5</f>
        <v>1.2022027581553019</v>
      </c>
      <c r="R5" s="13"/>
      <c r="S5">
        <v>24</v>
      </c>
      <c r="T5" s="30">
        <f t="shared" ref="T5:T12" si="3">S5*(Q5-1)</f>
        <v>4.8528661957272448</v>
      </c>
      <c r="U5">
        <v>1</v>
      </c>
      <c r="X5" s="33"/>
    </row>
    <row r="6" spans="1:24">
      <c r="A6" s="105" t="s">
        <v>128</v>
      </c>
      <c r="B6" s="33" t="s">
        <v>121</v>
      </c>
      <c r="C6">
        <v>53.54</v>
      </c>
      <c r="D6">
        <f t="shared" ref="D6:D16" si="4">F6-C6</f>
        <v>6.1000000000000014</v>
      </c>
      <c r="E6" s="29">
        <v>7.47</v>
      </c>
      <c r="F6">
        <v>59.64</v>
      </c>
      <c r="G6" s="29">
        <f t="shared" ref="G6:G16" si="5">E6-(F6-C6)</f>
        <v>1.3699999999999983</v>
      </c>
      <c r="H6" s="108">
        <f t="shared" ref="H6:H16" si="6">G6/E6</f>
        <v>0.18340026773761692</v>
      </c>
      <c r="I6" s="107">
        <f t="shared" ref="I6:I16" si="7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ref="M6:M11" si="8">I6*L6</f>
        <v>12.328206157965196</v>
      </c>
      <c r="N6" s="13">
        <v>32.164999999999999</v>
      </c>
      <c r="O6" s="26">
        <f t="shared" si="0"/>
        <v>21.768999999999998</v>
      </c>
      <c r="P6" s="27">
        <f t="shared" si="1"/>
        <v>0.29327976951544543</v>
      </c>
      <c r="Q6" s="29">
        <f t="shared" si="2"/>
        <v>1.1918051575270636</v>
      </c>
      <c r="R6" s="13"/>
      <c r="S6">
        <v>25</v>
      </c>
      <c r="T6" s="30">
        <f t="shared" si="3"/>
        <v>4.7951289381765907</v>
      </c>
      <c r="U6">
        <v>2</v>
      </c>
      <c r="X6" s="33"/>
    </row>
    <row r="7" spans="1:24">
      <c r="A7" s="105" t="s">
        <v>128</v>
      </c>
      <c r="B7" s="33" t="s">
        <v>122</v>
      </c>
      <c r="C7">
        <v>51.18</v>
      </c>
      <c r="D7">
        <f t="shared" si="4"/>
        <v>8.0200000000000031</v>
      </c>
      <c r="E7" s="29">
        <v>9.77</v>
      </c>
      <c r="F7">
        <v>59.2</v>
      </c>
      <c r="G7" s="29">
        <f t="shared" si="5"/>
        <v>1.7499999999999964</v>
      </c>
      <c r="H7" s="108">
        <f t="shared" si="6"/>
        <v>0.17911975435005081</v>
      </c>
      <c r="I7" s="107">
        <f t="shared" si="7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8"/>
        <v>12.797523029682708</v>
      </c>
      <c r="N7" s="13">
        <v>30.97</v>
      </c>
      <c r="O7" s="26">
        <f t="shared" si="0"/>
        <v>20.545999999999999</v>
      </c>
      <c r="P7" s="27">
        <f t="shared" si="1"/>
        <v>0.36039043298633477</v>
      </c>
      <c r="Q7" s="29">
        <f t="shared" si="2"/>
        <v>1.1190897506012241</v>
      </c>
      <c r="R7" s="22"/>
      <c r="S7">
        <v>24.5</v>
      </c>
      <c r="T7" s="30">
        <f t="shared" si="3"/>
        <v>2.9176988897299898</v>
      </c>
      <c r="U7">
        <v>3</v>
      </c>
      <c r="W7" s="7"/>
      <c r="X7" s="33"/>
    </row>
    <row r="8" spans="1:24">
      <c r="A8" s="105" t="s">
        <v>128</v>
      </c>
      <c r="B8" s="33" t="s">
        <v>123</v>
      </c>
      <c r="C8">
        <v>52.25</v>
      </c>
      <c r="D8">
        <f t="shared" si="4"/>
        <v>5.4500000000000028</v>
      </c>
      <c r="E8" s="29">
        <v>7.08</v>
      </c>
      <c r="F8">
        <v>57.7</v>
      </c>
      <c r="G8" s="29">
        <f t="shared" si="5"/>
        <v>1.6299999999999972</v>
      </c>
      <c r="H8" s="108">
        <f t="shared" si="6"/>
        <v>0.23022598870056457</v>
      </c>
      <c r="I8" s="107">
        <f t="shared" si="7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8"/>
        <v>12.307146892655373</v>
      </c>
      <c r="N8" s="13">
        <v>33.267000000000003</v>
      </c>
      <c r="O8" s="26">
        <f t="shared" si="0"/>
        <v>22.862000000000002</v>
      </c>
      <c r="P8" s="27">
        <f t="shared" si="1"/>
        <v>0.34873560720454677</v>
      </c>
      <c r="Q8" s="29">
        <f t="shared" si="2"/>
        <v>1.1658780808770421</v>
      </c>
      <c r="R8" s="13"/>
      <c r="S8">
        <v>26</v>
      </c>
      <c r="T8" s="30">
        <f t="shared" si="3"/>
        <v>4.3128301028030958</v>
      </c>
      <c r="U8">
        <v>4</v>
      </c>
      <c r="W8" s="7"/>
      <c r="X8" s="33"/>
    </row>
    <row r="9" spans="1:24">
      <c r="A9" s="105" t="s">
        <v>128</v>
      </c>
      <c r="B9" s="33" t="s">
        <v>124</v>
      </c>
      <c r="C9">
        <v>48.77</v>
      </c>
      <c r="D9">
        <f t="shared" si="4"/>
        <v>6.5799999999999983</v>
      </c>
      <c r="E9" s="29">
        <v>7.92</v>
      </c>
      <c r="F9">
        <v>55.35</v>
      </c>
      <c r="G9" s="29">
        <f t="shared" si="5"/>
        <v>1.3400000000000016</v>
      </c>
      <c r="H9" s="108">
        <f t="shared" si="6"/>
        <v>0.16919191919191939</v>
      </c>
      <c r="I9" s="107">
        <f t="shared" si="7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8"/>
        <v>12.836815656565653</v>
      </c>
      <c r="N9" s="13">
        <v>32.561</v>
      </c>
      <c r="O9" s="26">
        <f t="shared" si="0"/>
        <v>22.201999999999998</v>
      </c>
      <c r="P9" s="27">
        <f t="shared" si="1"/>
        <v>0.27913858900888322</v>
      </c>
      <c r="Q9" s="29">
        <f t="shared" si="2"/>
        <v>1.1944810214630937</v>
      </c>
      <c r="R9" s="13"/>
      <c r="S9">
        <v>24</v>
      </c>
      <c r="T9" s="30">
        <f t="shared" si="3"/>
        <v>4.6675445151142476</v>
      </c>
      <c r="U9">
        <v>5</v>
      </c>
      <c r="X9" s="33"/>
    </row>
    <row r="10" spans="1:24">
      <c r="A10" s="105" t="s">
        <v>128</v>
      </c>
      <c r="B10" s="33" t="s">
        <v>125</v>
      </c>
      <c r="C10">
        <v>49.03</v>
      </c>
      <c r="D10">
        <f t="shared" si="4"/>
        <v>5.8299999999999983</v>
      </c>
      <c r="E10" s="29">
        <v>7.24</v>
      </c>
      <c r="F10">
        <v>54.86</v>
      </c>
      <c r="G10" s="29">
        <f t="shared" si="5"/>
        <v>1.4100000000000019</v>
      </c>
      <c r="H10" s="108">
        <f t="shared" si="6"/>
        <v>0.19475138121546987</v>
      </c>
      <c r="I10" s="107">
        <f t="shared" si="7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8"/>
        <v>13.016038674033146</v>
      </c>
      <c r="N10" s="13">
        <v>33.450000000000003</v>
      </c>
      <c r="O10" s="26">
        <f t="shared" si="0"/>
        <v>23.024000000000001</v>
      </c>
      <c r="P10" s="27">
        <f t="shared" si="1"/>
        <v>0.31454571250181523</v>
      </c>
      <c r="Q10" s="29">
        <f t="shared" si="2"/>
        <v>1.1767393881225721</v>
      </c>
      <c r="R10" s="13"/>
      <c r="S10">
        <v>25</v>
      </c>
      <c r="T10" s="30">
        <f t="shared" si="3"/>
        <v>4.4184847030643013</v>
      </c>
      <c r="U10">
        <v>6</v>
      </c>
      <c r="X10" s="33"/>
    </row>
    <row r="11" spans="1:24">
      <c r="A11" s="13" t="s">
        <v>151</v>
      </c>
      <c r="B11" s="33" t="s">
        <v>120</v>
      </c>
      <c r="C11">
        <v>53.548999999999999</v>
      </c>
      <c r="D11">
        <f t="shared" si="4"/>
        <v>10.002000000000002</v>
      </c>
      <c r="E11" s="29">
        <v>10.000999999999999</v>
      </c>
      <c r="F11">
        <v>63.551000000000002</v>
      </c>
      <c r="G11" s="29">
        <f t="shared" si="5"/>
        <v>-1.0000000000029985E-3</v>
      </c>
      <c r="H11" s="108">
        <f t="shared" si="6"/>
        <v>-9.9990001000199838E-5</v>
      </c>
      <c r="I11" s="107">
        <f t="shared" si="7"/>
        <v>1.0000999900010001</v>
      </c>
      <c r="J11" s="13">
        <v>10.426</v>
      </c>
      <c r="K11" s="26">
        <v>10.445</v>
      </c>
      <c r="L11" s="13">
        <v>16.422000000000001</v>
      </c>
      <c r="M11" s="28">
        <f t="shared" si="8"/>
        <v>16.423642035796426</v>
      </c>
      <c r="N11" s="22">
        <v>36.966000000000001</v>
      </c>
      <c r="O11" s="26">
        <f t="shared" si="0"/>
        <v>26.54</v>
      </c>
      <c r="P11" s="27">
        <f t="shared" si="1"/>
        <v>-1.6231491632028432E-4</v>
      </c>
      <c r="Q11" s="29">
        <f t="shared" si="2"/>
        <v>1.36971482245272</v>
      </c>
      <c r="R11" s="13"/>
      <c r="S11" s="29">
        <v>20</v>
      </c>
      <c r="T11" s="30">
        <f t="shared" si="3"/>
        <v>7.3942964490544005</v>
      </c>
      <c r="U11">
        <v>7</v>
      </c>
      <c r="W11" s="7"/>
      <c r="X11" s="33"/>
    </row>
    <row r="12" spans="1:24">
      <c r="A12" s="115" t="s">
        <v>151</v>
      </c>
      <c r="B12" s="33" t="s">
        <v>121</v>
      </c>
      <c r="C12">
        <v>52.241999999999997</v>
      </c>
      <c r="D12">
        <f t="shared" si="4"/>
        <v>10.410000000000004</v>
      </c>
      <c r="E12" s="29">
        <v>10.409000000000001</v>
      </c>
      <c r="F12">
        <v>62.652000000000001</v>
      </c>
      <c r="G12" s="29">
        <f t="shared" si="5"/>
        <v>-1.0000000000029985E-3</v>
      </c>
      <c r="H12" s="108">
        <f t="shared" si="6"/>
        <v>-9.6070708041406328E-5</v>
      </c>
      <c r="I12" s="107">
        <f t="shared" si="7"/>
        <v>1.0000960707080413</v>
      </c>
      <c r="J12" s="22">
        <v>10.396000000000001</v>
      </c>
      <c r="K12" s="26">
        <v>10.525</v>
      </c>
      <c r="L12" s="22">
        <v>14.781000000000001</v>
      </c>
      <c r="M12" s="28">
        <f>I12*L12</f>
        <v>14.782420021135559</v>
      </c>
      <c r="N12" s="22">
        <v>35.159999999999997</v>
      </c>
      <c r="O12" s="26">
        <f t="shared" si="0"/>
        <v>24.763999999999996</v>
      </c>
      <c r="P12" s="27">
        <f t="shared" si="1"/>
        <v>-1.4226416444745689E-4</v>
      </c>
      <c r="Q12" s="29">
        <f t="shared" si="2"/>
        <v>1.4052748804853676</v>
      </c>
      <c r="R12" s="22"/>
      <c r="S12" s="29">
        <v>20</v>
      </c>
      <c r="T12" s="30">
        <f t="shared" si="3"/>
        <v>8.1054976097073528</v>
      </c>
      <c r="U12">
        <v>8</v>
      </c>
      <c r="W12" s="7"/>
      <c r="X12" s="33"/>
    </row>
    <row r="13" spans="1:24">
      <c r="A13" s="115" t="s">
        <v>151</v>
      </c>
      <c r="B13" s="33" t="s">
        <v>122</v>
      </c>
      <c r="C13">
        <v>49.024000000000001</v>
      </c>
      <c r="D13">
        <f t="shared" si="4"/>
        <v>10.021000000000001</v>
      </c>
      <c r="E13" s="29">
        <v>10.02</v>
      </c>
      <c r="F13">
        <v>59.045000000000002</v>
      </c>
      <c r="G13" s="29">
        <f t="shared" si="5"/>
        <v>-1.0000000000012221E-3</v>
      </c>
      <c r="H13" s="108">
        <f t="shared" si="6"/>
        <v>-9.9800399201718773E-5</v>
      </c>
      <c r="I13" s="107">
        <f t="shared" si="7"/>
        <v>1.0000998003992017</v>
      </c>
      <c r="J13" s="26">
        <v>10.423999999999999</v>
      </c>
      <c r="K13" s="26">
        <v>10.454000000000001</v>
      </c>
      <c r="L13" s="26">
        <v>15.047000000000001</v>
      </c>
      <c r="M13" s="26">
        <f>I13*L13</f>
        <v>15.048501696606788</v>
      </c>
      <c r="N13" s="22">
        <v>34.933</v>
      </c>
      <c r="O13" s="26">
        <f>N13-J13</f>
        <v>24.509</v>
      </c>
      <c r="P13" s="27">
        <f>(L13-M13)/(O13-M13)</f>
        <v>-1.5873335194711101E-4</v>
      </c>
      <c r="Q13" s="29">
        <f>(((O13-M13)*0.6)+M13)/L13</f>
        <v>1.3773377203856394</v>
      </c>
      <c r="R13" s="31"/>
      <c r="S13" s="29">
        <v>20</v>
      </c>
      <c r="T13" s="30">
        <f>S13*(Q13-1)</f>
        <v>7.5467544077127879</v>
      </c>
      <c r="U13">
        <v>9</v>
      </c>
      <c r="W13" s="7"/>
      <c r="X13" s="33"/>
    </row>
    <row r="14" spans="1:24">
      <c r="A14" s="115" t="s">
        <v>151</v>
      </c>
      <c r="B14" s="33" t="s">
        <v>123</v>
      </c>
      <c r="C14">
        <v>47.802</v>
      </c>
      <c r="D14">
        <f t="shared" si="4"/>
        <v>10.386000000000003</v>
      </c>
      <c r="E14" s="29">
        <v>10.384</v>
      </c>
      <c r="F14">
        <v>58.188000000000002</v>
      </c>
      <c r="G14" s="29">
        <f t="shared" si="5"/>
        <v>-2.0000000000024443E-3</v>
      </c>
      <c r="H14" s="108">
        <f t="shared" si="6"/>
        <v>-1.9260400616356358E-4</v>
      </c>
      <c r="I14" s="107">
        <f t="shared" si="7"/>
        <v>1.0001926040061635</v>
      </c>
      <c r="J14" s="28">
        <v>10.404999999999999</v>
      </c>
      <c r="K14" s="26">
        <v>10.654999999999999</v>
      </c>
      <c r="L14" s="26">
        <v>15.047000000000001</v>
      </c>
      <c r="M14" s="26">
        <f>I14*L14</f>
        <v>15.049898112480744</v>
      </c>
      <c r="N14" s="22">
        <v>36.795000000000002</v>
      </c>
      <c r="O14" s="26">
        <f>N14-J14</f>
        <v>26.39</v>
      </c>
      <c r="P14" s="27">
        <f>(L14-M14)/(O14-M14)</f>
        <v>-2.5556317831082519E-4</v>
      </c>
      <c r="Q14" s="29">
        <f>(((O14-M14)*0.6)+M14)/L14</f>
        <v>1.4523798262106928</v>
      </c>
      <c r="R14" s="31"/>
      <c r="S14" s="29">
        <v>20</v>
      </c>
      <c r="T14" s="30">
        <f>S14*(Q14-1)</f>
        <v>9.0475965242138567</v>
      </c>
      <c r="U14">
        <v>10</v>
      </c>
      <c r="X14" s="33"/>
    </row>
    <row r="15" spans="1:24">
      <c r="A15" s="115" t="s">
        <v>151</v>
      </c>
      <c r="B15" s="33" t="s">
        <v>124</v>
      </c>
      <c r="C15">
        <v>51.18</v>
      </c>
      <c r="D15">
        <f t="shared" si="4"/>
        <v>10.503999999999998</v>
      </c>
      <c r="E15" s="29">
        <v>10.503</v>
      </c>
      <c r="F15">
        <v>61.683999999999997</v>
      </c>
      <c r="G15" s="29">
        <f t="shared" si="5"/>
        <v>-9.9999999999766942E-4</v>
      </c>
      <c r="H15" s="108">
        <f t="shared" si="6"/>
        <v>-9.521089212583732E-5</v>
      </c>
      <c r="I15" s="107">
        <f t="shared" si="7"/>
        <v>1.0000952108921259</v>
      </c>
      <c r="J15" s="32">
        <v>10.359</v>
      </c>
      <c r="K15" s="26">
        <v>10.554</v>
      </c>
      <c r="L15" s="26">
        <v>15.86</v>
      </c>
      <c r="M15" s="26">
        <f>I15*L15</f>
        <v>15.861510044749117</v>
      </c>
      <c r="N15" s="22">
        <v>36.820999999999998</v>
      </c>
      <c r="O15" s="26">
        <f>N15-J15</f>
        <v>26.461999999999996</v>
      </c>
      <c r="P15" s="27">
        <f t="shared" ref="P15" si="9">(L15-M15)/(O15-M15)</f>
        <v>-1.4245046743050559E-4</v>
      </c>
      <c r="Q15" s="29">
        <f>(((O15-M15)*0.6)+M15)/L15</f>
        <v>1.4011225736380608</v>
      </c>
      <c r="R15" s="31"/>
      <c r="S15" s="29">
        <v>20</v>
      </c>
      <c r="T15" s="30">
        <f>S15*(Q15-1)</f>
        <v>8.0224514727612153</v>
      </c>
      <c r="U15">
        <v>11</v>
      </c>
      <c r="X15" s="33"/>
    </row>
    <row r="16" spans="1:24">
      <c r="A16" s="115" t="s">
        <v>151</v>
      </c>
      <c r="B16" s="33" t="s">
        <v>125</v>
      </c>
      <c r="C16">
        <v>48.771999999999998</v>
      </c>
      <c r="D16">
        <f t="shared" si="4"/>
        <v>10.971000000000004</v>
      </c>
      <c r="E16" s="29">
        <v>10.97</v>
      </c>
      <c r="F16">
        <v>59.743000000000002</v>
      </c>
      <c r="G16" s="29">
        <f t="shared" si="5"/>
        <v>-1.0000000000029985E-3</v>
      </c>
      <c r="H16" s="108">
        <f t="shared" si="6"/>
        <v>-9.1157702826162118E-5</v>
      </c>
      <c r="I16" s="107">
        <f t="shared" si="7"/>
        <v>1.0000911577028262</v>
      </c>
      <c r="J16" s="32">
        <v>10.426</v>
      </c>
      <c r="K16" s="26">
        <v>10.343</v>
      </c>
      <c r="L16" s="26">
        <v>14.923999999999999</v>
      </c>
      <c r="M16" s="26">
        <f t="shared" ref="M16" si="10">I16*L16</f>
        <v>14.925360437556977</v>
      </c>
      <c r="N16" s="22">
        <v>35.161000000000001</v>
      </c>
      <c r="O16" s="26">
        <f t="shared" ref="O16" si="11">N16-J16</f>
        <v>24.734999999999999</v>
      </c>
      <c r="P16" s="27">
        <f>(L16-M16)/(O16-M16)</f>
        <v>-1.3868374554615518E-4</v>
      </c>
      <c r="Q16" s="29">
        <f t="shared" ref="Q16" si="12">(((O16-M16)*0.6)+M16)/L16</f>
        <v>1.3944749514220578</v>
      </c>
      <c r="R16" s="31"/>
      <c r="S16" s="29">
        <v>20</v>
      </c>
      <c r="T16" s="30">
        <f t="shared" ref="T16" si="13">S16*(Q16-1)</f>
        <v>7.8894990284411559</v>
      </c>
      <c r="U16">
        <v>12</v>
      </c>
      <c r="X16" s="33"/>
    </row>
    <row r="18" spans="18:22">
      <c r="S18" t="s">
        <v>164</v>
      </c>
    </row>
    <row r="19" spans="18:22">
      <c r="R19">
        <v>24</v>
      </c>
      <c r="S19" s="10">
        <f>R19*I5</f>
        <v>20.167076167076175</v>
      </c>
    </row>
    <row r="20" spans="18:22">
      <c r="R20">
        <v>25</v>
      </c>
      <c r="S20" s="10">
        <f t="shared" ref="S20:S24" si="14">R20*I6</f>
        <v>20.414993306559577</v>
      </c>
      <c r="V20" s="10"/>
    </row>
    <row r="21" spans="18:22">
      <c r="R21">
        <v>24.5</v>
      </c>
      <c r="S21" s="10">
        <f t="shared" si="14"/>
        <v>20.111566018423755</v>
      </c>
    </row>
    <row r="22" spans="18:22">
      <c r="R22">
        <v>26</v>
      </c>
      <c r="S22" s="10">
        <f t="shared" si="14"/>
        <v>20.014124293785322</v>
      </c>
    </row>
    <row r="23" spans="18:22">
      <c r="R23">
        <v>24</v>
      </c>
      <c r="S23" s="10">
        <f t="shared" si="14"/>
        <v>19.939393939393934</v>
      </c>
    </row>
    <row r="24" spans="18:22">
      <c r="R24">
        <v>25</v>
      </c>
      <c r="S24" s="10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24" sqref="D24"/>
    </sheetView>
  </sheetViews>
  <sheetFormatPr baseColWidth="10" defaultRowHeight="14" x14ac:dyDescent="0"/>
  <cols>
    <col min="2" max="2" width="12.6640625" bestFit="1" customWidth="1"/>
  </cols>
  <sheetData>
    <row r="1" spans="1:7" ht="15">
      <c r="A1" s="92" t="s">
        <v>103</v>
      </c>
      <c r="B1" s="92"/>
    </row>
    <row r="2" spans="1:7" ht="30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">
      <c r="A3" s="93"/>
      <c r="B3" s="1"/>
      <c r="C3" s="96" t="s">
        <v>107</v>
      </c>
      <c r="D3" s="1"/>
      <c r="E3" s="1"/>
      <c r="F3" s="96"/>
      <c r="G3" s="1"/>
    </row>
    <row r="4" spans="1:7" ht="15">
      <c r="A4" s="93"/>
      <c r="B4" s="1"/>
      <c r="C4" s="96" t="s">
        <v>108</v>
      </c>
      <c r="D4" s="1"/>
      <c r="E4" s="1"/>
      <c r="F4" s="96"/>
      <c r="G4" s="1"/>
    </row>
    <row r="5" spans="1:7" ht="15">
      <c r="A5" s="93"/>
      <c r="B5" s="1"/>
      <c r="C5" s="96" t="s">
        <v>109</v>
      </c>
      <c r="D5" s="1"/>
      <c r="E5" s="1"/>
      <c r="F5" s="96"/>
      <c r="G5" s="1"/>
    </row>
    <row r="6" spans="1:7" ht="15">
      <c r="A6" s="93"/>
      <c r="B6" s="1"/>
      <c r="C6" s="96" t="s">
        <v>110</v>
      </c>
      <c r="D6" s="1"/>
      <c r="E6" s="1"/>
      <c r="F6" s="96"/>
      <c r="G6" s="1"/>
    </row>
    <row r="7" spans="1:7" ht="15">
      <c r="A7" s="93"/>
      <c r="B7" s="1"/>
      <c r="C7" s="96" t="s">
        <v>111</v>
      </c>
      <c r="D7" s="1"/>
      <c r="E7" s="1"/>
      <c r="F7" s="96"/>
      <c r="G7" s="1"/>
    </row>
    <row r="8" spans="1:7" ht="15">
      <c r="A8" s="93"/>
      <c r="B8" s="1"/>
      <c r="C8" s="96" t="s">
        <v>112</v>
      </c>
      <c r="D8" s="1"/>
      <c r="E8" s="1"/>
      <c r="F8" s="96"/>
      <c r="G8" s="1"/>
    </row>
    <row r="9" spans="1:7" ht="15">
      <c r="A9" s="93"/>
      <c r="B9" s="1"/>
      <c r="C9" s="96" t="s">
        <v>113</v>
      </c>
      <c r="D9" s="1"/>
      <c r="E9" s="1"/>
      <c r="F9" s="96"/>
      <c r="G9" s="1"/>
    </row>
    <row r="10" spans="1:7" ht="15">
      <c r="A10" s="93"/>
      <c r="B10" s="1"/>
      <c r="C10" s="96" t="s">
        <v>114</v>
      </c>
      <c r="D10" s="1"/>
      <c r="E10" s="1"/>
      <c r="F10" s="96"/>
      <c r="G10" s="1"/>
    </row>
    <row r="11" spans="1:7" ht="15">
      <c r="A11" s="93"/>
      <c r="B11" s="1"/>
      <c r="C11" s="96" t="s">
        <v>115</v>
      </c>
      <c r="D11" s="1"/>
      <c r="E11" s="1"/>
      <c r="F11" s="96"/>
      <c r="G11" s="1"/>
    </row>
    <row r="12" spans="1:7" ht="15">
      <c r="A12" s="93"/>
      <c r="B12" s="1"/>
      <c r="C12" s="96" t="s">
        <v>116</v>
      </c>
      <c r="D12" s="1"/>
      <c r="E12" s="1"/>
      <c r="F12" s="96"/>
      <c r="G12" s="1"/>
    </row>
    <row r="13" spans="1:7" ht="15">
      <c r="A13" s="93"/>
      <c r="B13" s="1"/>
      <c r="C13" s="96">
        <v>0.2</v>
      </c>
      <c r="D13" s="1"/>
      <c r="E13" s="1"/>
      <c r="F13" s="96"/>
      <c r="G13" s="1"/>
    </row>
    <row r="14" spans="1:7" ht="15">
      <c r="A14" s="97"/>
      <c r="B14" s="97"/>
      <c r="C14" s="96">
        <v>0.1</v>
      </c>
      <c r="D14" s="94"/>
      <c r="E14" s="97"/>
      <c r="F14" s="97"/>
      <c r="G14" s="97"/>
    </row>
    <row r="15" spans="1:7">
      <c r="A15" s="99"/>
      <c r="B15" s="116"/>
      <c r="C15" s="5"/>
      <c r="D15" s="1"/>
      <c r="E15" s="98"/>
      <c r="F15" s="98"/>
      <c r="G15" s="98"/>
    </row>
    <row r="16" spans="1:7">
      <c r="A16" s="99"/>
      <c r="B16" s="116" t="s">
        <v>152</v>
      </c>
      <c r="C16" s="5"/>
      <c r="D16" s="1"/>
      <c r="E16" s="98"/>
      <c r="F16" s="98"/>
      <c r="G16" s="98"/>
    </row>
    <row r="17" spans="1:7">
      <c r="A17" s="99"/>
      <c r="B17" s="116" t="s">
        <v>153</v>
      </c>
      <c r="C17" s="5"/>
      <c r="D17" s="1"/>
      <c r="E17" s="98"/>
      <c r="F17" s="98"/>
      <c r="G17" s="98"/>
    </row>
    <row r="18" spans="1:7">
      <c r="A18" s="99"/>
      <c r="B18" s="116" t="s">
        <v>154</v>
      </c>
      <c r="C18" s="5"/>
      <c r="D18" s="1"/>
      <c r="E18" s="98"/>
      <c r="F18" s="98"/>
      <c r="G18" s="98"/>
    </row>
    <row r="19" spans="1:7">
      <c r="A19" s="99"/>
      <c r="B19" s="116" t="s">
        <v>155</v>
      </c>
      <c r="C19" s="5"/>
      <c r="D19" s="1"/>
      <c r="E19" s="98"/>
      <c r="F19" s="98"/>
      <c r="G19" s="98"/>
    </row>
    <row r="20" spans="1:7">
      <c r="A20" s="99"/>
      <c r="B20" s="116" t="s">
        <v>156</v>
      </c>
      <c r="C20" s="5"/>
      <c r="D20" s="1"/>
      <c r="E20" s="98"/>
      <c r="F20" s="98"/>
      <c r="G20" s="98"/>
    </row>
    <row r="21" spans="1:7">
      <c r="A21" s="99"/>
      <c r="B21" s="116" t="s">
        <v>157</v>
      </c>
      <c r="C21" s="5"/>
      <c r="D21" s="1"/>
      <c r="E21" s="98"/>
      <c r="F21" s="98"/>
      <c r="G21" s="98"/>
    </row>
    <row r="22" spans="1:7">
      <c r="A22" s="99"/>
      <c r="B22" s="116" t="s">
        <v>158</v>
      </c>
      <c r="C22" s="5"/>
      <c r="D22" s="1"/>
      <c r="E22" s="98"/>
      <c r="F22" s="98"/>
      <c r="G22" s="98"/>
    </row>
    <row r="23" spans="1:7">
      <c r="A23" s="99"/>
      <c r="B23" s="116" t="s">
        <v>159</v>
      </c>
      <c r="C23" s="5"/>
      <c r="D23" s="1"/>
      <c r="E23" s="98"/>
      <c r="F23" s="98"/>
      <c r="G23" s="98"/>
    </row>
    <row r="24" spans="1:7">
      <c r="A24" s="99"/>
      <c r="B24" s="116" t="s">
        <v>160</v>
      </c>
      <c r="C24" s="5"/>
      <c r="D24" s="1"/>
      <c r="E24" s="98"/>
      <c r="F24" s="98"/>
      <c r="G24" s="98"/>
    </row>
    <row r="25" spans="1:7">
      <c r="A25" s="99"/>
      <c r="B25" s="116" t="s">
        <v>161</v>
      </c>
      <c r="C25" s="5"/>
      <c r="D25" s="1"/>
      <c r="E25" s="98"/>
      <c r="F25" s="98"/>
      <c r="G25" s="98"/>
    </row>
    <row r="26" spans="1:7">
      <c r="A26" s="99"/>
      <c r="B26" s="116" t="s">
        <v>162</v>
      </c>
      <c r="C26" s="5"/>
      <c r="D26" s="1"/>
      <c r="E26" s="98"/>
      <c r="F26" s="98"/>
      <c r="G26" s="98"/>
    </row>
    <row r="27" spans="1:7">
      <c r="A27" s="97"/>
      <c r="B27" s="116" t="s">
        <v>163</v>
      </c>
      <c r="C27" s="5"/>
      <c r="D27" s="5"/>
      <c r="E27" s="98"/>
      <c r="F27" s="98"/>
      <c r="G27" s="98"/>
    </row>
    <row r="28" spans="1:7">
      <c r="A28" s="97"/>
      <c r="B28" s="116"/>
      <c r="C28" s="5"/>
      <c r="D28" s="5"/>
      <c r="E28" s="98"/>
      <c r="F28" s="98"/>
      <c r="G28" s="98"/>
    </row>
    <row r="29" spans="1:7">
      <c r="A29" s="97"/>
      <c r="B29" s="5"/>
      <c r="C29" s="5"/>
      <c r="D29" s="5"/>
      <c r="E29" s="98"/>
      <c r="F29" s="98"/>
      <c r="G29" s="98"/>
    </row>
    <row r="30" spans="1:7">
      <c r="A30" s="97"/>
      <c r="B30" s="5"/>
      <c r="C30" s="5"/>
      <c r="D30" s="5"/>
      <c r="E30" s="98"/>
      <c r="F30" s="98"/>
      <c r="G30" s="98"/>
    </row>
    <row r="31" spans="1:7">
      <c r="A31" s="97"/>
      <c r="B31" s="5"/>
      <c r="C31" s="5"/>
      <c r="D31" s="5"/>
      <c r="E31" s="98"/>
      <c r="F31" s="98"/>
      <c r="G31" s="98"/>
    </row>
    <row r="32" spans="1:7">
      <c r="A32" s="97"/>
      <c r="B32" s="5"/>
      <c r="C32" s="5"/>
      <c r="D32" s="5"/>
      <c r="E32" s="98"/>
      <c r="F32" s="98"/>
      <c r="G32" s="98"/>
    </row>
    <row r="33" spans="1:7">
      <c r="A33" s="97"/>
      <c r="B33" s="5"/>
      <c r="C33" s="5"/>
      <c r="D33" s="5"/>
      <c r="E33" s="98"/>
      <c r="F33" s="98"/>
      <c r="G33" s="98"/>
    </row>
    <row r="34" spans="1:7">
      <c r="A34" s="97"/>
      <c r="B34" s="5"/>
      <c r="C34" s="5"/>
      <c r="D34" s="5"/>
      <c r="E34" s="97"/>
      <c r="F34" s="97"/>
      <c r="G34" s="97"/>
    </row>
    <row r="35" spans="1:7">
      <c r="A35" s="97"/>
      <c r="B35" s="5"/>
      <c r="C35" s="5"/>
      <c r="D35" s="5"/>
      <c r="E35" s="97"/>
      <c r="F35" s="97"/>
      <c r="G35" s="97"/>
    </row>
    <row r="36" spans="1:7">
      <c r="A36" s="97"/>
      <c r="B36" s="5"/>
      <c r="C36" s="5"/>
      <c r="D36" s="5"/>
      <c r="E36" s="97"/>
      <c r="F36" s="97"/>
      <c r="G36" s="97"/>
    </row>
    <row r="37" spans="1:7">
      <c r="A37" s="97"/>
      <c r="B37" s="5"/>
      <c r="C37" s="5"/>
      <c r="D37" s="5"/>
      <c r="E37" s="97"/>
      <c r="F37" s="97"/>
      <c r="G37" s="97"/>
    </row>
    <row r="38" spans="1:7">
      <c r="A38" s="97"/>
      <c r="B38" s="5"/>
      <c r="C38" s="5"/>
      <c r="D38" s="5"/>
      <c r="E38" s="97"/>
      <c r="F38" s="97"/>
      <c r="G38" s="97"/>
    </row>
    <row r="39" spans="1:7">
      <c r="A39" s="97"/>
      <c r="B39" s="5"/>
      <c r="C39" s="5"/>
      <c r="D39" s="5"/>
      <c r="E39" s="97"/>
      <c r="F39" s="97"/>
      <c r="G39" s="97"/>
    </row>
    <row r="40" spans="1:7">
      <c r="A40" s="97"/>
      <c r="B40" s="5"/>
      <c r="C40" s="5"/>
      <c r="D40" s="5"/>
      <c r="E40" s="97"/>
      <c r="F40" s="97"/>
      <c r="G40" s="97"/>
    </row>
    <row r="41" spans="1:7">
      <c r="A41" s="97"/>
      <c r="B41" s="5"/>
      <c r="C41" s="5"/>
      <c r="D41" s="5"/>
      <c r="E41" s="97"/>
      <c r="F41" s="97"/>
      <c r="G41" s="97"/>
    </row>
    <row r="42" spans="1:7" ht="15">
      <c r="A42" s="97"/>
      <c r="B42" s="97"/>
      <c r="C42" s="94"/>
      <c r="D42" s="94"/>
      <c r="E42" s="97"/>
      <c r="F42" s="97"/>
      <c r="G42" s="97"/>
    </row>
    <row r="43" spans="1:7" ht="15">
      <c r="A43" s="97"/>
      <c r="B43" s="97"/>
      <c r="C43" s="94"/>
      <c r="D43" s="94"/>
      <c r="E43" s="97"/>
      <c r="F43" s="97"/>
      <c r="G43" s="97"/>
    </row>
    <row r="44" spans="1:7" ht="15">
      <c r="A44" s="97"/>
      <c r="B44" s="97"/>
      <c r="C44" s="94"/>
      <c r="D44" s="94"/>
      <c r="E44" s="97"/>
      <c r="F44" s="97"/>
      <c r="G44" s="97"/>
    </row>
    <row r="45" spans="1:7" ht="15">
      <c r="A45" s="97"/>
      <c r="B45" s="97"/>
      <c r="C45" s="94"/>
      <c r="D45" s="94"/>
      <c r="E45" s="97"/>
      <c r="F45" s="97"/>
      <c r="G45" s="97"/>
    </row>
    <row r="46" spans="1:7" ht="1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4" x14ac:dyDescent="0"/>
  <sheetData>
    <row r="1" spans="1:10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L3" sqref="L3:L14"/>
    </sheetView>
  </sheetViews>
  <sheetFormatPr baseColWidth="10" defaultRowHeight="14" x14ac:dyDescent="0"/>
  <cols>
    <col min="12" max="12" width="20.83203125" bestFit="1" customWidth="1"/>
    <col min="13" max="13" width="15.1640625" bestFit="1" customWidth="1"/>
  </cols>
  <sheetData>
    <row r="1" spans="1:13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" thickBot="1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>
      <c r="A3" s="33" t="s">
        <v>152</v>
      </c>
      <c r="B3" s="33"/>
      <c r="C3">
        <v>320</v>
      </c>
      <c r="D3">
        <v>318</v>
      </c>
      <c r="E3">
        <v>984</v>
      </c>
      <c r="F3" s="47">
        <f t="shared" ref="F3:F11" si="0">K3</f>
        <v>2261.4906832298138</v>
      </c>
      <c r="G3" s="48">
        <f t="shared" ref="G3:G11" si="1">(((C3+I3)*F3)/(E3-(C3+I3)))</f>
        <v>1089.8750280625609</v>
      </c>
      <c r="H3" s="49">
        <v>322</v>
      </c>
      <c r="I3" s="49"/>
      <c r="J3" s="49">
        <v>1100</v>
      </c>
      <c r="K3" s="50">
        <f t="shared" ref="K3:K11" si="2">((J3*E3)/(H3+I3))-J3</f>
        <v>2261.4906832298138</v>
      </c>
      <c r="L3" s="51">
        <v>43784.625</v>
      </c>
      <c r="M3" s="51">
        <v>43780.666666666664</v>
      </c>
    </row>
    <row r="4" spans="1:13">
      <c r="A4" s="33" t="s">
        <v>153</v>
      </c>
      <c r="B4" s="33"/>
      <c r="C4">
        <v>317</v>
      </c>
      <c r="D4">
        <v>318</v>
      </c>
      <c r="E4">
        <v>984</v>
      </c>
      <c r="F4" s="47">
        <f t="shared" si="0"/>
        <v>2261.4906832298138</v>
      </c>
      <c r="G4" s="48">
        <f t="shared" si="1"/>
        <v>1074.8014191661935</v>
      </c>
      <c r="H4" s="49">
        <v>322</v>
      </c>
      <c r="I4" s="49"/>
      <c r="J4" s="49">
        <v>1100</v>
      </c>
      <c r="K4" s="50">
        <f t="shared" si="2"/>
        <v>2261.4906832298138</v>
      </c>
      <c r="L4" s="51">
        <v>43784.625</v>
      </c>
      <c r="M4" s="51">
        <v>43780.666666666664</v>
      </c>
    </row>
    <row r="5" spans="1:13">
      <c r="A5" s="33" t="s">
        <v>154</v>
      </c>
      <c r="B5" s="33"/>
      <c r="C5">
        <v>320</v>
      </c>
      <c r="D5">
        <v>318</v>
      </c>
      <c r="E5">
        <v>984</v>
      </c>
      <c r="F5" s="47">
        <f t="shared" si="0"/>
        <v>2261.4906832298138</v>
      </c>
      <c r="G5" s="48">
        <f t="shared" si="1"/>
        <v>1089.8750280625609</v>
      </c>
      <c r="H5" s="49">
        <v>322</v>
      </c>
      <c r="I5" s="49"/>
      <c r="J5" s="49">
        <v>1100</v>
      </c>
      <c r="K5" s="50">
        <f t="shared" si="2"/>
        <v>2261.4906832298138</v>
      </c>
      <c r="L5" s="51">
        <v>43784.625</v>
      </c>
      <c r="M5" s="51">
        <v>43780.666666666664</v>
      </c>
    </row>
    <row r="6" spans="1:13">
      <c r="A6" s="33" t="s">
        <v>155</v>
      </c>
      <c r="B6" s="33"/>
      <c r="C6">
        <v>317</v>
      </c>
      <c r="D6">
        <v>320</v>
      </c>
      <c r="E6">
        <v>984</v>
      </c>
      <c r="F6" s="47">
        <f t="shared" si="0"/>
        <v>2261.4906832298138</v>
      </c>
      <c r="G6" s="48">
        <f t="shared" si="1"/>
        <v>1074.8014191661935</v>
      </c>
      <c r="H6" s="49">
        <v>322</v>
      </c>
      <c r="I6" s="49"/>
      <c r="J6" s="49">
        <v>1100</v>
      </c>
      <c r="K6" s="50">
        <f t="shared" si="2"/>
        <v>2261.4906832298138</v>
      </c>
      <c r="L6" s="51">
        <v>43784.625</v>
      </c>
      <c r="M6" s="51">
        <v>43780.666666666664</v>
      </c>
    </row>
    <row r="7" spans="1:13">
      <c r="A7" s="33" t="s">
        <v>156</v>
      </c>
      <c r="B7" s="33"/>
      <c r="C7">
        <v>320</v>
      </c>
      <c r="D7">
        <v>321</v>
      </c>
      <c r="E7">
        <v>984</v>
      </c>
      <c r="F7" s="47">
        <f t="shared" si="0"/>
        <v>2261.4906832298138</v>
      </c>
      <c r="G7" s="48">
        <f t="shared" si="1"/>
        <v>1089.8750280625609</v>
      </c>
      <c r="H7" s="49">
        <v>322</v>
      </c>
      <c r="I7" s="49"/>
      <c r="J7" s="49">
        <v>1100</v>
      </c>
      <c r="K7" s="50">
        <f t="shared" si="2"/>
        <v>2261.4906832298138</v>
      </c>
      <c r="L7" s="51">
        <v>43784.625</v>
      </c>
      <c r="M7" s="51">
        <v>43780.666666666664</v>
      </c>
    </row>
    <row r="8" spans="1:13">
      <c r="A8" s="33" t="s">
        <v>157</v>
      </c>
      <c r="B8" s="33"/>
      <c r="C8">
        <v>320</v>
      </c>
      <c r="D8">
        <v>318</v>
      </c>
      <c r="E8">
        <v>984</v>
      </c>
      <c r="F8" s="47">
        <f t="shared" si="0"/>
        <v>2261.4906832298138</v>
      </c>
      <c r="G8" s="48">
        <f t="shared" si="1"/>
        <v>1089.8750280625609</v>
      </c>
      <c r="H8" s="49">
        <v>322</v>
      </c>
      <c r="I8" s="49"/>
      <c r="J8" s="49">
        <v>1100</v>
      </c>
      <c r="K8" s="50">
        <f t="shared" si="2"/>
        <v>2261.4906832298138</v>
      </c>
      <c r="L8" s="51">
        <v>43784.625</v>
      </c>
      <c r="M8" s="51">
        <v>43780.666666666664</v>
      </c>
    </row>
    <row r="9" spans="1:13">
      <c r="A9" s="33" t="s">
        <v>158</v>
      </c>
      <c r="B9" s="46"/>
      <c r="C9">
        <v>318</v>
      </c>
      <c r="D9">
        <v>318</v>
      </c>
      <c r="E9">
        <v>984</v>
      </c>
      <c r="F9" s="47">
        <f t="shared" si="0"/>
        <v>2261.4906832298138</v>
      </c>
      <c r="G9" s="48">
        <f t="shared" si="1"/>
        <v>1079.8108667673887</v>
      </c>
      <c r="H9" s="49">
        <v>322</v>
      </c>
      <c r="I9" s="49"/>
      <c r="J9" s="49">
        <v>1100</v>
      </c>
      <c r="K9" s="50">
        <f t="shared" si="2"/>
        <v>2261.4906832298138</v>
      </c>
      <c r="L9" s="51">
        <v>43784.625</v>
      </c>
      <c r="M9" s="51">
        <v>43780.666666666664</v>
      </c>
    </row>
    <row r="10" spans="1:13">
      <c r="A10" s="33" t="s">
        <v>159</v>
      </c>
      <c r="B10" s="46"/>
      <c r="C10">
        <v>321</v>
      </c>
      <c r="D10">
        <v>319</v>
      </c>
      <c r="E10">
        <v>984</v>
      </c>
      <c r="F10" s="47">
        <f t="shared" si="0"/>
        <v>2261.4906832298138</v>
      </c>
      <c r="G10" s="48">
        <f t="shared" si="1"/>
        <v>1094.9298783058375</v>
      </c>
      <c r="H10" s="49">
        <v>322</v>
      </c>
      <c r="I10" s="49"/>
      <c r="J10" s="49">
        <v>1100</v>
      </c>
      <c r="K10" s="50">
        <f t="shared" si="2"/>
        <v>2261.4906832298138</v>
      </c>
      <c r="L10" s="51">
        <v>43784.625</v>
      </c>
      <c r="M10" s="51">
        <v>43780.666666666664</v>
      </c>
    </row>
    <row r="11" spans="1:13">
      <c r="A11" s="33" t="s">
        <v>160</v>
      </c>
      <c r="B11" s="46"/>
      <c r="C11">
        <v>320</v>
      </c>
      <c r="D11">
        <v>311</v>
      </c>
      <c r="E11">
        <v>984</v>
      </c>
      <c r="F11" s="47">
        <f t="shared" si="0"/>
        <v>2261.4906832298138</v>
      </c>
      <c r="G11" s="48">
        <f t="shared" si="1"/>
        <v>1089.8750280625609</v>
      </c>
      <c r="H11" s="49">
        <v>322</v>
      </c>
      <c r="I11" s="49"/>
      <c r="J11" s="49">
        <v>1100</v>
      </c>
      <c r="K11" s="50">
        <f t="shared" si="2"/>
        <v>2261.4906832298138</v>
      </c>
      <c r="L11" s="51">
        <v>43784.625</v>
      </c>
      <c r="M11" s="51">
        <v>43780.666666666664</v>
      </c>
    </row>
    <row r="12" spans="1:13">
      <c r="A12" s="33" t="s">
        <v>161</v>
      </c>
      <c r="C12">
        <v>317</v>
      </c>
      <c r="D12">
        <v>317</v>
      </c>
      <c r="E12">
        <v>984</v>
      </c>
      <c r="F12" s="47">
        <f t="shared" ref="F12:F14" si="3">K12</f>
        <v>2261.4906832298138</v>
      </c>
      <c r="G12" s="48">
        <f t="shared" ref="G12:G14" si="4">(((C12+I12)*F12)/(E12-(C12+I12)))</f>
        <v>1074.8014191661935</v>
      </c>
      <c r="H12" s="49">
        <v>322</v>
      </c>
      <c r="I12" s="49"/>
      <c r="J12" s="49">
        <v>1100</v>
      </c>
      <c r="K12" s="50">
        <f t="shared" ref="K12:K14" si="5">((J12*E12)/(H12+I12))-J12</f>
        <v>2261.4906832298138</v>
      </c>
      <c r="L12" s="51">
        <v>43784.625</v>
      </c>
      <c r="M12" s="51">
        <v>43780.666666666664</v>
      </c>
    </row>
    <row r="13" spans="1:13">
      <c r="A13" s="33" t="s">
        <v>162</v>
      </c>
      <c r="C13">
        <v>320</v>
      </c>
      <c r="D13">
        <v>316</v>
      </c>
      <c r="E13">
        <v>984</v>
      </c>
      <c r="F13" s="47">
        <f t="shared" si="3"/>
        <v>2261.4906832298138</v>
      </c>
      <c r="G13" s="48">
        <f t="shared" si="4"/>
        <v>1089.8750280625609</v>
      </c>
      <c r="H13" s="49">
        <v>322</v>
      </c>
      <c r="I13" s="49"/>
      <c r="J13" s="49">
        <v>1100</v>
      </c>
      <c r="K13" s="50">
        <f t="shared" si="5"/>
        <v>2261.4906832298138</v>
      </c>
      <c r="L13" s="51">
        <v>43784.625</v>
      </c>
      <c r="M13" s="51">
        <v>43780.666666666664</v>
      </c>
    </row>
    <row r="14" spans="1:13">
      <c r="A14" s="33" t="s">
        <v>163</v>
      </c>
      <c r="C14">
        <v>320</v>
      </c>
      <c r="D14">
        <v>319</v>
      </c>
      <c r="E14">
        <v>984</v>
      </c>
      <c r="F14" s="47">
        <f t="shared" si="3"/>
        <v>2261.4906832298138</v>
      </c>
      <c r="G14" s="48">
        <f t="shared" si="4"/>
        <v>1089.8750280625609</v>
      </c>
      <c r="H14" s="49">
        <v>322</v>
      </c>
      <c r="I14" s="49"/>
      <c r="J14" s="49">
        <v>1100</v>
      </c>
      <c r="K14" s="50">
        <f t="shared" si="5"/>
        <v>2261.4906832298138</v>
      </c>
      <c r="L14" s="51">
        <v>43784.625</v>
      </c>
      <c r="M14" s="51">
        <v>43780.666666666664</v>
      </c>
    </row>
    <row r="17" spans="1:1">
      <c r="A17" s="33"/>
    </row>
    <row r="18" spans="1:1">
      <c r="A18" s="33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27" spans="1:1">
      <c r="A27" s="33"/>
    </row>
    <row r="28" spans="1:1">
      <c r="A28" s="3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I31" sqref="I31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 ht="22">
      <c r="A1" s="122" t="s">
        <v>214</v>
      </c>
      <c r="B1" s="123" t="s">
        <v>215</v>
      </c>
      <c r="C1" s="123" t="s">
        <v>216</v>
      </c>
      <c r="D1" s="123" t="s">
        <v>217</v>
      </c>
      <c r="E1" s="124" t="s">
        <v>218</v>
      </c>
      <c r="F1" s="124" t="s">
        <v>219</v>
      </c>
      <c r="G1" s="124" t="s">
        <v>220</v>
      </c>
      <c r="H1" s="124" t="s">
        <v>221</v>
      </c>
      <c r="I1" s="125" t="s">
        <v>222</v>
      </c>
      <c r="J1" s="125" t="s">
        <v>223</v>
      </c>
      <c r="K1" s="126" t="s">
        <v>224</v>
      </c>
      <c r="L1" s="127" t="s">
        <v>225</v>
      </c>
      <c r="M1" s="127" t="s">
        <v>226</v>
      </c>
      <c r="N1" s="128" t="s">
        <v>227</v>
      </c>
    </row>
    <row r="2" spans="1:14">
      <c r="A2" s="129" t="s">
        <v>228</v>
      </c>
      <c r="B2" s="121"/>
      <c r="C2" s="121"/>
      <c r="D2" s="121"/>
      <c r="E2" s="121"/>
      <c r="F2" s="121"/>
      <c r="K2" s="121" t="s">
        <v>229</v>
      </c>
    </row>
    <row r="3" spans="1:14">
      <c r="A3" s="130" t="s">
        <v>230</v>
      </c>
      <c r="B3" s="131">
        <v>2996</v>
      </c>
      <c r="C3" s="131">
        <v>3562</v>
      </c>
      <c r="D3" s="131">
        <v>4258</v>
      </c>
      <c r="E3" s="131" t="s">
        <v>231</v>
      </c>
      <c r="F3" s="131">
        <v>50</v>
      </c>
      <c r="G3" s="130" t="s">
        <v>232</v>
      </c>
      <c r="H3" s="132" t="s">
        <v>6</v>
      </c>
      <c r="I3" s="133">
        <v>43789.193262731482</v>
      </c>
      <c r="J3" s="134" t="s">
        <v>233</v>
      </c>
      <c r="K3" s="135">
        <v>-24.014578115275253</v>
      </c>
      <c r="L3" s="135">
        <v>4.5163230405626109</v>
      </c>
      <c r="M3" s="136">
        <v>12972.82438242219</v>
      </c>
      <c r="N3" s="137"/>
    </row>
    <row r="4" spans="1:14">
      <c r="A4" s="130" t="s">
        <v>234</v>
      </c>
      <c r="B4" s="131">
        <v>2731</v>
      </c>
      <c r="C4" s="131">
        <v>3251</v>
      </c>
      <c r="D4" s="131">
        <v>3881</v>
      </c>
      <c r="E4" s="131" t="s">
        <v>231</v>
      </c>
      <c r="F4" s="131">
        <v>50</v>
      </c>
      <c r="G4" s="130" t="s">
        <v>232</v>
      </c>
      <c r="H4" s="132" t="s">
        <v>6</v>
      </c>
      <c r="I4" s="133">
        <v>43789.199664351851</v>
      </c>
      <c r="J4" s="134" t="s">
        <v>233</v>
      </c>
      <c r="K4" s="135">
        <v>-23.974948115301775</v>
      </c>
      <c r="L4" s="135">
        <v>4.5163230405626109</v>
      </c>
      <c r="M4" s="136">
        <v>12581.68934848157</v>
      </c>
      <c r="N4" s="138">
        <f>ABS(K3-K4)</f>
        <v>3.9629999973477936E-2</v>
      </c>
    </row>
    <row r="5" spans="1:14">
      <c r="A5" s="130" t="s">
        <v>235</v>
      </c>
      <c r="B5" s="131">
        <v>3356</v>
      </c>
      <c r="C5" s="131">
        <v>4013</v>
      </c>
      <c r="D5" s="131">
        <v>4772</v>
      </c>
      <c r="E5" s="131" t="s">
        <v>236</v>
      </c>
      <c r="F5" s="131">
        <v>50</v>
      </c>
      <c r="G5" s="130" t="s">
        <v>237</v>
      </c>
      <c r="H5" s="132" t="s">
        <v>6</v>
      </c>
      <c r="I5" s="133">
        <v>43789.206144675925</v>
      </c>
      <c r="J5" s="134" t="s">
        <v>233</v>
      </c>
      <c r="K5" s="135">
        <v>-24.730359659977442</v>
      </c>
      <c r="L5" s="135">
        <v>4.5163230405626109</v>
      </c>
      <c r="M5" s="136">
        <v>14505.054250722615</v>
      </c>
      <c r="N5" s="137"/>
    </row>
    <row r="6" spans="1:14">
      <c r="A6" s="130" t="s">
        <v>238</v>
      </c>
      <c r="B6" s="131">
        <v>3385</v>
      </c>
      <c r="C6" s="131">
        <v>4034</v>
      </c>
      <c r="D6" s="131">
        <v>4814</v>
      </c>
      <c r="E6" s="131" t="s">
        <v>236</v>
      </c>
      <c r="F6" s="131">
        <v>50</v>
      </c>
      <c r="G6" s="130" t="s">
        <v>237</v>
      </c>
      <c r="H6" s="132" t="s">
        <v>6</v>
      </c>
      <c r="I6" s="133">
        <v>43789.212410879627</v>
      </c>
      <c r="J6" s="134" t="s">
        <v>233</v>
      </c>
      <c r="K6" s="135">
        <v>-24.659617048749663</v>
      </c>
      <c r="L6" s="135">
        <v>4.5163230405626109</v>
      </c>
      <c r="M6" s="136">
        <v>14609.21957325863</v>
      </c>
      <c r="N6" s="138">
        <f>ABS(K5-K6)</f>
        <v>7.0742611227778696E-2</v>
      </c>
    </row>
    <row r="7" spans="1:14">
      <c r="A7" s="130" t="s">
        <v>239</v>
      </c>
      <c r="B7" s="131">
        <v>2435</v>
      </c>
      <c r="C7" s="131">
        <v>2890</v>
      </c>
      <c r="D7" s="131">
        <v>3463</v>
      </c>
      <c r="E7" s="131" t="s">
        <v>240</v>
      </c>
      <c r="F7" s="131">
        <v>50</v>
      </c>
      <c r="G7" s="130" t="s">
        <v>241</v>
      </c>
      <c r="H7" s="132" t="s">
        <v>6</v>
      </c>
      <c r="I7" s="133">
        <v>43789.224988425922</v>
      </c>
      <c r="J7" s="134" t="s">
        <v>233</v>
      </c>
      <c r="K7" s="135">
        <v>-23.602197862898365</v>
      </c>
      <c r="L7" s="135">
        <v>4.5163230405626109</v>
      </c>
      <c r="M7" s="136">
        <v>10555.071223155175</v>
      </c>
      <c r="N7" s="137"/>
    </row>
    <row r="8" spans="1:14">
      <c r="A8" s="130" t="s">
        <v>242</v>
      </c>
      <c r="B8" s="131">
        <v>2282</v>
      </c>
      <c r="C8" s="131">
        <v>2706</v>
      </c>
      <c r="D8" s="131">
        <v>3238</v>
      </c>
      <c r="E8" s="131" t="s">
        <v>240</v>
      </c>
      <c r="F8" s="131">
        <v>50</v>
      </c>
      <c r="G8" s="130" t="s">
        <v>241</v>
      </c>
      <c r="H8" s="132" t="s">
        <v>6</v>
      </c>
      <c r="I8" s="133">
        <v>43789.2313125</v>
      </c>
      <c r="J8" s="134" t="s">
        <v>233</v>
      </c>
      <c r="K8" s="135">
        <v>-23.725497815126538</v>
      </c>
      <c r="L8" s="135">
        <v>4.5163230405626109</v>
      </c>
      <c r="M8" s="136">
        <v>10285.21961932705</v>
      </c>
      <c r="N8" s="138">
        <f>ABS(K7-K8)</f>
        <v>0.12329995222817303</v>
      </c>
    </row>
    <row r="9" spans="1:14">
      <c r="A9" s="130" t="s">
        <v>243</v>
      </c>
      <c r="B9" s="131">
        <v>2751</v>
      </c>
      <c r="C9" s="131">
        <v>3283</v>
      </c>
      <c r="D9" s="131">
        <v>3911</v>
      </c>
      <c r="E9" s="131" t="s">
        <v>244</v>
      </c>
      <c r="F9" s="131">
        <v>50</v>
      </c>
      <c r="G9" s="130" t="s">
        <v>245</v>
      </c>
      <c r="H9" s="132" t="s">
        <v>6</v>
      </c>
      <c r="I9" s="133">
        <v>43789.237886574076</v>
      </c>
      <c r="J9" s="134" t="s">
        <v>233</v>
      </c>
      <c r="K9" s="135">
        <v>-24.277994227223086</v>
      </c>
      <c r="L9" s="135">
        <v>4.5163230405626109</v>
      </c>
      <c r="M9" s="136">
        <v>11869.961193518382</v>
      </c>
      <c r="N9" s="137"/>
    </row>
    <row r="10" spans="1:14">
      <c r="A10" s="130" t="s">
        <v>246</v>
      </c>
      <c r="B10" s="131">
        <v>2764</v>
      </c>
      <c r="C10" s="131">
        <v>3293</v>
      </c>
      <c r="D10" s="131">
        <v>3930</v>
      </c>
      <c r="E10" s="131" t="s">
        <v>244</v>
      </c>
      <c r="F10" s="131">
        <v>50</v>
      </c>
      <c r="G10" s="130" t="s">
        <v>245</v>
      </c>
      <c r="H10" s="132" t="s">
        <v>6</v>
      </c>
      <c r="I10" s="133">
        <v>43789.244144675926</v>
      </c>
      <c r="J10" s="134" t="s">
        <v>233</v>
      </c>
      <c r="K10" s="135">
        <v>-24.361240083545969</v>
      </c>
      <c r="L10" s="135">
        <v>4.5163230405626109</v>
      </c>
      <c r="M10" s="136">
        <v>11906.393007498524</v>
      </c>
      <c r="N10" s="138">
        <f>ABS(K9-K10)</f>
        <v>8.3245856322882616E-2</v>
      </c>
    </row>
    <row r="11" spans="1:14">
      <c r="A11" s="130" t="s">
        <v>247</v>
      </c>
      <c r="B11" s="131">
        <v>1836</v>
      </c>
      <c r="C11" s="131">
        <v>2170</v>
      </c>
      <c r="D11" s="131">
        <v>2606</v>
      </c>
      <c r="E11" s="131" t="s">
        <v>248</v>
      </c>
      <c r="F11" s="131">
        <v>50</v>
      </c>
      <c r="G11" s="130" t="s">
        <v>249</v>
      </c>
      <c r="H11" s="132" t="s">
        <v>6</v>
      </c>
      <c r="I11" s="133">
        <v>43789.263070601854</v>
      </c>
      <c r="J11" s="134" t="s">
        <v>233</v>
      </c>
      <c r="K11" s="135">
        <v>-25.214086254617772</v>
      </c>
      <c r="L11" s="135">
        <v>4.5163230405626109</v>
      </c>
      <c r="M11" s="136">
        <v>8028.2115150811533</v>
      </c>
      <c r="N11" s="137"/>
    </row>
    <row r="12" spans="1:14">
      <c r="A12" s="130" t="s">
        <v>250</v>
      </c>
      <c r="B12" s="131">
        <v>1836</v>
      </c>
      <c r="C12" s="131">
        <v>2176</v>
      </c>
      <c r="D12" s="131">
        <v>2604</v>
      </c>
      <c r="E12" s="131" t="s">
        <v>248</v>
      </c>
      <c r="F12" s="131">
        <v>50</v>
      </c>
      <c r="G12" s="130" t="s">
        <v>249</v>
      </c>
      <c r="H12" s="132" t="s">
        <v>6</v>
      </c>
      <c r="I12" s="133">
        <v>43789.269717592593</v>
      </c>
      <c r="J12" s="134" t="s">
        <v>233</v>
      </c>
      <c r="K12" s="135">
        <v>-25.431654123693189</v>
      </c>
      <c r="L12" s="135">
        <v>4.5163230405626109</v>
      </c>
      <c r="M12" s="136">
        <v>7975.811489484031</v>
      </c>
      <c r="N12" s="138">
        <f>ABS(K11-K12)</f>
        <v>0.21756786907541681</v>
      </c>
    </row>
    <row r="13" spans="1:14">
      <c r="A13" s="130" t="s">
        <v>251</v>
      </c>
      <c r="B13" s="131">
        <v>1866</v>
      </c>
      <c r="C13" s="131">
        <v>2215</v>
      </c>
      <c r="D13" s="131">
        <v>2657</v>
      </c>
      <c r="E13" s="131" t="s">
        <v>252</v>
      </c>
      <c r="F13" s="131">
        <v>50</v>
      </c>
      <c r="G13" s="130" t="s">
        <v>253</v>
      </c>
      <c r="H13" s="132" t="s">
        <v>6</v>
      </c>
      <c r="I13" s="133">
        <v>43789.275990740738</v>
      </c>
      <c r="J13" s="134" t="s">
        <v>233</v>
      </c>
      <c r="K13" s="135">
        <v>-25.500913029070905</v>
      </c>
      <c r="L13" s="135">
        <v>4.5163230405626109</v>
      </c>
      <c r="M13" s="136">
        <v>8010.7318964631704</v>
      </c>
      <c r="N13" s="137"/>
    </row>
    <row r="14" spans="1:14">
      <c r="A14" s="130" t="s">
        <v>254</v>
      </c>
      <c r="B14" s="131">
        <v>1881</v>
      </c>
      <c r="C14" s="131">
        <v>2235</v>
      </c>
      <c r="D14" s="131">
        <v>2686</v>
      </c>
      <c r="E14" s="131" t="s">
        <v>252</v>
      </c>
      <c r="F14" s="131">
        <v>50</v>
      </c>
      <c r="G14" s="130" t="s">
        <v>253</v>
      </c>
      <c r="H14" s="132" t="s">
        <v>6</v>
      </c>
      <c r="I14" s="133">
        <v>43789.28224537037</v>
      </c>
      <c r="J14" s="134" t="s">
        <v>233</v>
      </c>
      <c r="K14" s="135">
        <v>-25.302164649474026</v>
      </c>
      <c r="L14" s="135">
        <v>4.5163230405626109</v>
      </c>
      <c r="M14" s="136">
        <v>8103.7734186591042</v>
      </c>
      <c r="N14" s="138">
        <f>ABS(K13-K14)</f>
        <v>0.19874837959687852</v>
      </c>
    </row>
    <row r="15" spans="1:14">
      <c r="A15" s="130" t="s">
        <v>255</v>
      </c>
      <c r="B15" s="131">
        <v>4276</v>
      </c>
      <c r="C15" s="131">
        <v>5082</v>
      </c>
      <c r="D15" s="131">
        <v>6081</v>
      </c>
      <c r="E15" s="131" t="s">
        <v>256</v>
      </c>
      <c r="F15" s="131">
        <v>50</v>
      </c>
      <c r="G15" s="130" t="s">
        <v>257</v>
      </c>
      <c r="H15" s="132" t="s">
        <v>6</v>
      </c>
      <c r="I15" s="133">
        <v>43789.29483796296</v>
      </c>
      <c r="J15" s="134" t="s">
        <v>233</v>
      </c>
      <c r="K15" s="135">
        <v>-28.346631879996927</v>
      </c>
      <c r="L15" s="135">
        <v>4.5163230405626109</v>
      </c>
      <c r="M15" s="136">
        <v>18770.473281369617</v>
      </c>
      <c r="N15" s="137"/>
    </row>
    <row r="16" spans="1:14">
      <c r="A16" s="130" t="s">
        <v>258</v>
      </c>
      <c r="B16" s="131">
        <v>4137</v>
      </c>
      <c r="C16" s="131">
        <v>4915</v>
      </c>
      <c r="D16" s="131">
        <v>5887</v>
      </c>
      <c r="E16" s="131" t="s">
        <v>256</v>
      </c>
      <c r="F16" s="131">
        <v>50</v>
      </c>
      <c r="G16" s="130" t="s">
        <v>257</v>
      </c>
      <c r="H16" s="132" t="s">
        <v>6</v>
      </c>
      <c r="I16" s="133">
        <v>43789.30116087963</v>
      </c>
      <c r="J16" s="134" t="s">
        <v>233</v>
      </c>
      <c r="K16" s="135">
        <v>-27.969946244566025</v>
      </c>
      <c r="L16" s="135">
        <v>4.5163230405626109</v>
      </c>
      <c r="M16" s="136">
        <v>18416.210472864819</v>
      </c>
      <c r="N16" s="139">
        <f>ABS(K15-K16)</f>
        <v>0.37668563543090272</v>
      </c>
    </row>
    <row r="17" spans="1:14">
      <c r="A17" s="130" t="s">
        <v>259</v>
      </c>
      <c r="B17" s="131">
        <v>3651</v>
      </c>
      <c r="C17" s="131">
        <v>4359</v>
      </c>
      <c r="D17" s="131">
        <v>5189</v>
      </c>
      <c r="E17" s="131" t="s">
        <v>260</v>
      </c>
      <c r="F17" s="131">
        <v>50</v>
      </c>
      <c r="G17" s="130" t="s">
        <v>261</v>
      </c>
      <c r="H17" s="132" t="s">
        <v>6</v>
      </c>
      <c r="I17" s="133">
        <v>43789.307734953705</v>
      </c>
      <c r="J17" s="134" t="s">
        <v>233</v>
      </c>
      <c r="K17" s="135">
        <v>-27.737466807931892</v>
      </c>
      <c r="L17" s="135">
        <v>4.5163230405626109</v>
      </c>
      <c r="M17" s="136">
        <v>16071.552394347609</v>
      </c>
      <c r="N17" s="137"/>
    </row>
    <row r="18" spans="1:14">
      <c r="A18" s="130" t="s">
        <v>262</v>
      </c>
      <c r="B18" s="131">
        <v>3736</v>
      </c>
      <c r="C18" s="131">
        <v>4456</v>
      </c>
      <c r="D18" s="131">
        <v>5312</v>
      </c>
      <c r="E18" s="131" t="s">
        <v>260</v>
      </c>
      <c r="F18" s="131">
        <v>50</v>
      </c>
      <c r="G18" s="130" t="s">
        <v>261</v>
      </c>
      <c r="H18" s="132" t="s">
        <v>6</v>
      </c>
      <c r="I18" s="133">
        <v>43789.314012731484</v>
      </c>
      <c r="J18" s="134" t="s">
        <v>233</v>
      </c>
      <c r="K18" s="135">
        <v>-27.602735872137277</v>
      </c>
      <c r="L18" s="135">
        <v>4.5163230405626109</v>
      </c>
      <c r="M18" s="136">
        <v>16301.579582719563</v>
      </c>
      <c r="N18" s="138">
        <f>ABS(K17-K18)</f>
        <v>0.13473093579461448</v>
      </c>
    </row>
    <row r="19" spans="1:14">
      <c r="A19" s="130" t="s">
        <v>263</v>
      </c>
      <c r="B19" s="131">
        <v>4500</v>
      </c>
      <c r="C19" s="131">
        <v>5360</v>
      </c>
      <c r="D19" s="131">
        <v>6391</v>
      </c>
      <c r="E19" s="131" t="s">
        <v>264</v>
      </c>
      <c r="F19" s="131">
        <v>50</v>
      </c>
      <c r="G19" s="130" t="s">
        <v>265</v>
      </c>
      <c r="H19" s="132" t="s">
        <v>6</v>
      </c>
      <c r="I19" s="133">
        <v>43789.332974537036</v>
      </c>
      <c r="J19" s="134" t="s">
        <v>233</v>
      </c>
      <c r="K19" s="135">
        <v>-27.103653728648819</v>
      </c>
      <c r="L19" s="135">
        <v>4.5163230405626109</v>
      </c>
      <c r="M19" s="136">
        <v>20365.103673135858</v>
      </c>
      <c r="N19" s="137"/>
    </row>
    <row r="20" spans="1:14">
      <c r="A20" s="130" t="s">
        <v>266</v>
      </c>
      <c r="B20" s="131">
        <v>4647</v>
      </c>
      <c r="C20" s="131">
        <v>5587</v>
      </c>
      <c r="D20" s="131">
        <v>6609</v>
      </c>
      <c r="E20" s="131" t="s">
        <v>264</v>
      </c>
      <c r="F20" s="131">
        <v>50</v>
      </c>
      <c r="G20" s="130" t="s">
        <v>265</v>
      </c>
      <c r="H20" s="132" t="s">
        <v>6</v>
      </c>
      <c r="I20" s="133">
        <v>43789.339537037034</v>
      </c>
      <c r="J20" s="134" t="s">
        <v>233</v>
      </c>
      <c r="K20" s="135">
        <v>-26.916163201142222</v>
      </c>
      <c r="L20" s="135">
        <v>4.5163230405626109</v>
      </c>
      <c r="M20" s="136">
        <v>20488.573826246811</v>
      </c>
      <c r="N20" s="138">
        <f>ABS(K19-K20)</f>
        <v>0.187490527506597</v>
      </c>
    </row>
    <row r="21" spans="1:14">
      <c r="A21" s="130" t="s">
        <v>267</v>
      </c>
      <c r="B21" s="131">
        <v>4924</v>
      </c>
      <c r="C21" s="131">
        <v>5899</v>
      </c>
      <c r="D21" s="131">
        <v>6989</v>
      </c>
      <c r="E21" s="131" t="s">
        <v>268</v>
      </c>
      <c r="F21" s="131">
        <v>50</v>
      </c>
      <c r="G21" s="130" t="s">
        <v>269</v>
      </c>
      <c r="H21" s="132" t="s">
        <v>6</v>
      </c>
      <c r="I21" s="133">
        <v>43789.345797453701</v>
      </c>
      <c r="J21" s="134" t="s">
        <v>233</v>
      </c>
      <c r="K21" s="135">
        <v>-27.336400630619643</v>
      </c>
      <c r="L21" s="135">
        <v>4.5163230405626109</v>
      </c>
      <c r="M21" s="136">
        <v>21563.714440410175</v>
      </c>
      <c r="N21" s="137"/>
    </row>
    <row r="22" spans="1:14">
      <c r="A22" s="130" t="s">
        <v>270</v>
      </c>
      <c r="B22" s="131">
        <v>4934</v>
      </c>
      <c r="C22" s="131">
        <v>5901</v>
      </c>
      <c r="D22" s="131">
        <v>7014</v>
      </c>
      <c r="E22" s="131" t="s">
        <v>268</v>
      </c>
      <c r="F22" s="131">
        <v>50</v>
      </c>
      <c r="G22" s="130" t="s">
        <v>269</v>
      </c>
      <c r="H22" s="132" t="s">
        <v>6</v>
      </c>
      <c r="I22" s="133">
        <v>43789.352074074071</v>
      </c>
      <c r="J22" s="134" t="s">
        <v>233</v>
      </c>
      <c r="K22" s="135">
        <v>-27.403662509456545</v>
      </c>
      <c r="L22" s="135">
        <v>4.5163230405626109</v>
      </c>
      <c r="M22" s="136">
        <v>21629.974140922932</v>
      </c>
      <c r="N22" s="138">
        <f>ABS(K21-K22)</f>
        <v>6.7261878836902156E-2</v>
      </c>
    </row>
    <row r="23" spans="1:14">
      <c r="A23" s="130" t="s">
        <v>271</v>
      </c>
      <c r="B23" s="131">
        <v>4068</v>
      </c>
      <c r="C23" s="131">
        <v>4833</v>
      </c>
      <c r="D23" s="131">
        <v>5779</v>
      </c>
      <c r="E23" s="131" t="s">
        <v>272</v>
      </c>
      <c r="F23" s="131">
        <v>50</v>
      </c>
      <c r="G23" s="130" t="s">
        <v>273</v>
      </c>
      <c r="H23" s="132" t="s">
        <v>6</v>
      </c>
      <c r="I23" s="133">
        <v>43789.364703703701</v>
      </c>
      <c r="J23" s="134" t="s">
        <v>233</v>
      </c>
      <c r="K23" s="135">
        <v>-27.033265866241983</v>
      </c>
      <c r="L23" s="135">
        <v>4.5163230405626109</v>
      </c>
      <c r="M23" s="136">
        <v>17788.639090984565</v>
      </c>
      <c r="N23" s="137"/>
    </row>
    <row r="24" spans="1:14">
      <c r="A24" s="130" t="s">
        <v>274</v>
      </c>
      <c r="B24" s="131">
        <v>3891</v>
      </c>
      <c r="C24" s="131">
        <v>4653</v>
      </c>
      <c r="D24" s="131">
        <v>5530</v>
      </c>
      <c r="E24" s="131" t="s">
        <v>272</v>
      </c>
      <c r="F24" s="131">
        <v>50</v>
      </c>
      <c r="G24" s="130" t="s">
        <v>273</v>
      </c>
      <c r="H24" s="132" t="s">
        <v>6</v>
      </c>
      <c r="I24" s="133">
        <v>43789.371281250002</v>
      </c>
      <c r="J24" s="134" t="s">
        <v>233</v>
      </c>
      <c r="K24" s="135">
        <v>-27.503767713067038</v>
      </c>
      <c r="L24" s="135">
        <v>4.5163230405626109</v>
      </c>
      <c r="M24" s="136">
        <v>17291.416646645106</v>
      </c>
      <c r="N24" s="139">
        <f>ABS(K23-K24)</f>
        <v>0.47050184682505503</v>
      </c>
    </row>
    <row r="25" spans="1:14">
      <c r="A25" s="130" t="s">
        <v>275</v>
      </c>
      <c r="B25" s="131">
        <v>4022</v>
      </c>
      <c r="C25" s="131">
        <v>4807</v>
      </c>
      <c r="D25" s="131">
        <v>5721</v>
      </c>
      <c r="E25" s="131" t="s">
        <v>276</v>
      </c>
      <c r="F25" s="131">
        <v>50</v>
      </c>
      <c r="G25" s="130" t="s">
        <v>277</v>
      </c>
      <c r="H25" s="132" t="s">
        <v>6</v>
      </c>
      <c r="I25" s="133">
        <v>43789.377587962961</v>
      </c>
      <c r="J25" s="134" t="s">
        <v>233</v>
      </c>
      <c r="K25" s="135">
        <v>-27.636052828780013</v>
      </c>
      <c r="L25" s="135">
        <v>4.5163230405626109</v>
      </c>
      <c r="M25" s="136">
        <v>17424.911643745829</v>
      </c>
      <c r="N25" s="137"/>
    </row>
    <row r="26" spans="1:14">
      <c r="A26" s="130" t="s">
        <v>278</v>
      </c>
      <c r="B26" s="131">
        <v>4010</v>
      </c>
      <c r="C26" s="131">
        <v>4779</v>
      </c>
      <c r="D26" s="131">
        <v>5700</v>
      </c>
      <c r="E26" s="131" t="s">
        <v>276</v>
      </c>
      <c r="F26" s="131">
        <v>50</v>
      </c>
      <c r="G26" s="130" t="s">
        <v>277</v>
      </c>
      <c r="H26" s="132" t="s">
        <v>6</v>
      </c>
      <c r="I26" s="133">
        <v>43789.383857638888</v>
      </c>
      <c r="J26" s="134" t="s">
        <v>233</v>
      </c>
      <c r="K26" s="135">
        <v>-27.510314821599664</v>
      </c>
      <c r="L26" s="135">
        <v>4.5163230405626109</v>
      </c>
      <c r="M26" s="136">
        <v>17427.987303162008</v>
      </c>
      <c r="N26" s="138">
        <f>ABS(K25-K26)</f>
        <v>0.12573800718034889</v>
      </c>
    </row>
    <row r="27" spans="1:14">
      <c r="A27" s="130" t="s">
        <v>279</v>
      </c>
      <c r="B27" s="131">
        <v>1950</v>
      </c>
      <c r="C27" s="131">
        <v>2269</v>
      </c>
      <c r="D27" s="131">
        <v>2697</v>
      </c>
      <c r="E27" s="131" t="s">
        <v>280</v>
      </c>
      <c r="F27" s="131">
        <v>200</v>
      </c>
      <c r="G27" s="130" t="s">
        <v>281</v>
      </c>
      <c r="H27" s="132" t="s">
        <v>6</v>
      </c>
      <c r="I27" s="133">
        <v>43789.403140046292</v>
      </c>
      <c r="J27" s="134" t="s">
        <v>233</v>
      </c>
      <c r="K27" s="135">
        <v>-38.760653647605245</v>
      </c>
      <c r="L27" s="135">
        <v>1</v>
      </c>
      <c r="M27" s="136">
        <v>2880.5718125815124</v>
      </c>
      <c r="N27" s="137"/>
    </row>
    <row r="28" spans="1:14">
      <c r="A28" s="130" t="s">
        <v>282</v>
      </c>
      <c r="B28" s="131">
        <v>2078</v>
      </c>
      <c r="C28" s="131">
        <v>2420</v>
      </c>
      <c r="D28" s="131">
        <v>2877</v>
      </c>
      <c r="E28" s="131" t="s">
        <v>280</v>
      </c>
      <c r="F28" s="131">
        <v>200</v>
      </c>
      <c r="G28" s="130" t="s">
        <v>281</v>
      </c>
      <c r="H28" s="132" t="s">
        <v>6</v>
      </c>
      <c r="I28" s="133">
        <v>43789.409517361106</v>
      </c>
      <c r="J28" s="134" t="s">
        <v>233</v>
      </c>
      <c r="K28" s="135">
        <v>-38.905997572468749</v>
      </c>
      <c r="L28" s="135">
        <v>1</v>
      </c>
      <c r="M28" s="136">
        <v>2924.7964449818978</v>
      </c>
      <c r="N28" s="138">
        <f>ABS(K27-K28)</f>
        <v>0.14534392486350356</v>
      </c>
    </row>
    <row r="29" spans="1:14">
      <c r="A29" s="129" t="s">
        <v>228</v>
      </c>
      <c r="B29" s="121"/>
      <c r="C29" s="121"/>
      <c r="D29" s="121"/>
      <c r="K29" s="121" t="s">
        <v>229</v>
      </c>
    </row>
    <row r="30" spans="1:14">
      <c r="A30" s="130" t="s">
        <v>283</v>
      </c>
      <c r="B30" s="131">
        <v>3212</v>
      </c>
      <c r="C30" s="131">
        <v>3824</v>
      </c>
      <c r="D30" s="131">
        <v>4561</v>
      </c>
      <c r="E30" s="131" t="s">
        <v>284</v>
      </c>
      <c r="F30" s="131">
        <v>100</v>
      </c>
      <c r="G30" s="130" t="s">
        <v>285</v>
      </c>
      <c r="H30" s="132" t="s">
        <v>6</v>
      </c>
      <c r="I30" s="133">
        <v>43795.645496527781</v>
      </c>
      <c r="J30" s="134" t="s">
        <v>233</v>
      </c>
      <c r="K30" s="135">
        <v>-23.780691531896952</v>
      </c>
      <c r="L30" s="135">
        <v>2.0792353352264179</v>
      </c>
      <c r="M30" s="136">
        <v>7438.8188555930064</v>
      </c>
      <c r="N30" s="137"/>
    </row>
    <row r="31" spans="1:14">
      <c r="A31" s="130" t="s">
        <v>286</v>
      </c>
      <c r="B31" s="131">
        <v>3242</v>
      </c>
      <c r="C31" s="131">
        <v>3859</v>
      </c>
      <c r="D31" s="131">
        <v>4608</v>
      </c>
      <c r="E31" s="131" t="s">
        <v>284</v>
      </c>
      <c r="F31" s="131">
        <v>100</v>
      </c>
      <c r="G31" s="130" t="s">
        <v>285</v>
      </c>
      <c r="H31" s="132" t="s">
        <v>6</v>
      </c>
      <c r="I31" s="133">
        <v>43795.651756944448</v>
      </c>
      <c r="J31" s="134" t="s">
        <v>233</v>
      </c>
      <c r="K31" s="135">
        <v>-23.79135342985483</v>
      </c>
      <c r="L31" s="135">
        <v>2.0792353352264179</v>
      </c>
      <c r="M31" s="136">
        <v>7480.6912379237019</v>
      </c>
      <c r="N31" s="138">
        <f>ABS(K30-K31)</f>
        <v>1.0661897957877642E-2</v>
      </c>
    </row>
    <row r="32" spans="1:14">
      <c r="A32" s="130" t="s">
        <v>287</v>
      </c>
      <c r="B32" s="131">
        <v>3841</v>
      </c>
      <c r="C32" s="131">
        <v>4560</v>
      </c>
      <c r="D32" s="131">
        <v>5452</v>
      </c>
      <c r="E32" s="131" t="s">
        <v>288</v>
      </c>
      <c r="F32" s="131">
        <v>100</v>
      </c>
      <c r="G32" s="130" t="s">
        <v>289</v>
      </c>
      <c r="H32" s="132" t="s">
        <v>6</v>
      </c>
      <c r="I32" s="133">
        <v>43795.658019675924</v>
      </c>
      <c r="J32" s="134" t="s">
        <v>233</v>
      </c>
      <c r="K32" s="135">
        <v>-24.673979197848734</v>
      </c>
      <c r="L32" s="135">
        <v>2.0792353352264179</v>
      </c>
      <c r="M32" s="136">
        <v>8921.094770053156</v>
      </c>
      <c r="N32" s="137"/>
    </row>
    <row r="33" spans="1:14">
      <c r="A33" s="130" t="s">
        <v>290</v>
      </c>
      <c r="B33" s="131">
        <v>3843</v>
      </c>
      <c r="C33" s="131">
        <v>4563</v>
      </c>
      <c r="D33" s="131">
        <v>5464</v>
      </c>
      <c r="E33" s="131" t="s">
        <v>288</v>
      </c>
      <c r="F33" s="131">
        <v>100</v>
      </c>
      <c r="G33" s="130" t="s">
        <v>289</v>
      </c>
      <c r="H33" s="132" t="s">
        <v>6</v>
      </c>
      <c r="I33" s="133">
        <v>43795.664293981477</v>
      </c>
      <c r="J33" s="134" t="s">
        <v>233</v>
      </c>
      <c r="K33" s="135">
        <v>-24.733642718833831</v>
      </c>
      <c r="L33" s="135">
        <v>2.0792353352264179</v>
      </c>
      <c r="M33" s="136">
        <v>8955.0419147897628</v>
      </c>
      <c r="N33" s="138">
        <f>ABS(K32-K33)</f>
        <v>5.9663520985097307E-2</v>
      </c>
    </row>
    <row r="34" spans="1:14">
      <c r="A34" s="130" t="s">
        <v>291</v>
      </c>
      <c r="B34" s="131">
        <v>3571</v>
      </c>
      <c r="C34" s="131">
        <v>4257</v>
      </c>
      <c r="D34" s="131">
        <v>5069</v>
      </c>
      <c r="E34" s="131" t="s">
        <v>292</v>
      </c>
      <c r="F34" s="131">
        <v>100</v>
      </c>
      <c r="G34" s="130" t="s">
        <v>293</v>
      </c>
      <c r="H34" s="132" t="s">
        <v>6</v>
      </c>
      <c r="I34" s="133">
        <v>43795.677266203704</v>
      </c>
      <c r="J34" s="134" t="s">
        <v>233</v>
      </c>
      <c r="K34" s="135">
        <v>-23.655132720476502</v>
      </c>
      <c r="L34" s="135">
        <v>2.0792353352264179</v>
      </c>
      <c r="M34" s="136">
        <v>8390.1607892380089</v>
      </c>
      <c r="N34" s="137"/>
    </row>
    <row r="35" spans="1:14">
      <c r="A35" s="130" t="s">
        <v>294</v>
      </c>
      <c r="B35" s="131">
        <v>3649</v>
      </c>
      <c r="C35" s="131">
        <v>4348</v>
      </c>
      <c r="D35" s="131">
        <v>5186</v>
      </c>
      <c r="E35" s="131" t="s">
        <v>292</v>
      </c>
      <c r="F35" s="131">
        <v>100</v>
      </c>
      <c r="G35" s="130" t="s">
        <v>293</v>
      </c>
      <c r="H35" s="132" t="s">
        <v>6</v>
      </c>
      <c r="I35" s="133">
        <v>43795.683545138891</v>
      </c>
      <c r="J35" s="134" t="s">
        <v>233</v>
      </c>
      <c r="K35" s="135">
        <v>-23.695798271357351</v>
      </c>
      <c r="L35" s="135">
        <v>2.0792353352264179</v>
      </c>
      <c r="M35" s="136">
        <v>8435.1537368353383</v>
      </c>
      <c r="N35" s="138">
        <f>ABS(K34-K35)</f>
        <v>4.0665550880849111E-2</v>
      </c>
    </row>
    <row r="36" spans="1:14">
      <c r="A36" s="130" t="s">
        <v>295</v>
      </c>
      <c r="B36" s="131">
        <v>4416</v>
      </c>
      <c r="C36" s="131">
        <v>5259</v>
      </c>
      <c r="D36" s="131">
        <v>6270</v>
      </c>
      <c r="E36" s="131" t="s">
        <v>296</v>
      </c>
      <c r="F36" s="131">
        <v>100</v>
      </c>
      <c r="G36" s="130" t="s">
        <v>297</v>
      </c>
      <c r="H36" s="132" t="s">
        <v>6</v>
      </c>
      <c r="I36" s="133">
        <v>43795.689793981481</v>
      </c>
      <c r="J36" s="134" t="s">
        <v>233</v>
      </c>
      <c r="K36" s="135">
        <v>-24.256433920081175</v>
      </c>
      <c r="L36" s="135">
        <v>2.0792353352264179</v>
      </c>
      <c r="M36" s="136">
        <v>10282.582611504284</v>
      </c>
      <c r="N36" s="137"/>
    </row>
    <row r="37" spans="1:14">
      <c r="A37" s="130" t="s">
        <v>298</v>
      </c>
      <c r="B37" s="131">
        <v>4417</v>
      </c>
      <c r="C37" s="131">
        <v>5254</v>
      </c>
      <c r="D37" s="131">
        <v>6269</v>
      </c>
      <c r="E37" s="131" t="s">
        <v>296</v>
      </c>
      <c r="F37" s="131">
        <v>100</v>
      </c>
      <c r="G37" s="130" t="s">
        <v>297</v>
      </c>
      <c r="H37" s="132" t="s">
        <v>6</v>
      </c>
      <c r="I37" s="133">
        <v>43795.696068287034</v>
      </c>
      <c r="J37" s="134" t="s">
        <v>233</v>
      </c>
      <c r="K37" s="135">
        <v>-24.160104014640737</v>
      </c>
      <c r="L37" s="135">
        <v>2.0792353352264179</v>
      </c>
      <c r="M37" s="136">
        <v>10312.447504866599</v>
      </c>
      <c r="N37" s="138">
        <f>ABS(K36-K37)</f>
        <v>9.6329905440438068E-2</v>
      </c>
    </row>
    <row r="38" spans="1:14">
      <c r="A38" s="130" t="s">
        <v>299</v>
      </c>
      <c r="B38" s="131">
        <v>2809</v>
      </c>
      <c r="C38" s="131">
        <v>3332</v>
      </c>
      <c r="D38" s="131">
        <v>3986</v>
      </c>
      <c r="E38" s="131" t="s">
        <v>300</v>
      </c>
      <c r="F38" s="131">
        <v>100</v>
      </c>
      <c r="G38" s="130" t="s">
        <v>301</v>
      </c>
      <c r="H38" s="132" t="s">
        <v>6</v>
      </c>
      <c r="I38" s="133">
        <v>43795.715385416668</v>
      </c>
      <c r="J38" s="134" t="s">
        <v>233</v>
      </c>
      <c r="K38" s="135">
        <v>-25.692168788802419</v>
      </c>
      <c r="L38" s="135">
        <v>2.0792353352264179</v>
      </c>
      <c r="M38" s="136">
        <v>6492.4151698730557</v>
      </c>
      <c r="N38" s="137"/>
    </row>
    <row r="39" spans="1:14">
      <c r="A39" s="130" t="s">
        <v>302</v>
      </c>
      <c r="B39" s="131">
        <v>2835</v>
      </c>
      <c r="C39" s="131">
        <v>3358</v>
      </c>
      <c r="D39" s="131">
        <v>4024</v>
      </c>
      <c r="E39" s="131" t="s">
        <v>300</v>
      </c>
      <c r="F39" s="131">
        <v>100</v>
      </c>
      <c r="G39" s="130" t="s">
        <v>301</v>
      </c>
      <c r="H39" s="132" t="s">
        <v>6</v>
      </c>
      <c r="I39" s="133">
        <v>43795.72163310185</v>
      </c>
      <c r="J39" s="134" t="s">
        <v>233</v>
      </c>
      <c r="K39" s="135">
        <v>-25.728826210676623</v>
      </c>
      <c r="L39" s="135">
        <v>2.0792353352264179</v>
      </c>
      <c r="M39" s="136">
        <v>6556.6206635512244</v>
      </c>
      <c r="N39" s="138">
        <f>ABS(K38-K39)</f>
        <v>3.6657421874203067E-2</v>
      </c>
    </row>
    <row r="40" spans="1:14">
      <c r="A40" s="130" t="s">
        <v>303</v>
      </c>
      <c r="B40" s="131">
        <v>2834</v>
      </c>
      <c r="C40" s="131">
        <v>3358</v>
      </c>
      <c r="D40" s="131">
        <v>4024</v>
      </c>
      <c r="E40" s="131" t="s">
        <v>304</v>
      </c>
      <c r="F40" s="131">
        <v>100</v>
      </c>
      <c r="G40" s="130" t="s">
        <v>305</v>
      </c>
      <c r="H40" s="132" t="s">
        <v>6</v>
      </c>
      <c r="I40" s="133">
        <v>43795.727901620368</v>
      </c>
      <c r="J40" s="134" t="s">
        <v>233</v>
      </c>
      <c r="K40" s="135">
        <v>-25.1575147843437</v>
      </c>
      <c r="L40" s="135">
        <v>2.0792353352264179</v>
      </c>
      <c r="M40" s="136">
        <v>6589.8477723528194</v>
      </c>
      <c r="N40" s="137"/>
    </row>
    <row r="41" spans="1:14">
      <c r="A41" s="130" t="s">
        <v>306</v>
      </c>
      <c r="B41" s="131">
        <v>2842</v>
      </c>
      <c r="C41" s="131">
        <v>3361</v>
      </c>
      <c r="D41" s="131">
        <v>4033</v>
      </c>
      <c r="E41" s="131" t="s">
        <v>304</v>
      </c>
      <c r="F41" s="131">
        <v>100</v>
      </c>
      <c r="G41" s="130" t="s">
        <v>305</v>
      </c>
      <c r="H41" s="132" t="s">
        <v>6</v>
      </c>
      <c r="I41" s="133">
        <v>43795.734192129632</v>
      </c>
      <c r="J41" s="134" t="s">
        <v>233</v>
      </c>
      <c r="K41" s="135">
        <v>-25.277180079467428</v>
      </c>
      <c r="L41" s="135">
        <v>2.0792353352264179</v>
      </c>
      <c r="M41" s="136">
        <v>6630.757745843187</v>
      </c>
      <c r="N41" s="138">
        <f>ABS(K40-K41)</f>
        <v>0.11966529512372759</v>
      </c>
    </row>
    <row r="42" spans="1:14">
      <c r="A42" s="130" t="s">
        <v>307</v>
      </c>
      <c r="B42" s="131">
        <v>2653</v>
      </c>
      <c r="C42" s="131">
        <v>3155</v>
      </c>
      <c r="D42" s="131">
        <v>3767</v>
      </c>
      <c r="E42" s="131" t="s">
        <v>308</v>
      </c>
      <c r="F42" s="131">
        <v>50</v>
      </c>
      <c r="G42" s="130" t="s">
        <v>309</v>
      </c>
      <c r="H42" s="132" t="s">
        <v>6</v>
      </c>
      <c r="I42" s="133">
        <v>43795.747120370368</v>
      </c>
      <c r="J42" s="134" t="s">
        <v>233</v>
      </c>
      <c r="K42" s="135">
        <v>-27.749337581531488</v>
      </c>
      <c r="L42" s="135">
        <v>4.5163230405626109</v>
      </c>
      <c r="M42" s="136">
        <v>11959.387108865083</v>
      </c>
      <c r="N42" s="137"/>
    </row>
    <row r="43" spans="1:14">
      <c r="A43" s="130" t="s">
        <v>310</v>
      </c>
      <c r="B43" s="131">
        <v>2719</v>
      </c>
      <c r="C43" s="131">
        <v>3228</v>
      </c>
      <c r="D43" s="131">
        <v>3858</v>
      </c>
      <c r="E43" s="131" t="s">
        <v>308</v>
      </c>
      <c r="F43" s="131">
        <v>50</v>
      </c>
      <c r="G43" s="130" t="s">
        <v>309</v>
      </c>
      <c r="H43" s="132" t="s">
        <v>6</v>
      </c>
      <c r="I43" s="133">
        <v>43795.753400462963</v>
      </c>
      <c r="J43" s="134" t="s">
        <v>233</v>
      </c>
      <c r="K43" s="135">
        <v>-27.707006937207399</v>
      </c>
      <c r="L43" s="135">
        <v>4.5163230405626109</v>
      </c>
      <c r="M43" s="136">
        <v>12054.508511392176</v>
      </c>
      <c r="N43" s="138">
        <f>ABS(K42-K43)</f>
        <v>4.2330644324088951E-2</v>
      </c>
    </row>
    <row r="44" spans="1:14">
      <c r="A44" s="130" t="s">
        <v>311</v>
      </c>
      <c r="B44" s="131">
        <v>2166</v>
      </c>
      <c r="C44" s="131">
        <v>2564</v>
      </c>
      <c r="D44" s="131">
        <v>3075</v>
      </c>
      <c r="E44" s="131" t="s">
        <v>312</v>
      </c>
      <c r="F44" s="131">
        <v>50</v>
      </c>
      <c r="G44" s="130" t="s">
        <v>313</v>
      </c>
      <c r="H44" s="132" t="s">
        <v>6</v>
      </c>
      <c r="I44" s="133">
        <v>43795.75964467592</v>
      </c>
      <c r="J44" s="134" t="s">
        <v>233</v>
      </c>
      <c r="K44" s="135">
        <v>-26.802703089269514</v>
      </c>
      <c r="L44" s="135">
        <v>4.5163230405626109</v>
      </c>
      <c r="M44" s="136">
        <v>9565.6605632357714</v>
      </c>
      <c r="N44" s="137"/>
    </row>
    <row r="45" spans="1:14">
      <c r="A45" s="130" t="s">
        <v>314</v>
      </c>
      <c r="B45" s="131">
        <v>2171</v>
      </c>
      <c r="C45" s="131">
        <v>2568</v>
      </c>
      <c r="D45" s="131">
        <v>3083</v>
      </c>
      <c r="E45" s="131" t="s">
        <v>312</v>
      </c>
      <c r="F45" s="131">
        <v>50</v>
      </c>
      <c r="G45" s="130" t="s">
        <v>313</v>
      </c>
      <c r="H45" s="132" t="s">
        <v>6</v>
      </c>
      <c r="I45" s="133">
        <v>43795.765918981488</v>
      </c>
      <c r="J45" s="134" t="s">
        <v>233</v>
      </c>
      <c r="K45" s="135">
        <v>-26.758370992641684</v>
      </c>
      <c r="L45" s="135">
        <v>4.5163230405626109</v>
      </c>
      <c r="M45" s="136">
        <v>9661.3043441912378</v>
      </c>
      <c r="N45" s="138">
        <f>ABS(K44-K45)</f>
        <v>4.4332096627829998E-2</v>
      </c>
    </row>
    <row r="46" spans="1:14">
      <c r="A46" s="130" t="s">
        <v>315</v>
      </c>
      <c r="B46" s="131">
        <v>3482</v>
      </c>
      <c r="C46" s="131">
        <v>4150</v>
      </c>
      <c r="D46" s="131">
        <v>4942</v>
      </c>
      <c r="E46" s="131" t="s">
        <v>316</v>
      </c>
      <c r="F46" s="131">
        <v>50</v>
      </c>
      <c r="G46" s="130" t="s">
        <v>317</v>
      </c>
      <c r="H46" s="132" t="s">
        <v>6</v>
      </c>
      <c r="I46" s="133">
        <v>43795.785195601849</v>
      </c>
      <c r="J46" s="134" t="s">
        <v>233</v>
      </c>
      <c r="K46" s="135">
        <v>-27.502458215686069</v>
      </c>
      <c r="L46" s="135">
        <v>4.5163230405626109</v>
      </c>
      <c r="M46" s="136">
        <v>15403.520603818944</v>
      </c>
      <c r="N46" s="137"/>
    </row>
    <row r="47" spans="1:14">
      <c r="A47" s="130" t="s">
        <v>318</v>
      </c>
      <c r="B47" s="131">
        <v>3499</v>
      </c>
      <c r="C47" s="131">
        <v>4166</v>
      </c>
      <c r="D47" s="131">
        <v>4968</v>
      </c>
      <c r="E47" s="131" t="s">
        <v>316</v>
      </c>
      <c r="F47" s="131">
        <v>50</v>
      </c>
      <c r="G47" s="130" t="s">
        <v>317</v>
      </c>
      <c r="H47" s="132" t="s">
        <v>6</v>
      </c>
      <c r="I47" s="133">
        <v>43795.791446759264</v>
      </c>
      <c r="J47" s="134" t="s">
        <v>233</v>
      </c>
      <c r="K47" s="135">
        <v>-27.630112724929187</v>
      </c>
      <c r="L47" s="135">
        <v>4.5163230405626109</v>
      </c>
      <c r="M47" s="136">
        <v>15582.622485069513</v>
      </c>
      <c r="N47" s="138">
        <f>ABS(K46-K47)</f>
        <v>0.1276545092431185</v>
      </c>
    </row>
    <row r="48" spans="1:14">
      <c r="A48" s="130" t="s">
        <v>319</v>
      </c>
      <c r="B48" s="131">
        <v>3077</v>
      </c>
      <c r="C48" s="131">
        <v>3648</v>
      </c>
      <c r="D48" s="131">
        <v>4367</v>
      </c>
      <c r="E48" s="131" t="s">
        <v>320</v>
      </c>
      <c r="F48" s="131">
        <v>50</v>
      </c>
      <c r="G48" s="130" t="s">
        <v>321</v>
      </c>
      <c r="H48" s="132" t="s">
        <v>6</v>
      </c>
      <c r="I48" s="133">
        <v>43795.797707175923</v>
      </c>
      <c r="J48" s="134" t="s">
        <v>233</v>
      </c>
      <c r="K48" s="135">
        <v>-27.903763540514724</v>
      </c>
      <c r="L48" s="135">
        <v>4.5163230405626109</v>
      </c>
      <c r="M48" s="136">
        <v>13672.741128202675</v>
      </c>
      <c r="N48" s="137"/>
    </row>
    <row r="49" spans="1:14">
      <c r="A49" s="130" t="s">
        <v>322</v>
      </c>
      <c r="B49" s="131">
        <v>3076</v>
      </c>
      <c r="C49" s="131">
        <v>3644</v>
      </c>
      <c r="D49" s="131">
        <v>4369</v>
      </c>
      <c r="E49" s="131" t="s">
        <v>320</v>
      </c>
      <c r="F49" s="131">
        <v>50</v>
      </c>
      <c r="G49" s="130" t="s">
        <v>321</v>
      </c>
      <c r="H49" s="132" t="s">
        <v>6</v>
      </c>
      <c r="I49" s="133">
        <v>43795.803978009259</v>
      </c>
      <c r="J49" s="134" t="s">
        <v>233</v>
      </c>
      <c r="K49" s="135">
        <v>-27.886429384197008</v>
      </c>
      <c r="L49" s="135">
        <v>4.5163230405626109</v>
      </c>
      <c r="M49" s="136">
        <v>13700.578224637451</v>
      </c>
      <c r="N49" s="138">
        <f>ABS(K48-K49)</f>
        <v>1.7334156317716065E-2</v>
      </c>
    </row>
    <row r="50" spans="1:14">
      <c r="A50" s="130" t="s">
        <v>323</v>
      </c>
      <c r="B50" s="131">
        <v>3082</v>
      </c>
      <c r="C50" s="131">
        <v>3672</v>
      </c>
      <c r="D50" s="131">
        <v>4375</v>
      </c>
      <c r="E50" s="131" t="s">
        <v>324</v>
      </c>
      <c r="F50" s="131">
        <v>50</v>
      </c>
      <c r="G50" s="130" t="s">
        <v>325</v>
      </c>
      <c r="H50" s="132" t="s">
        <v>6</v>
      </c>
      <c r="I50" s="133">
        <v>43795.816938657408</v>
      </c>
      <c r="J50" s="134" t="s">
        <v>233</v>
      </c>
      <c r="K50" s="135">
        <v>-27.518886352341486</v>
      </c>
      <c r="L50" s="135">
        <v>4.5163230405626109</v>
      </c>
      <c r="M50" s="136">
        <v>13804.703784677133</v>
      </c>
      <c r="N50" s="137"/>
    </row>
    <row r="51" spans="1:14">
      <c r="A51" s="130" t="s">
        <v>326</v>
      </c>
      <c r="B51" s="131">
        <v>3141</v>
      </c>
      <c r="C51" s="131">
        <v>3741</v>
      </c>
      <c r="D51" s="131">
        <v>4464</v>
      </c>
      <c r="E51" s="131" t="s">
        <v>324</v>
      </c>
      <c r="F51" s="131">
        <v>50</v>
      </c>
      <c r="G51" s="130" t="s">
        <v>325</v>
      </c>
      <c r="H51" s="132" t="s">
        <v>6</v>
      </c>
      <c r="I51" s="133">
        <v>43795.823192129632</v>
      </c>
      <c r="J51" s="134" t="s">
        <v>233</v>
      </c>
      <c r="K51" s="135">
        <v>-27.500547628407865</v>
      </c>
      <c r="L51" s="135">
        <v>4.5163230405626109</v>
      </c>
      <c r="M51" s="136">
        <v>13885.224179762376</v>
      </c>
      <c r="N51" s="138">
        <f>ABS(K50-K51)</f>
        <v>1.8338723933620571E-2</v>
      </c>
    </row>
    <row r="52" spans="1:14">
      <c r="A52" s="130" t="s">
        <v>327</v>
      </c>
      <c r="B52" s="131">
        <v>2955</v>
      </c>
      <c r="C52" s="131">
        <v>3505</v>
      </c>
      <c r="D52" s="131">
        <v>4193</v>
      </c>
      <c r="E52" s="131" t="s">
        <v>328</v>
      </c>
      <c r="F52" s="131">
        <v>50</v>
      </c>
      <c r="G52" s="130" t="s">
        <v>329</v>
      </c>
      <c r="H52" s="132" t="s">
        <v>6</v>
      </c>
      <c r="I52" s="133">
        <v>43795.829434027779</v>
      </c>
      <c r="J52" s="134" t="s">
        <v>233</v>
      </c>
      <c r="K52" s="135">
        <v>-27.485205704891399</v>
      </c>
      <c r="L52" s="135">
        <v>4.5163230405626109</v>
      </c>
      <c r="M52" s="136">
        <v>13094.163400052123</v>
      </c>
      <c r="N52" s="137"/>
    </row>
    <row r="53" spans="1:14">
      <c r="A53" s="130" t="s">
        <v>330</v>
      </c>
      <c r="B53" s="131">
        <v>2960</v>
      </c>
      <c r="C53" s="131">
        <v>3509</v>
      </c>
      <c r="D53" s="131">
        <v>4203</v>
      </c>
      <c r="E53" s="131" t="s">
        <v>328</v>
      </c>
      <c r="F53" s="131">
        <v>50</v>
      </c>
      <c r="G53" s="130" t="s">
        <v>329</v>
      </c>
      <c r="H53" s="132" t="s">
        <v>6</v>
      </c>
      <c r="I53" s="133">
        <v>43795.835701388889</v>
      </c>
      <c r="J53" s="134" t="s">
        <v>233</v>
      </c>
      <c r="K53" s="135">
        <v>-27.493869531028007</v>
      </c>
      <c r="L53" s="135">
        <v>4.5163230405626109</v>
      </c>
      <c r="M53" s="136">
        <v>13162.685260730623</v>
      </c>
      <c r="N53" s="138">
        <f>ABS(K52-K53)</f>
        <v>8.6638261366083213E-3</v>
      </c>
    </row>
    <row r="54" spans="1:14">
      <c r="A54" s="130" t="s">
        <v>331</v>
      </c>
      <c r="B54" s="131">
        <v>2059</v>
      </c>
      <c r="C54" s="131">
        <v>2396</v>
      </c>
      <c r="D54" s="131">
        <v>2845</v>
      </c>
      <c r="E54" s="131" t="s">
        <v>332</v>
      </c>
      <c r="F54" s="131">
        <v>200</v>
      </c>
      <c r="G54" s="130" t="s">
        <v>333</v>
      </c>
      <c r="H54" s="132" t="s">
        <v>6</v>
      </c>
      <c r="I54" s="133">
        <v>43795.85511921296</v>
      </c>
      <c r="J54" s="134" t="s">
        <v>233</v>
      </c>
      <c r="K54" s="135">
        <v>-38.775063800807942</v>
      </c>
      <c r="L54" s="135">
        <v>1</v>
      </c>
      <c r="M54" s="136">
        <v>2959.7360550896888</v>
      </c>
      <c r="N54" s="137"/>
    </row>
    <row r="55" spans="1:14">
      <c r="A55" s="130" t="s">
        <v>334</v>
      </c>
      <c r="B55" s="131">
        <v>2066</v>
      </c>
      <c r="C55" s="131">
        <v>2404</v>
      </c>
      <c r="D55" s="131">
        <v>2855</v>
      </c>
      <c r="E55" s="131" t="s">
        <v>332</v>
      </c>
      <c r="F55" s="131">
        <v>200</v>
      </c>
      <c r="G55" s="130" t="s">
        <v>333</v>
      </c>
      <c r="H55" s="132" t="s">
        <v>6</v>
      </c>
      <c r="I55" s="133">
        <v>43795.86139351852</v>
      </c>
      <c r="J55" s="134" t="s">
        <v>233</v>
      </c>
      <c r="K55" s="135">
        <v>-38.712732462665834</v>
      </c>
      <c r="L55" s="135">
        <v>1</v>
      </c>
      <c r="M55" s="136">
        <v>2973.5220035620791</v>
      </c>
      <c r="N55" s="138">
        <f>ABS(K54-K55)</f>
        <v>6.233133814210845E-2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6"/>
  <sheetViews>
    <sheetView tabSelected="1" topLeftCell="A2" workbookViewId="0">
      <selection activeCell="J39" sqref="J39"/>
    </sheetView>
  </sheetViews>
  <sheetFormatPr baseColWidth="10" defaultRowHeight="14" x14ac:dyDescent="0"/>
  <cols>
    <col min="1" max="1" width="11.6640625" bestFit="1" customWidth="1"/>
    <col min="2" max="2" width="15.1640625" bestFit="1" customWidth="1"/>
    <col min="9" max="9" width="15.1640625" bestFit="1" customWidth="1"/>
    <col min="22" max="22" width="14.6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43781</v>
      </c>
      <c r="C3" s="58">
        <v>2992</v>
      </c>
      <c r="D3" s="47">
        <v>1679.8</v>
      </c>
      <c r="E3" s="59">
        <v>435.37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43781</v>
      </c>
      <c r="C4" s="58">
        <v>2992</v>
      </c>
      <c r="D4" s="59">
        <v>1492</v>
      </c>
      <c r="E4" s="59">
        <v>417.53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43781</v>
      </c>
      <c r="C5" s="58">
        <v>2992</v>
      </c>
      <c r="D5" s="47">
        <v>1358.1</v>
      </c>
      <c r="E5" s="59">
        <v>389.61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43781</v>
      </c>
      <c r="C6" s="58">
        <v>2992</v>
      </c>
      <c r="D6" s="59">
        <v>1192.3</v>
      </c>
      <c r="E6" s="59">
        <v>328.86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43781</v>
      </c>
      <c r="C7" s="58">
        <v>2992</v>
      </c>
      <c r="D7" s="47">
        <v>1046.2</v>
      </c>
      <c r="E7" s="59">
        <v>304.22000000000003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43781</v>
      </c>
      <c r="C8" s="58">
        <v>2992</v>
      </c>
      <c r="D8" s="59">
        <v>872.95</v>
      </c>
      <c r="E8" s="59">
        <v>236.47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43781</v>
      </c>
      <c r="C9" s="58">
        <v>2992</v>
      </c>
      <c r="D9" s="47">
        <v>733.07</v>
      </c>
      <c r="E9" s="59">
        <v>209.84</v>
      </c>
      <c r="F9" s="60">
        <f t="shared" si="0"/>
        <v>5.984</v>
      </c>
      <c r="G9" s="63" t="s">
        <v>75</v>
      </c>
      <c r="H9" s="63"/>
      <c r="I9" s="64">
        <f>SLOPE(F3:F15,D3:D15)</f>
        <v>8.811767910556545E-3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43781</v>
      </c>
      <c r="C10" s="58">
        <v>2992</v>
      </c>
      <c r="D10" s="47">
        <v>505.08</v>
      </c>
      <c r="E10" s="59">
        <v>155.37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-0.14437328962366802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43781</v>
      </c>
      <c r="C11" s="58">
        <v>2992</v>
      </c>
      <c r="D11" s="47">
        <v>363.13</v>
      </c>
      <c r="E11" s="59">
        <v>114.08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43781</v>
      </c>
      <c r="C12" s="58">
        <v>2992</v>
      </c>
      <c r="D12" s="65">
        <v>142.86000000000001</v>
      </c>
      <c r="E12" s="65">
        <v>45.295000000000002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3.2461424019603238E-2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43781</v>
      </c>
      <c r="C13" s="58">
        <v>2992</v>
      </c>
      <c r="D13" s="65">
        <v>66.721999999999994</v>
      </c>
      <c r="E13" s="65">
        <v>22.084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-0.38435152330033606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43781</v>
      </c>
      <c r="C14" s="58">
        <v>2992</v>
      </c>
      <c r="D14" s="65">
        <v>30.385999999999999</v>
      </c>
      <c r="E14" s="65">
        <v>11.461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43781</v>
      </c>
      <c r="C15" s="58">
        <v>2992</v>
      </c>
      <c r="D15" s="65">
        <v>0</v>
      </c>
      <c r="E15" s="65">
        <v>0</v>
      </c>
      <c r="F15" s="60">
        <f t="shared" ref="F15" si="2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2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 t="shared" ref="B18:B29" si="3">B3+H18</f>
        <v>43781.625</v>
      </c>
      <c r="C18" s="49">
        <v>4</v>
      </c>
      <c r="D18" s="78">
        <v>1155.9000000000001</v>
      </c>
      <c r="E18" s="79">
        <v>299.27</v>
      </c>
      <c r="F18" s="80">
        <f>((I$9*D18)+I$10)/C18/1000</f>
        <v>2.5102873095471613E-3</v>
      </c>
      <c r="G18" s="80">
        <f>((I$12*E18)+I$13)/C18/1000</f>
        <v>2.3325947107615814E-3</v>
      </c>
      <c r="H18" s="111">
        <v>0.625</v>
      </c>
      <c r="I18" s="81">
        <f>jar_information!M3</f>
        <v>43780.666666666664</v>
      </c>
      <c r="J18" s="82">
        <f t="shared" ref="J18:J29" si="4">B18-I18</f>
        <v>0.95833333333575865</v>
      </c>
      <c r="K18" s="82">
        <f>J18*24</f>
        <v>23.000000000058208</v>
      </c>
      <c r="L18" s="83">
        <f>jar_information!G3</f>
        <v>1089.8750280625609</v>
      </c>
      <c r="M18" s="82">
        <f>F18*L18</f>
        <v>2.735899451937803</v>
      </c>
      <c r="N18" s="82">
        <f>M18*1.83</f>
        <v>5.0066959970461795</v>
      </c>
      <c r="O18" s="84">
        <f t="shared" ref="O18:O29" si="5">N18*(12/(12+(16*2)))</f>
        <v>1.3654625446489579</v>
      </c>
      <c r="P18" s="85">
        <f>O18*(400/(400+L18))</f>
        <v>0.36659787403098115</v>
      </c>
      <c r="Q18" s="86"/>
      <c r="R18" s="86">
        <f>Q18/314.7</f>
        <v>0</v>
      </c>
      <c r="S18" s="86">
        <f>R18/P18*100</f>
        <v>0</v>
      </c>
      <c r="T18" s="87">
        <f>F18*1000000</f>
        <v>2510.2873095471614</v>
      </c>
      <c r="U18" s="10">
        <f>M18/L18*100</f>
        <v>0.25102873095471612</v>
      </c>
      <c r="V18" s="103">
        <f>O18/K18</f>
        <v>5.9367936723717485E-2</v>
      </c>
    </row>
    <row r="19" spans="1:22">
      <c r="A19" s="33" t="s">
        <v>153</v>
      </c>
      <c r="B19" s="77">
        <f t="shared" si="3"/>
        <v>43781.625</v>
      </c>
      <c r="C19" s="49">
        <v>4</v>
      </c>
      <c r="D19" s="88">
        <v>1210.0999999999999</v>
      </c>
      <c r="E19" s="89">
        <v>338.11</v>
      </c>
      <c r="F19" s="80">
        <f t="shared" ref="F19:F29" si="6">((I$9*D19)+I$10)/C19/1000</f>
        <v>2.6296867647352018E-3</v>
      </c>
      <c r="G19" s="80">
        <f t="shared" ref="G19:G29" si="7">((I$12*E19)+I$13)/C19/1000</f>
        <v>2.6477951379919283E-3</v>
      </c>
      <c r="H19" s="111">
        <v>0.625</v>
      </c>
      <c r="I19" s="81">
        <f>jar_information!M4</f>
        <v>43780.666666666664</v>
      </c>
      <c r="J19" s="82">
        <f t="shared" si="4"/>
        <v>0.95833333333575865</v>
      </c>
      <c r="K19" s="82">
        <f t="shared" ref="K19:K29" si="8">J19*24</f>
        <v>23.000000000058208</v>
      </c>
      <c r="L19" s="83">
        <f>jar_information!G4</f>
        <v>1074.8014191661935</v>
      </c>
      <c r="M19" s="82">
        <f t="shared" ref="M19:M29" si="9">F19*L19</f>
        <v>2.826391066699951</v>
      </c>
      <c r="N19" s="82">
        <f t="shared" ref="N19:N29" si="10">M19*1.83</f>
        <v>5.1722956520609102</v>
      </c>
      <c r="O19" s="84">
        <f t="shared" si="5"/>
        <v>1.4106260869257028</v>
      </c>
      <c r="P19" s="85">
        <f t="shared" ref="P19:P29" si="11">O19*(400/(400+L19))</f>
        <v>0.38259417670569551</v>
      </c>
      <c r="Q19" s="86"/>
      <c r="R19" s="86">
        <f t="shared" ref="R19:R29" si="12">Q19/314.7</f>
        <v>0</v>
      </c>
      <c r="S19" s="86">
        <f>R19/P19*100</f>
        <v>0</v>
      </c>
      <c r="T19" s="87">
        <f t="shared" ref="T19:T29" si="13">F19*1000000</f>
        <v>2629.6867647352019</v>
      </c>
      <c r="U19" s="10">
        <f t="shared" ref="U19:U29" si="14">M19/L19*100</f>
        <v>0.26296867647352018</v>
      </c>
      <c r="V19" s="103">
        <f t="shared" ref="V19:V29" si="15">O19/K19</f>
        <v>6.1331568996614468E-2</v>
      </c>
    </row>
    <row r="20" spans="1:22">
      <c r="A20" s="33" t="s">
        <v>154</v>
      </c>
      <c r="B20" s="77">
        <f t="shared" si="3"/>
        <v>43781.625</v>
      </c>
      <c r="C20" s="49">
        <v>4</v>
      </c>
      <c r="D20" s="90">
        <v>827.04</v>
      </c>
      <c r="E20" s="91">
        <v>232.55</v>
      </c>
      <c r="F20" s="80">
        <f t="shared" si="6"/>
        <v>1.7858278107807542E-3</v>
      </c>
      <c r="G20" s="80">
        <f t="shared" si="7"/>
        <v>1.7911381581145994E-3</v>
      </c>
      <c r="H20" s="111">
        <v>0.625</v>
      </c>
      <c r="I20" s="81">
        <f>jar_information!M5</f>
        <v>43780.666666666664</v>
      </c>
      <c r="J20" s="82">
        <f t="shared" si="4"/>
        <v>0.95833333333575865</v>
      </c>
      <c r="K20" s="82">
        <f t="shared" si="8"/>
        <v>23.000000000058208</v>
      </c>
      <c r="L20" s="83">
        <f>jar_information!G5</f>
        <v>1089.8750280625609</v>
      </c>
      <c r="M20" s="82">
        <f t="shared" si="9"/>
        <v>1.9463291353895762</v>
      </c>
      <c r="N20" s="82">
        <f t="shared" si="10"/>
        <v>3.5617823177629244</v>
      </c>
      <c r="O20" s="84">
        <f t="shared" si="5"/>
        <v>0.97139517757170657</v>
      </c>
      <c r="P20" s="85">
        <f t="shared" si="11"/>
        <v>0.26079910308582394</v>
      </c>
      <c r="Q20" s="86"/>
      <c r="R20" s="86">
        <f t="shared" si="12"/>
        <v>0</v>
      </c>
      <c r="S20" s="86">
        <f t="shared" ref="S20:S29" si="16">R20/P20*100</f>
        <v>0</v>
      </c>
      <c r="T20" s="87">
        <f t="shared" si="13"/>
        <v>1785.8278107807541</v>
      </c>
      <c r="U20" s="10">
        <f t="shared" si="14"/>
        <v>0.17858278107807543</v>
      </c>
      <c r="V20" s="103">
        <f t="shared" si="15"/>
        <v>4.2234572937793396E-2</v>
      </c>
    </row>
    <row r="21" spans="1:22">
      <c r="A21" s="33" t="s">
        <v>155</v>
      </c>
      <c r="B21" s="77">
        <f t="shared" si="3"/>
        <v>43781.625</v>
      </c>
      <c r="C21" s="49">
        <v>4</v>
      </c>
      <c r="D21" s="90">
        <v>871.98</v>
      </c>
      <c r="E21" s="91">
        <v>238.89</v>
      </c>
      <c r="F21" s="80">
        <f t="shared" si="6"/>
        <v>1.8848280232558569E-3</v>
      </c>
      <c r="G21" s="80">
        <f t="shared" si="7"/>
        <v>1.8425895151856703E-3</v>
      </c>
      <c r="H21" s="111">
        <v>0.625</v>
      </c>
      <c r="I21" s="81">
        <f>jar_information!M6</f>
        <v>43780.666666666664</v>
      </c>
      <c r="J21" s="82">
        <f t="shared" si="4"/>
        <v>0.95833333333575865</v>
      </c>
      <c r="K21" s="82">
        <f t="shared" si="8"/>
        <v>23.000000000058208</v>
      </c>
      <c r="L21" s="83">
        <f>jar_information!G6</f>
        <v>1074.8014191661935</v>
      </c>
      <c r="M21" s="82">
        <f t="shared" si="9"/>
        <v>2.025815834279606</v>
      </c>
      <c r="N21" s="82">
        <f t="shared" si="10"/>
        <v>3.707242976731679</v>
      </c>
      <c r="O21" s="84">
        <f t="shared" si="5"/>
        <v>1.011066266381367</v>
      </c>
      <c r="P21" s="85">
        <f t="shared" si="11"/>
        <v>0.27422438119241632</v>
      </c>
      <c r="Q21" s="86"/>
      <c r="R21" s="86">
        <f t="shared" si="12"/>
        <v>0</v>
      </c>
      <c r="S21" s="86">
        <f t="shared" si="16"/>
        <v>0</v>
      </c>
      <c r="T21" s="87">
        <f t="shared" si="13"/>
        <v>1884.828023255857</v>
      </c>
      <c r="U21" s="10">
        <f t="shared" si="14"/>
        <v>0.18848280232558567</v>
      </c>
      <c r="V21" s="103">
        <f t="shared" si="15"/>
        <v>4.3959402886035143E-2</v>
      </c>
    </row>
    <row r="22" spans="1:22">
      <c r="A22" s="33" t="s">
        <v>156</v>
      </c>
      <c r="B22" s="77">
        <f t="shared" si="3"/>
        <v>43781.625</v>
      </c>
      <c r="C22" s="49">
        <v>4</v>
      </c>
      <c r="D22" s="90">
        <v>524.74</v>
      </c>
      <c r="E22" s="91">
        <v>157.82</v>
      </c>
      <c r="F22" s="80">
        <f t="shared" si="6"/>
        <v>1.1198784509404433E-3</v>
      </c>
      <c r="G22" s="80">
        <f t="shared" si="7"/>
        <v>1.1846776038683616E-3</v>
      </c>
      <c r="H22" s="111">
        <v>0.625</v>
      </c>
      <c r="I22" s="81">
        <f>jar_information!M7</f>
        <v>43780.666666666664</v>
      </c>
      <c r="J22" s="82">
        <f t="shared" si="4"/>
        <v>0.95833333333575865</v>
      </c>
      <c r="K22" s="82">
        <f t="shared" si="8"/>
        <v>23.000000000058208</v>
      </c>
      <c r="L22" s="83">
        <f>jar_information!G7</f>
        <v>1089.8750280625609</v>
      </c>
      <c r="M22" s="82">
        <f t="shared" si="9"/>
        <v>1.2205275581453729</v>
      </c>
      <c r="N22" s="82">
        <f t="shared" si="10"/>
        <v>2.2335654314060327</v>
      </c>
      <c r="O22" s="84">
        <f t="shared" si="5"/>
        <v>0.60915420856528157</v>
      </c>
      <c r="P22" s="85">
        <f t="shared" si="11"/>
        <v>0.16354504830044114</v>
      </c>
      <c r="Q22" s="86"/>
      <c r="R22" s="86">
        <f t="shared" si="12"/>
        <v>0</v>
      </c>
      <c r="S22" s="86">
        <f t="shared" si="16"/>
        <v>0</v>
      </c>
      <c r="T22" s="87">
        <f t="shared" si="13"/>
        <v>1119.8784509404434</v>
      </c>
      <c r="U22" s="10">
        <f t="shared" si="14"/>
        <v>0.11198784509404433</v>
      </c>
      <c r="V22" s="103">
        <f t="shared" si="15"/>
        <v>2.6484965589727825E-2</v>
      </c>
    </row>
    <row r="23" spans="1:22">
      <c r="A23" s="33" t="s">
        <v>157</v>
      </c>
      <c r="B23" s="77">
        <f t="shared" si="3"/>
        <v>43781.625</v>
      </c>
      <c r="C23" s="49">
        <v>4</v>
      </c>
      <c r="D23" s="90">
        <v>505.03</v>
      </c>
      <c r="E23" s="91">
        <v>151.30000000000001</v>
      </c>
      <c r="F23" s="80">
        <f t="shared" si="6"/>
        <v>1.076458464561176E-3</v>
      </c>
      <c r="G23" s="80">
        <f t="shared" si="7"/>
        <v>1.1317654827164086E-3</v>
      </c>
      <c r="H23" s="111">
        <v>0.625</v>
      </c>
      <c r="I23" s="81">
        <f>jar_information!M8</f>
        <v>43780.666666666664</v>
      </c>
      <c r="J23" s="82">
        <f t="shared" si="4"/>
        <v>0.95833333333575865</v>
      </c>
      <c r="K23" s="82">
        <f t="shared" si="8"/>
        <v>23.000000000058208</v>
      </c>
      <c r="L23" s="83">
        <f>jar_information!G8</f>
        <v>1089.8750280625609</v>
      </c>
      <c r="M23" s="82">
        <f t="shared" si="9"/>
        <v>1.1732051992717929</v>
      </c>
      <c r="N23" s="82">
        <f t="shared" si="10"/>
        <v>2.1469655146673809</v>
      </c>
      <c r="O23" s="84">
        <f t="shared" si="5"/>
        <v>0.58553604945474025</v>
      </c>
      <c r="P23" s="85">
        <f t="shared" si="11"/>
        <v>0.15720407105988576</v>
      </c>
      <c r="Q23" s="86"/>
      <c r="R23" s="86">
        <f t="shared" si="12"/>
        <v>0</v>
      </c>
      <c r="S23" s="86">
        <f t="shared" si="16"/>
        <v>0</v>
      </c>
      <c r="T23" s="87">
        <f t="shared" si="13"/>
        <v>1076.458464561176</v>
      </c>
      <c r="U23" s="10">
        <f t="shared" si="14"/>
        <v>0.10764584645611759</v>
      </c>
      <c r="V23" s="103">
        <f t="shared" si="15"/>
        <v>2.5458089106663407E-2</v>
      </c>
    </row>
    <row r="24" spans="1:22">
      <c r="A24" s="33" t="s">
        <v>158</v>
      </c>
      <c r="B24" s="77">
        <f t="shared" si="3"/>
        <v>43781.625</v>
      </c>
      <c r="C24" s="49">
        <v>1</v>
      </c>
      <c r="D24" s="90">
        <v>736.5</v>
      </c>
      <c r="E24" s="91">
        <v>197.01</v>
      </c>
      <c r="F24" s="80">
        <f t="shared" si="6"/>
        <v>6.3454937765012268E-3</v>
      </c>
      <c r="G24" s="80">
        <f t="shared" si="7"/>
        <v>6.0108736228016973E-3</v>
      </c>
      <c r="H24" s="111">
        <v>0.625</v>
      </c>
      <c r="I24" s="81">
        <f>jar_information!M9</f>
        <v>43780.666666666664</v>
      </c>
      <c r="J24" s="82">
        <f t="shared" si="4"/>
        <v>0.95833333333575865</v>
      </c>
      <c r="K24" s="82">
        <f t="shared" si="8"/>
        <v>23.000000000058208</v>
      </c>
      <c r="L24" s="83">
        <f>jar_information!G9</f>
        <v>1079.8108667673887</v>
      </c>
      <c r="M24" s="82">
        <f t="shared" si="9"/>
        <v>6.8519331348708601</v>
      </c>
      <c r="N24" s="82">
        <f t="shared" si="10"/>
        <v>12.539037636813674</v>
      </c>
      <c r="O24" s="84">
        <f t="shared" si="5"/>
        <v>3.41973753731282</v>
      </c>
      <c r="P24" s="85">
        <f t="shared" si="11"/>
        <v>0.9243715164176769</v>
      </c>
      <c r="Q24" s="86"/>
      <c r="R24" s="86">
        <f t="shared" si="12"/>
        <v>0</v>
      </c>
      <c r="S24" s="86">
        <f t="shared" si="16"/>
        <v>0</v>
      </c>
      <c r="T24" s="87">
        <f t="shared" si="13"/>
        <v>6345.4937765012264</v>
      </c>
      <c r="U24" s="10">
        <f t="shared" si="14"/>
        <v>0.63454937765012265</v>
      </c>
      <c r="V24" s="103">
        <f t="shared" si="15"/>
        <v>0.14868424075235503</v>
      </c>
    </row>
    <row r="25" spans="1:22">
      <c r="A25" s="33" t="s">
        <v>159</v>
      </c>
      <c r="B25" s="77">
        <f t="shared" si="3"/>
        <v>43781.625</v>
      </c>
      <c r="C25" s="49">
        <v>1</v>
      </c>
      <c r="D25" s="90">
        <v>749.98</v>
      </c>
      <c r="E25" s="91">
        <v>211.05</v>
      </c>
      <c r="F25" s="80">
        <f t="shared" si="6"/>
        <v>6.4642764079355297E-3</v>
      </c>
      <c r="G25" s="80">
        <f t="shared" si="7"/>
        <v>6.4666320160369278E-3</v>
      </c>
      <c r="H25" s="111">
        <v>0.625</v>
      </c>
      <c r="I25" s="81">
        <f>jar_information!M10</f>
        <v>43780.666666666664</v>
      </c>
      <c r="J25" s="82">
        <f t="shared" si="4"/>
        <v>0.95833333333575865</v>
      </c>
      <c r="K25" s="82">
        <f t="shared" si="8"/>
        <v>23.000000000058208</v>
      </c>
      <c r="L25" s="83">
        <f>jar_information!G10</f>
        <v>1094.9298783058375</v>
      </c>
      <c r="M25" s="82">
        <f t="shared" si="9"/>
        <v>7.0779293806761459</v>
      </c>
      <c r="N25" s="82">
        <f t="shared" si="10"/>
        <v>12.952610766637347</v>
      </c>
      <c r="O25" s="84">
        <f t="shared" si="5"/>
        <v>3.5325302090829127</v>
      </c>
      <c r="P25" s="85">
        <f t="shared" si="11"/>
        <v>0.94520291830309289</v>
      </c>
      <c r="Q25" s="86"/>
      <c r="R25" s="86">
        <f t="shared" si="12"/>
        <v>0</v>
      </c>
      <c r="S25" s="86">
        <f t="shared" si="16"/>
        <v>0</v>
      </c>
      <c r="T25" s="87">
        <f t="shared" si="13"/>
        <v>6464.2764079355293</v>
      </c>
      <c r="U25" s="10">
        <f t="shared" si="14"/>
        <v>0.64642764079355297</v>
      </c>
      <c r="V25" s="103">
        <f t="shared" si="15"/>
        <v>0.15358826995973796</v>
      </c>
    </row>
    <row r="26" spans="1:22">
      <c r="A26" s="33" t="s">
        <v>160</v>
      </c>
      <c r="B26" s="77">
        <f t="shared" si="3"/>
        <v>43781.625</v>
      </c>
      <c r="C26" s="49">
        <v>1</v>
      </c>
      <c r="D26" s="90">
        <v>896.55</v>
      </c>
      <c r="E26" s="91">
        <v>242.5</v>
      </c>
      <c r="F26" s="80">
        <f t="shared" si="6"/>
        <v>7.7558172305858012E-3</v>
      </c>
      <c r="G26" s="80">
        <f t="shared" si="7"/>
        <v>7.4875438014534489E-3</v>
      </c>
      <c r="H26" s="111">
        <v>0.625</v>
      </c>
      <c r="I26" s="81">
        <f>jar_information!M11</f>
        <v>43780.666666666664</v>
      </c>
      <c r="J26" s="82">
        <f t="shared" si="4"/>
        <v>0.95833333333575865</v>
      </c>
      <c r="K26" s="82">
        <f t="shared" si="8"/>
        <v>23.000000000058208</v>
      </c>
      <c r="L26" s="83">
        <f>jar_information!G11</f>
        <v>1089.8750280625609</v>
      </c>
      <c r="M26" s="82">
        <f t="shared" si="9"/>
        <v>8.4528715218327939</v>
      </c>
      <c r="N26" s="82">
        <f t="shared" si="10"/>
        <v>15.468754884954013</v>
      </c>
      <c r="O26" s="84">
        <f t="shared" si="5"/>
        <v>4.2187513322601848</v>
      </c>
      <c r="P26" s="85">
        <f t="shared" si="11"/>
        <v>1.1326456925038244</v>
      </c>
      <c r="Q26" s="86"/>
      <c r="R26" s="86">
        <f t="shared" si="12"/>
        <v>0</v>
      </c>
      <c r="S26" s="86">
        <f t="shared" si="16"/>
        <v>0</v>
      </c>
      <c r="T26" s="87">
        <f t="shared" si="13"/>
        <v>7755.8172305858016</v>
      </c>
      <c r="U26" s="10">
        <f t="shared" si="14"/>
        <v>0.7755817230585802</v>
      </c>
      <c r="V26" s="103">
        <f t="shared" si="15"/>
        <v>0.18342397096736993</v>
      </c>
    </row>
    <row r="27" spans="1:22">
      <c r="A27" s="33" t="s">
        <v>161</v>
      </c>
      <c r="B27" s="77">
        <f t="shared" si="3"/>
        <v>43781.625</v>
      </c>
      <c r="C27" s="49">
        <v>1</v>
      </c>
      <c r="D27" s="90">
        <v>860.54</v>
      </c>
      <c r="E27" s="91">
        <v>251.28</v>
      </c>
      <c r="F27" s="80">
        <f t="shared" ref="F27" si="17">((I$9*D27)+I$10)/C27/1000</f>
        <v>7.4385054681266613E-3</v>
      </c>
      <c r="G27" s="80">
        <f t="shared" ref="G27" si="18">((I$12*E27)+I$13)/C27/1000</f>
        <v>7.7725551043455665E-3</v>
      </c>
      <c r="H27" s="111">
        <v>0.625</v>
      </c>
      <c r="I27" s="81">
        <f>jar_information!M12</f>
        <v>43780.666666666664</v>
      </c>
      <c r="J27" s="82">
        <f t="shared" si="4"/>
        <v>0.95833333333575865</v>
      </c>
      <c r="K27" s="82">
        <f t="shared" si="8"/>
        <v>23.000000000058208</v>
      </c>
      <c r="L27" s="83">
        <f>jar_information!G12</f>
        <v>1074.8014191661935</v>
      </c>
      <c r="M27" s="82">
        <f t="shared" ref="M27" si="19">F27*L27</f>
        <v>7.9949162336180262</v>
      </c>
      <c r="N27" s="82">
        <f t="shared" ref="N27" si="20">M27*1.83</f>
        <v>14.630696707520988</v>
      </c>
      <c r="O27" s="84">
        <f t="shared" ref="O27" si="21">N27*(12/(12+(16*2)))</f>
        <v>3.9901900111420874</v>
      </c>
      <c r="P27" s="85">
        <f t="shared" ref="P27" si="22">O27*(400/(400+L27))</f>
        <v>1.0822311286893163</v>
      </c>
      <c r="Q27" s="86"/>
      <c r="R27" s="86">
        <f t="shared" ref="R27" si="23">Q27/314.7</f>
        <v>0</v>
      </c>
      <c r="S27" s="86">
        <f t="shared" ref="S27" si="24">R27/P27*100</f>
        <v>0</v>
      </c>
      <c r="T27" s="87">
        <f t="shared" ref="T27" si="25">F27*1000000</f>
        <v>7438.5054681266611</v>
      </c>
      <c r="U27" s="10">
        <f t="shared" ref="U27" si="26">M27/L27*100</f>
        <v>0.74385054681266616</v>
      </c>
      <c r="V27" s="103">
        <f t="shared" si="15"/>
        <v>0.17348652222312996</v>
      </c>
    </row>
    <row r="28" spans="1:22">
      <c r="A28" s="33" t="s">
        <v>162</v>
      </c>
      <c r="B28" s="77">
        <f t="shared" si="3"/>
        <v>43781.625</v>
      </c>
      <c r="C28" s="49">
        <v>1</v>
      </c>
      <c r="D28" s="90">
        <v>717.99</v>
      </c>
      <c r="E28" s="91">
        <v>202.13</v>
      </c>
      <c r="F28" s="80">
        <f t="shared" si="6"/>
        <v>6.1823879524768258E-3</v>
      </c>
      <c r="G28" s="80">
        <f t="shared" si="7"/>
        <v>6.1770761137820663E-3</v>
      </c>
      <c r="H28" s="111">
        <v>0.625</v>
      </c>
      <c r="I28" s="81">
        <f>jar_information!M13</f>
        <v>43780.666666666664</v>
      </c>
      <c r="J28" s="82">
        <f t="shared" si="4"/>
        <v>0.95833333333575865</v>
      </c>
      <c r="K28" s="82">
        <f t="shared" si="8"/>
        <v>23.000000000058208</v>
      </c>
      <c r="L28" s="83">
        <f>jar_information!G13</f>
        <v>1089.8750280625609</v>
      </c>
      <c r="M28" s="82">
        <f t="shared" si="9"/>
        <v>6.7380302431993186</v>
      </c>
      <c r="N28" s="82">
        <f t="shared" si="10"/>
        <v>12.330595345054753</v>
      </c>
      <c r="O28" s="84">
        <f t="shared" si="5"/>
        <v>3.3628896395603869</v>
      </c>
      <c r="P28" s="85">
        <f t="shared" si="11"/>
        <v>0.90286489167712314</v>
      </c>
      <c r="Q28" s="86"/>
      <c r="R28" s="86">
        <f t="shared" si="12"/>
        <v>0</v>
      </c>
      <c r="S28" s="86">
        <f t="shared" si="16"/>
        <v>0</v>
      </c>
      <c r="T28" s="87">
        <f t="shared" si="13"/>
        <v>6182.3879524768263</v>
      </c>
      <c r="U28" s="10">
        <f t="shared" si="14"/>
        <v>0.61823879524768255</v>
      </c>
      <c r="V28" s="103">
        <f t="shared" si="15"/>
        <v>0.14621259302399461</v>
      </c>
    </row>
    <row r="29" spans="1:22">
      <c r="A29" s="33" t="s">
        <v>163</v>
      </c>
      <c r="B29" s="77">
        <f t="shared" si="3"/>
        <v>43781.625</v>
      </c>
      <c r="C29" s="49">
        <v>1</v>
      </c>
      <c r="D29" s="90">
        <v>691.57</v>
      </c>
      <c r="E29" s="91">
        <v>199.7</v>
      </c>
      <c r="F29" s="80">
        <f t="shared" si="6"/>
        <v>5.9495810442799224E-3</v>
      </c>
      <c r="G29" s="80">
        <f t="shared" si="7"/>
        <v>6.0981948534144298E-3</v>
      </c>
      <c r="H29" s="111">
        <v>0.625</v>
      </c>
      <c r="I29" s="81">
        <f>jar_information!M14</f>
        <v>43780.666666666664</v>
      </c>
      <c r="J29" s="82">
        <f t="shared" si="4"/>
        <v>0.95833333333575865</v>
      </c>
      <c r="K29" s="82">
        <f t="shared" si="8"/>
        <v>23.000000000058208</v>
      </c>
      <c r="L29" s="83">
        <f>jar_information!G14</f>
        <v>1089.8750280625609</v>
      </c>
      <c r="M29" s="82">
        <f t="shared" si="9"/>
        <v>6.4842998075950611</v>
      </c>
      <c r="N29" s="82">
        <f t="shared" si="10"/>
        <v>11.866268647898963</v>
      </c>
      <c r="O29" s="84">
        <f t="shared" si="5"/>
        <v>3.236255085790626</v>
      </c>
      <c r="P29" s="85">
        <f t="shared" si="11"/>
        <v>0.86886618671609372</v>
      </c>
      <c r="Q29" s="86"/>
      <c r="R29" s="86">
        <f t="shared" si="12"/>
        <v>0</v>
      </c>
      <c r="S29" s="86">
        <f t="shared" si="16"/>
        <v>0</v>
      </c>
      <c r="T29" s="87">
        <f t="shared" si="13"/>
        <v>5949.581044279922</v>
      </c>
      <c r="U29" s="10">
        <f t="shared" si="14"/>
        <v>0.59495810442799224</v>
      </c>
      <c r="V29" s="103">
        <f t="shared" si="15"/>
        <v>0.1407067428601059</v>
      </c>
    </row>
    <row r="30" spans="1:22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>
      <c r="A33" s="23"/>
      <c r="B33" s="77"/>
      <c r="C33" s="54"/>
      <c r="D33" s="54"/>
      <c r="E33" s="54"/>
      <c r="F33" s="100"/>
      <c r="G33" s="100"/>
      <c r="H33" s="100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>
      <c r="A43" s="23"/>
      <c r="B43" s="77"/>
      <c r="C43" s="54"/>
      <c r="D43" s="54"/>
      <c r="E43" s="54"/>
      <c r="F43" s="100"/>
      <c r="G43" s="100"/>
      <c r="H43" s="101"/>
      <c r="I43" s="77"/>
      <c r="J43" s="82"/>
      <c r="K43" s="82"/>
      <c r="L43" s="83"/>
      <c r="M43" s="82"/>
      <c r="N43" s="82"/>
      <c r="O43" s="84"/>
      <c r="P43" s="85"/>
      <c r="Q43" s="86"/>
      <c r="R43" s="86"/>
      <c r="S43" s="86"/>
      <c r="T43" s="87"/>
      <c r="U43" s="10"/>
    </row>
    <row r="44" spans="1:21">
      <c r="C44" s="102"/>
      <c r="D44" s="102"/>
      <c r="E44" s="102"/>
      <c r="F44" s="102"/>
      <c r="G44" s="102"/>
      <c r="H44" s="102"/>
      <c r="I44" s="102"/>
    </row>
    <row r="45" spans="1:21">
      <c r="C45" s="102"/>
      <c r="D45" s="102"/>
      <c r="E45" s="102"/>
      <c r="F45" s="102"/>
      <c r="G45" s="102"/>
      <c r="H45" s="102"/>
      <c r="I45" s="102"/>
    </row>
    <row r="46" spans="1:21">
      <c r="C46" s="102"/>
      <c r="D46" s="102"/>
      <c r="E46" s="102"/>
      <c r="F46" s="102"/>
      <c r="G46" s="102"/>
      <c r="H46" s="102"/>
      <c r="I46" s="102"/>
    </row>
  </sheetData>
  <conditionalFormatting sqref="O18:O43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</vt:lpstr>
      <vt:lpstr>Pre12.11.19</vt:lpstr>
      <vt:lpstr>Pre13.11.19</vt:lpstr>
      <vt:lpstr>Pre14.11.19</vt:lpstr>
      <vt:lpstr>Pre15.11.19</vt:lpstr>
      <vt:lpstr>Inc18.11.19</vt:lpstr>
      <vt:lpstr>Inc21.11.19</vt:lpstr>
      <vt:lpstr>Inc22.11.19</vt:lpstr>
      <vt:lpstr>dried-2019-flux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2019-11-15T13:30:27Z</cp:lastPrinted>
  <dcterms:created xsi:type="dcterms:W3CDTF">2018-06-07T19:49:10Z</dcterms:created>
  <dcterms:modified xsi:type="dcterms:W3CDTF">2020-04-21T16:39:23Z</dcterms:modified>
</cp:coreProperties>
</file>