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19095" windowHeight="8340" firstSheet="2" activeTab="2"/>
  </bookViews>
  <sheets>
    <sheet name="Methods" sheetId="9" r:id="rId1"/>
    <sheet name="Sieving" sheetId="1" r:id="rId2"/>
    <sheet name="Dryweights" sheetId="2" r:id="rId3"/>
    <sheet name="WHC" sheetId="4" r:id="rId4"/>
    <sheet name="CO2 Template" sheetId="7" r:id="rId5"/>
    <sheet name="Leakage" sheetId="14" r:id="rId6"/>
    <sheet name="jar_information" sheetId="5" r:id="rId7"/>
    <sheet name="12.11.19" sheetId="6" r:id="rId8"/>
  </sheets>
  <calcPr calcId="145621"/>
</workbook>
</file>

<file path=xl/calcChain.xml><?xml version="1.0" encoding="utf-8"?>
<calcChain xmlns="http://schemas.openxmlformats.org/spreadsheetml/2006/main">
  <c r="A52" i="6" l="1"/>
  <c r="A53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36" i="6"/>
  <c r="B18" i="6" l="1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J32" i="6" s="1"/>
  <c r="K32" i="6" s="1"/>
  <c r="B33" i="6"/>
  <c r="B34" i="6"/>
  <c r="J34" i="6" s="1"/>
  <c r="K34" i="6" s="1"/>
  <c r="B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17" i="6"/>
  <c r="K20" i="5"/>
  <c r="F20" i="5" s="1"/>
  <c r="G20" i="5" s="1"/>
  <c r="L34" i="6" s="1"/>
  <c r="K15" i="5"/>
  <c r="F15" i="5" s="1"/>
  <c r="G15" i="5" s="1"/>
  <c r="L29" i="6" s="1"/>
  <c r="K16" i="5"/>
  <c r="F16" i="5" s="1"/>
  <c r="G16" i="5" s="1"/>
  <c r="L30" i="6" s="1"/>
  <c r="F17" i="5"/>
  <c r="G17" i="5" s="1"/>
  <c r="L31" i="6" s="1"/>
  <c r="K17" i="5"/>
  <c r="F18" i="5"/>
  <c r="G18" i="5"/>
  <c r="L32" i="6" s="1"/>
  <c r="K18" i="5"/>
  <c r="K19" i="5"/>
  <c r="F19" i="5" s="1"/>
  <c r="G19" i="5" s="1"/>
  <c r="L33" i="6" s="1"/>
  <c r="F34" i="6"/>
  <c r="T34" i="6" s="1"/>
  <c r="G34" i="6"/>
  <c r="R34" i="6"/>
  <c r="F29" i="6"/>
  <c r="T29" i="6" s="1"/>
  <c r="G29" i="6"/>
  <c r="J29" i="6"/>
  <c r="K29" i="6" s="1"/>
  <c r="R29" i="6"/>
  <c r="F30" i="6"/>
  <c r="T30" i="6" s="1"/>
  <c r="G30" i="6"/>
  <c r="J30" i="6"/>
  <c r="K30" i="6" s="1"/>
  <c r="R30" i="6"/>
  <c r="F31" i="6"/>
  <c r="G31" i="6"/>
  <c r="R31" i="6"/>
  <c r="F32" i="6"/>
  <c r="G32" i="6"/>
  <c r="R32" i="6"/>
  <c r="F33" i="6"/>
  <c r="T33" i="6" s="1"/>
  <c r="G33" i="6"/>
  <c r="J33" i="6"/>
  <c r="K33" i="6" s="1"/>
  <c r="R33" i="6"/>
  <c r="J31" i="6" l="1"/>
  <c r="K31" i="6" s="1"/>
  <c r="M34" i="6"/>
  <c r="N34" i="6" s="1"/>
  <c r="O34" i="6" s="1"/>
  <c r="M33" i="6"/>
  <c r="N33" i="6" s="1"/>
  <c r="O33" i="6" s="1"/>
  <c r="M32" i="6"/>
  <c r="U32" i="6" s="1"/>
  <c r="M31" i="6"/>
  <c r="N31" i="6" s="1"/>
  <c r="O31" i="6" s="1"/>
  <c r="M29" i="6"/>
  <c r="N29" i="6" s="1"/>
  <c r="O29" i="6" s="1"/>
  <c r="T32" i="6"/>
  <c r="T31" i="6"/>
  <c r="M30" i="6"/>
  <c r="U34" i="6" l="1"/>
  <c r="U31" i="6"/>
  <c r="U29" i="6"/>
  <c r="N32" i="6"/>
  <c r="O32" i="6" s="1"/>
  <c r="V32" i="6" s="1"/>
  <c r="U33" i="6"/>
  <c r="P34" i="6"/>
  <c r="S34" i="6" s="1"/>
  <c r="V34" i="6"/>
  <c r="U30" i="6"/>
  <c r="N30" i="6"/>
  <c r="O30" i="6" s="1"/>
  <c r="P31" i="6"/>
  <c r="S31" i="6" s="1"/>
  <c r="V31" i="6"/>
  <c r="P33" i="6"/>
  <c r="S33" i="6" s="1"/>
  <c r="V33" i="6"/>
  <c r="P29" i="6"/>
  <c r="S29" i="6" s="1"/>
  <c r="V29" i="6"/>
  <c r="P32" i="6"/>
  <c r="S32" i="6" s="1"/>
  <c r="P30" i="6" l="1"/>
  <c r="S30" i="6" s="1"/>
  <c r="V30" i="6"/>
  <c r="M5" i="4" l="1"/>
  <c r="Q6" i="4" l="1"/>
  <c r="Q7" i="4"/>
  <c r="Q8" i="4"/>
  <c r="T8" i="4"/>
  <c r="Q9" i="4"/>
  <c r="Q10" i="4"/>
  <c r="T6" i="4"/>
  <c r="T7" i="4"/>
  <c r="T9" i="4"/>
  <c r="T10" i="4"/>
  <c r="S20" i="4"/>
  <c r="S21" i="4"/>
  <c r="S22" i="4"/>
  <c r="S23" i="4"/>
  <c r="S24" i="4"/>
  <c r="S19" i="4"/>
  <c r="I6" i="4"/>
  <c r="I7" i="4"/>
  <c r="I8" i="4"/>
  <c r="I9" i="4"/>
  <c r="I10" i="4"/>
  <c r="H6" i="4"/>
  <c r="H7" i="4"/>
  <c r="H8" i="4"/>
  <c r="H9" i="4"/>
  <c r="H10" i="4"/>
  <c r="D6" i="4"/>
  <c r="D7" i="4"/>
  <c r="D8" i="4"/>
  <c r="D9" i="4"/>
  <c r="D10" i="4"/>
  <c r="D11" i="4"/>
  <c r="I11" i="4" s="1"/>
  <c r="M11" i="4" s="1"/>
  <c r="D12" i="4"/>
  <c r="I12" i="4" s="1"/>
  <c r="M12" i="4" s="1"/>
  <c r="D13" i="4"/>
  <c r="I13" i="4" s="1"/>
  <c r="M13" i="4" s="1"/>
  <c r="D14" i="4"/>
  <c r="I14" i="4" s="1"/>
  <c r="M14" i="4" s="1"/>
  <c r="D15" i="4"/>
  <c r="I15" i="4" s="1"/>
  <c r="M15" i="4" s="1"/>
  <c r="D16" i="4"/>
  <c r="I16" i="4" s="1"/>
  <c r="M16" i="4" s="1"/>
  <c r="I5" i="4"/>
  <c r="H5" i="4"/>
  <c r="D5" i="4"/>
  <c r="L4" i="1"/>
  <c r="L5" i="1"/>
  <c r="L6" i="1"/>
  <c r="L7" i="1"/>
  <c r="L3" i="1"/>
  <c r="G5" i="4"/>
  <c r="K4" i="1"/>
  <c r="K5" i="1"/>
  <c r="K6" i="1"/>
  <c r="K7" i="1"/>
  <c r="K3" i="1"/>
  <c r="J4" i="1"/>
  <c r="J5" i="1"/>
  <c r="J6" i="1"/>
  <c r="J7" i="1"/>
  <c r="J3" i="1"/>
  <c r="I13" i="6"/>
  <c r="I12" i="6"/>
  <c r="I10" i="6"/>
  <c r="I9" i="6"/>
  <c r="F26" i="6" s="1"/>
  <c r="F14" i="6"/>
  <c r="J24" i="6"/>
  <c r="K24" i="6" s="1"/>
  <c r="J18" i="6"/>
  <c r="K18" i="6" s="1"/>
  <c r="J19" i="6"/>
  <c r="K19" i="6" s="1"/>
  <c r="J20" i="6"/>
  <c r="K20" i="6" s="1"/>
  <c r="J21" i="6"/>
  <c r="K21" i="6" s="1"/>
  <c r="J22" i="6"/>
  <c r="K22" i="6" s="1"/>
  <c r="J23" i="6"/>
  <c r="K23" i="6" s="1"/>
  <c r="J25" i="6"/>
  <c r="K25" i="6" s="1"/>
  <c r="J26" i="6"/>
  <c r="K26" i="6" s="1"/>
  <c r="J27" i="6"/>
  <c r="K27" i="6" s="1"/>
  <c r="J28" i="6"/>
  <c r="K28" i="6" s="1"/>
  <c r="J17" i="6"/>
  <c r="K17" i="6" s="1"/>
  <c r="R26" i="6"/>
  <c r="R28" i="6"/>
  <c r="R27" i="6"/>
  <c r="R25" i="6"/>
  <c r="R24" i="6"/>
  <c r="R23" i="6"/>
  <c r="R22" i="6"/>
  <c r="R21" i="6"/>
  <c r="R20" i="6"/>
  <c r="R19" i="6"/>
  <c r="R18" i="6"/>
  <c r="R17" i="6"/>
  <c r="F13" i="6"/>
  <c r="F12" i="6"/>
  <c r="F11" i="6"/>
  <c r="F10" i="6"/>
  <c r="F9" i="6"/>
  <c r="F8" i="6"/>
  <c r="F7" i="6"/>
  <c r="F6" i="6"/>
  <c r="F5" i="6"/>
  <c r="F4" i="6"/>
  <c r="F3" i="6"/>
  <c r="K12" i="5"/>
  <c r="F12" i="5" s="1"/>
  <c r="G12" i="5" s="1"/>
  <c r="K13" i="5"/>
  <c r="F13" i="5" s="1"/>
  <c r="G13" i="5" s="1"/>
  <c r="K14" i="5"/>
  <c r="F14" i="5" s="1"/>
  <c r="G14" i="5" s="1"/>
  <c r="K11" i="5"/>
  <c r="F11" i="5" s="1"/>
  <c r="G11" i="5" s="1"/>
  <c r="K10" i="5"/>
  <c r="F10" i="5" s="1"/>
  <c r="G10" i="5" s="1"/>
  <c r="K9" i="5"/>
  <c r="F9" i="5" s="1"/>
  <c r="G9" i="5" s="1"/>
  <c r="K8" i="5"/>
  <c r="F8" i="5" s="1"/>
  <c r="G8" i="5" s="1"/>
  <c r="K7" i="5"/>
  <c r="F7" i="5" s="1"/>
  <c r="G7" i="5" s="1"/>
  <c r="K6" i="5"/>
  <c r="F6" i="5" s="1"/>
  <c r="G6" i="5" s="1"/>
  <c r="K5" i="5"/>
  <c r="F5" i="5" s="1"/>
  <c r="G5" i="5" s="1"/>
  <c r="K4" i="5"/>
  <c r="F4" i="5" s="1"/>
  <c r="G4" i="5" s="1"/>
  <c r="K3" i="5"/>
  <c r="F3" i="5" s="1"/>
  <c r="G3" i="5" s="1"/>
  <c r="G26" i="6"/>
  <c r="G27" i="6"/>
  <c r="G24" i="6"/>
  <c r="G22" i="6"/>
  <c r="G20" i="6"/>
  <c r="G18" i="6"/>
  <c r="G28" i="6"/>
  <c r="G25" i="6"/>
  <c r="G23" i="6"/>
  <c r="G21" i="6"/>
  <c r="G19" i="6"/>
  <c r="G17" i="6"/>
  <c r="F27" i="6"/>
  <c r="F24" i="6"/>
  <c r="F22" i="6"/>
  <c r="T22" i="6" s="1"/>
  <c r="F20" i="6"/>
  <c r="T20" i="6" s="1"/>
  <c r="F18" i="6"/>
  <c r="T18" i="6" s="1"/>
  <c r="F28" i="6"/>
  <c r="T28" i="6" s="1"/>
  <c r="F25" i="6"/>
  <c r="T25" i="6" s="1"/>
  <c r="F23" i="6"/>
  <c r="T23" i="6" s="1"/>
  <c r="F21" i="6"/>
  <c r="T21" i="6" s="1"/>
  <c r="F19" i="6"/>
  <c r="T19" i="6" s="1"/>
  <c r="F17" i="6"/>
  <c r="T17" i="6" s="1"/>
  <c r="E4" i="2"/>
  <c r="E5" i="2"/>
  <c r="E6" i="2"/>
  <c r="I6" i="2"/>
  <c r="E7" i="2"/>
  <c r="I7" i="2"/>
  <c r="E8" i="2"/>
  <c r="E9" i="2"/>
  <c r="E10" i="2"/>
  <c r="I10" i="2"/>
  <c r="E11" i="2"/>
  <c r="I11" i="2"/>
  <c r="E12" i="2"/>
  <c r="E13" i="2"/>
  <c r="I13" i="2"/>
  <c r="E14" i="2"/>
  <c r="I14" i="2"/>
  <c r="E15" i="2"/>
  <c r="I15" i="2"/>
  <c r="E16" i="2"/>
  <c r="E17" i="2"/>
  <c r="I17" i="2"/>
  <c r="E18" i="2"/>
  <c r="I18" i="2"/>
  <c r="E19" i="2"/>
  <c r="I19" i="2"/>
  <c r="E20" i="2"/>
  <c r="I4" i="2"/>
  <c r="I5" i="2"/>
  <c r="I8" i="2"/>
  <c r="I9" i="2"/>
  <c r="I12" i="2"/>
  <c r="I16" i="2"/>
  <c r="I20" i="2"/>
  <c r="E3" i="2"/>
  <c r="I3" i="2"/>
  <c r="M6" i="4"/>
  <c r="M7" i="4"/>
  <c r="M8" i="4"/>
  <c r="G9" i="4"/>
  <c r="G10" i="4"/>
  <c r="G12" i="4"/>
  <c r="H12" i="4" s="1"/>
  <c r="G16" i="4"/>
  <c r="H16" i="4" s="1"/>
  <c r="O16" i="4"/>
  <c r="O15" i="4"/>
  <c r="O14" i="4"/>
  <c r="O13" i="4"/>
  <c r="O12" i="4"/>
  <c r="O11" i="4"/>
  <c r="G11" i="4"/>
  <c r="H11" i="4" s="1"/>
  <c r="O10" i="4"/>
  <c r="O9" i="4"/>
  <c r="O8" i="4"/>
  <c r="O7" i="4"/>
  <c r="O6" i="4"/>
  <c r="O5" i="4"/>
  <c r="G7" i="4"/>
  <c r="M10" i="4"/>
  <c r="G13" i="4"/>
  <c r="H13" i="4" s="1"/>
  <c r="M9" i="4"/>
  <c r="G14" i="4"/>
  <c r="H14" i="4" s="1"/>
  <c r="G6" i="4"/>
  <c r="P7" i="4"/>
  <c r="G8" i="4"/>
  <c r="G15" i="4"/>
  <c r="H15" i="4" s="1"/>
  <c r="P8" i="4"/>
  <c r="P6" i="4"/>
  <c r="P10" i="4"/>
  <c r="P9" i="4"/>
  <c r="G15" i="2"/>
  <c r="H15" i="2"/>
  <c r="L15" i="2"/>
  <c r="M15" i="2"/>
  <c r="G16" i="2"/>
  <c r="H16" i="2"/>
  <c r="Q16" i="2"/>
  <c r="R16" i="2"/>
  <c r="L16" i="2"/>
  <c r="M16" i="2"/>
  <c r="G17" i="2"/>
  <c r="H17" i="2"/>
  <c r="L17" i="2"/>
  <c r="M17" i="2"/>
  <c r="G18" i="2"/>
  <c r="H18" i="2"/>
  <c r="Q18" i="2"/>
  <c r="R18" i="2"/>
  <c r="L18" i="2"/>
  <c r="M18" i="2"/>
  <c r="G19" i="2"/>
  <c r="H19" i="2"/>
  <c r="L19" i="2"/>
  <c r="M19" i="2"/>
  <c r="G20" i="2"/>
  <c r="H20" i="2"/>
  <c r="Q20" i="2"/>
  <c r="R20" i="2"/>
  <c r="L20" i="2"/>
  <c r="M20" i="2"/>
  <c r="M14" i="2"/>
  <c r="L14" i="2"/>
  <c r="G14" i="2"/>
  <c r="H14" i="2"/>
  <c r="M13" i="2"/>
  <c r="L13" i="2"/>
  <c r="G13" i="2"/>
  <c r="H13" i="2"/>
  <c r="M12" i="2"/>
  <c r="L12" i="2"/>
  <c r="G12" i="2"/>
  <c r="H12" i="2"/>
  <c r="Q12" i="2"/>
  <c r="R12" i="2"/>
  <c r="M11" i="2"/>
  <c r="L11" i="2"/>
  <c r="G11" i="2"/>
  <c r="H11" i="2"/>
  <c r="Q11" i="2"/>
  <c r="R11" i="2"/>
  <c r="M10" i="2"/>
  <c r="L10" i="2"/>
  <c r="G10" i="2"/>
  <c r="H10" i="2"/>
  <c r="M9" i="2"/>
  <c r="L9" i="2"/>
  <c r="G9" i="2"/>
  <c r="H9" i="2"/>
  <c r="M8" i="2"/>
  <c r="L8" i="2"/>
  <c r="G8" i="2"/>
  <c r="H8" i="2"/>
  <c r="Q8" i="2"/>
  <c r="R8" i="2"/>
  <c r="M7" i="2"/>
  <c r="L7" i="2"/>
  <c r="G7" i="2"/>
  <c r="H7" i="2"/>
  <c r="Q7" i="2"/>
  <c r="R7" i="2"/>
  <c r="M6" i="2"/>
  <c r="L6" i="2"/>
  <c r="G6" i="2"/>
  <c r="H6" i="2"/>
  <c r="M5" i="2"/>
  <c r="L5" i="2"/>
  <c r="G5" i="2"/>
  <c r="H5" i="2"/>
  <c r="M4" i="2"/>
  <c r="L4" i="2"/>
  <c r="G4" i="2"/>
  <c r="H4" i="2"/>
  <c r="Q4" i="2"/>
  <c r="R4" i="2"/>
  <c r="M3" i="2"/>
  <c r="L3" i="2"/>
  <c r="G3" i="2"/>
  <c r="H3" i="2"/>
  <c r="Q3" i="2"/>
  <c r="R3" i="2"/>
  <c r="N5" i="2"/>
  <c r="O5" i="2"/>
  <c r="N9" i="2"/>
  <c r="O9" i="2"/>
  <c r="N13" i="2"/>
  <c r="O13" i="2"/>
  <c r="N19" i="2"/>
  <c r="O19" i="2"/>
  <c r="N15" i="2"/>
  <c r="O15" i="2"/>
  <c r="N18" i="2"/>
  <c r="O18" i="2"/>
  <c r="S18" i="2"/>
  <c r="Q19" i="2"/>
  <c r="R19" i="2"/>
  <c r="Q15" i="2"/>
  <c r="R15" i="2"/>
  <c r="N12" i="2"/>
  <c r="O12" i="2"/>
  <c r="S12" i="2"/>
  <c r="N8" i="2"/>
  <c r="O8" i="2"/>
  <c r="S8" i="2"/>
  <c r="N4" i="2"/>
  <c r="O4" i="2"/>
  <c r="S4" i="2"/>
  <c r="N3" i="2"/>
  <c r="O3" i="2"/>
  <c r="S3" i="2"/>
  <c r="Q17" i="2"/>
  <c r="R17" i="2"/>
  <c r="N17" i="2"/>
  <c r="O17" i="2"/>
  <c r="N20" i="2"/>
  <c r="O20" i="2"/>
  <c r="S20" i="2"/>
  <c r="N16" i="2"/>
  <c r="O16" i="2"/>
  <c r="S16" i="2"/>
  <c r="N14" i="2"/>
  <c r="O14" i="2"/>
  <c r="Q14" i="2"/>
  <c r="R14" i="2"/>
  <c r="Q10" i="2"/>
  <c r="R10" i="2"/>
  <c r="N10" i="2"/>
  <c r="O10" i="2"/>
  <c r="N6" i="2"/>
  <c r="O6" i="2"/>
  <c r="Q6" i="2"/>
  <c r="R6" i="2"/>
  <c r="N11" i="2"/>
  <c r="O11" i="2"/>
  <c r="S11" i="2"/>
  <c r="N7" i="2"/>
  <c r="O7" i="2"/>
  <c r="S7" i="2"/>
  <c r="Q5" i="2"/>
  <c r="R5" i="2"/>
  <c r="S5" i="2"/>
  <c r="Q9" i="2"/>
  <c r="R9" i="2"/>
  <c r="S9" i="2"/>
  <c r="Q13" i="2"/>
  <c r="R13" i="2"/>
  <c r="S13" i="2"/>
  <c r="S15" i="2"/>
  <c r="S19" i="2"/>
  <c r="S10" i="2"/>
  <c r="S6" i="2"/>
  <c r="S17" i="2"/>
  <c r="S14" i="2"/>
  <c r="P5" i="4"/>
  <c r="Q5" i="4"/>
  <c r="T5" i="4"/>
  <c r="L19" i="6" l="1"/>
  <c r="L22" i="6"/>
  <c r="M22" i="6" s="1"/>
  <c r="N22" i="6" s="1"/>
  <c r="O22" i="6" s="1"/>
  <c r="P22" i="6" s="1"/>
  <c r="S22" i="6" s="1"/>
  <c r="L20" i="6"/>
  <c r="M20" i="6" s="1"/>
  <c r="U20" i="6" s="1"/>
  <c r="L25" i="6"/>
  <c r="M25" i="6" s="1"/>
  <c r="L26" i="6"/>
  <c r="M26" i="6" s="1"/>
  <c r="L18" i="6"/>
  <c r="M18" i="6" s="1"/>
  <c r="N18" i="6" s="1"/>
  <c r="O18" i="6" s="1"/>
  <c r="P18" i="6" s="1"/>
  <c r="S18" i="6" s="1"/>
  <c r="L23" i="6"/>
  <c r="M23" i="6" s="1"/>
  <c r="L28" i="6"/>
  <c r="M28" i="6" s="1"/>
  <c r="N28" i="6" s="1"/>
  <c r="O28" i="6" s="1"/>
  <c r="P28" i="6" s="1"/>
  <c r="S28" i="6" s="1"/>
  <c r="L21" i="6"/>
  <c r="M21" i="6" s="1"/>
  <c r="N21" i="6" s="1"/>
  <c r="O21" i="6" s="1"/>
  <c r="P21" i="6" s="1"/>
  <c r="S21" i="6" s="1"/>
  <c r="L24" i="6"/>
  <c r="M24" i="6" s="1"/>
  <c r="N24" i="6" s="1"/>
  <c r="O24" i="6" s="1"/>
  <c r="P24" i="6" s="1"/>
  <c r="S24" i="6" s="1"/>
  <c r="L27" i="6"/>
  <c r="M27" i="6" s="1"/>
  <c r="M19" i="6"/>
  <c r="U19" i="6" s="1"/>
  <c r="L17" i="6"/>
  <c r="M17" i="6" s="1"/>
  <c r="T27" i="6"/>
  <c r="T24" i="6"/>
  <c r="U21" i="6"/>
  <c r="T26" i="6"/>
  <c r="P13" i="4"/>
  <c r="Q13" i="4"/>
  <c r="T13" i="4" s="1"/>
  <c r="P12" i="4"/>
  <c r="Q12" i="4"/>
  <c r="T12" i="4" s="1"/>
  <c r="P16" i="4"/>
  <c r="Q16" i="4"/>
  <c r="T16" i="4" s="1"/>
  <c r="P15" i="4"/>
  <c r="Q15" i="4"/>
  <c r="T15" i="4" s="1"/>
  <c r="P14" i="4"/>
  <c r="Q14" i="4"/>
  <c r="T14" i="4" s="1"/>
  <c r="P11" i="4"/>
  <c r="Q11" i="4"/>
  <c r="T11" i="4" s="1"/>
  <c r="V28" i="6" l="1"/>
  <c r="N19" i="6"/>
  <c r="O19" i="6" s="1"/>
  <c r="P19" i="6" s="1"/>
  <c r="S19" i="6" s="1"/>
  <c r="V21" i="6"/>
  <c r="N20" i="6"/>
  <c r="O20" i="6" s="1"/>
  <c r="P20" i="6" s="1"/>
  <c r="S20" i="6" s="1"/>
  <c r="U22" i="6"/>
  <c r="U28" i="6"/>
  <c r="U24" i="6"/>
  <c r="U18" i="6"/>
  <c r="V18" i="6"/>
  <c r="N27" i="6"/>
  <c r="O27" i="6" s="1"/>
  <c r="U27" i="6"/>
  <c r="V24" i="6"/>
  <c r="U23" i="6"/>
  <c r="N23" i="6"/>
  <c r="O23" i="6" s="1"/>
  <c r="N25" i="6"/>
  <c r="O25" i="6" s="1"/>
  <c r="U25" i="6"/>
  <c r="N17" i="6"/>
  <c r="O17" i="6" s="1"/>
  <c r="U17" i="6"/>
  <c r="V22" i="6"/>
  <c r="N26" i="6"/>
  <c r="O26" i="6" s="1"/>
  <c r="U26" i="6"/>
  <c r="V19" i="6" l="1"/>
  <c r="V20" i="6"/>
  <c r="P23" i="6"/>
  <c r="S23" i="6" s="1"/>
  <c r="V23" i="6"/>
  <c r="P25" i="6"/>
  <c r="S25" i="6" s="1"/>
  <c r="V25" i="6"/>
  <c r="P27" i="6"/>
  <c r="S27" i="6" s="1"/>
  <c r="V27" i="6"/>
  <c r="P17" i="6"/>
  <c r="S17" i="6" s="1"/>
  <c r="V17" i="6"/>
  <c r="P26" i="6"/>
  <c r="S26" i="6" s="1"/>
  <c r="V26" i="6"/>
</calcChain>
</file>

<file path=xl/sharedStrings.xml><?xml version="1.0" encoding="utf-8"?>
<sst xmlns="http://schemas.openxmlformats.org/spreadsheetml/2006/main" count="280" uniqueCount="158">
  <si>
    <t>Depth [cm]</t>
  </si>
  <si>
    <t>Sample Name</t>
  </si>
  <si>
    <t>Sampling Date</t>
  </si>
  <si>
    <t>Sample &lt;2mm [g]</t>
  </si>
  <si>
    <t>Bag [g]</t>
  </si>
  <si>
    <t>Number</t>
  </si>
  <si>
    <t>Sample</t>
  </si>
  <si>
    <t>glas empty [g]</t>
  </si>
  <si>
    <t>glas with soil [g]</t>
  </si>
  <si>
    <t>glas 105°C [g]</t>
  </si>
  <si>
    <t>water weight [g]</t>
  </si>
  <si>
    <t>TOC [%]</t>
  </si>
  <si>
    <t>IC [%]</t>
  </si>
  <si>
    <t>IC-corr [%]</t>
  </si>
  <si>
    <t>OC [%]</t>
  </si>
  <si>
    <t>OC-corr [%]</t>
  </si>
  <si>
    <t>OC-corr [g/kg]</t>
  </si>
  <si>
    <t>TN[%]</t>
  </si>
  <si>
    <t>TN-corr [%]</t>
  </si>
  <si>
    <t>TN-corr [g/kg]</t>
  </si>
  <si>
    <t>CN-ratio (corr)</t>
  </si>
  <si>
    <t>weight of glass</t>
  </si>
  <si>
    <t>fresh weight</t>
  </si>
  <si>
    <t>dry weight</t>
  </si>
  <si>
    <t>weight</t>
  </si>
  <si>
    <t>gravimetric</t>
  </si>
  <si>
    <t>dry matter content</t>
  </si>
  <si>
    <t>weight of Falcon tube</t>
  </si>
  <si>
    <t>fresh weight (brutto)</t>
  </si>
  <si>
    <t>fresh weight (netto)</t>
  </si>
  <si>
    <t>dry weight (netto)</t>
  </si>
  <si>
    <t>weight 100%WHC(brutto)</t>
  </si>
  <si>
    <t>weight 100%WHC(netto)</t>
  </si>
  <si>
    <t>WHCmax fresh sample [%]</t>
  </si>
  <si>
    <t>factor WHC 60%</t>
  </si>
  <si>
    <t>OC</t>
  </si>
  <si>
    <t>sample weight (dry)</t>
  </si>
  <si>
    <t>water addition for 60% WHC</t>
  </si>
  <si>
    <t>with glass</t>
  </si>
  <si>
    <t>water</t>
  </si>
  <si>
    <t>water content</t>
  </si>
  <si>
    <t>with Falcon Tube</t>
  </si>
  <si>
    <t>without Falcon Tube</t>
  </si>
  <si>
    <t>without Falcon tube</t>
  </si>
  <si>
    <t>[g]</t>
  </si>
  <si>
    <t>(105°C) [g]</t>
  </si>
  <si>
    <t>(105°C) [%]</t>
  </si>
  <si>
    <t>[%]</t>
  </si>
  <si>
    <t>fresh weight [g]</t>
  </si>
  <si>
    <t>drymatter content</t>
  </si>
  <si>
    <t>water content [%]</t>
  </si>
  <si>
    <t>Date</t>
  </si>
  <si>
    <t>P_sample</t>
  </si>
  <si>
    <t>P_leakage_S</t>
  </si>
  <si>
    <t>P_atm</t>
  </si>
  <si>
    <t>mean_V_pump</t>
  </si>
  <si>
    <t>V_sample</t>
  </si>
  <si>
    <t>P_std_jar</t>
  </si>
  <si>
    <t>P_diff_zero</t>
  </si>
  <si>
    <t>V_std_jar</t>
  </si>
  <si>
    <t>V_pump</t>
  </si>
  <si>
    <t>Start_Date_Incubation</t>
  </si>
  <si>
    <t>Preincubation</t>
  </si>
  <si>
    <t>[hPa]</t>
  </si>
  <si>
    <t>[ml]</t>
  </si>
  <si>
    <t>inj. volume</t>
  </si>
  <si>
    <t>CO2 conc.</t>
  </si>
  <si>
    <t>peak area</t>
  </si>
  <si>
    <t>peak height</t>
  </si>
  <si>
    <t>inj. Vol. CO2</t>
  </si>
  <si>
    <t>ml</t>
  </si>
  <si>
    <t>dd/mm/yyyy</t>
  </si>
  <si>
    <r>
      <t>ppm (</t>
    </r>
    <r>
      <rPr>
        <i/>
        <sz val="11"/>
        <color indexed="8"/>
        <rFont val="Calibri"/>
        <family val="2"/>
      </rPr>
      <t>µ</t>
    </r>
    <r>
      <rPr>
        <i/>
        <sz val="11"/>
        <color indexed="8"/>
        <rFont val="Calibri"/>
        <family val="2"/>
        <scheme val="minor"/>
      </rPr>
      <t>l l</t>
    </r>
    <r>
      <rPr>
        <i/>
        <vertAlign val="superscript"/>
        <sz val="11"/>
        <color indexed="8"/>
        <rFont val="Calibri"/>
        <family val="2"/>
        <scheme val="minor"/>
      </rPr>
      <t>-1</t>
    </r>
    <r>
      <rPr>
        <i/>
        <sz val="11"/>
        <color indexed="8"/>
        <rFont val="Calibri"/>
        <family val="2"/>
        <scheme val="minor"/>
      </rPr>
      <t>)</t>
    </r>
  </si>
  <si>
    <t>units</t>
  </si>
  <si>
    <t xml:space="preserve">µl </t>
  </si>
  <si>
    <t>Slope_area</t>
  </si>
  <si>
    <t>intercept_area</t>
  </si>
  <si>
    <t>slope_peak</t>
  </si>
  <si>
    <t>intercept_peak</t>
  </si>
  <si>
    <t>Sample site</t>
  </si>
  <si>
    <t>End_Date</t>
  </si>
  <si>
    <t>Volume</t>
  </si>
  <si>
    <r>
      <t>CO</t>
    </r>
    <r>
      <rPr>
        <b/>
        <vertAlign val="subscript"/>
        <sz val="11"/>
        <color indexed="8"/>
        <rFont val="Calibri"/>
        <family val="2"/>
        <scheme val="minor"/>
      </rPr>
      <t xml:space="preserve">2 </t>
    </r>
    <r>
      <rPr>
        <b/>
        <sz val="11"/>
        <color indexed="8"/>
        <rFont val="Calibri"/>
        <family val="2"/>
        <scheme val="minor"/>
      </rPr>
      <t>Volume (area)</t>
    </r>
  </si>
  <si>
    <r>
      <t>CO</t>
    </r>
    <r>
      <rPr>
        <b/>
        <vertAlign val="subscript"/>
        <sz val="11"/>
        <color indexed="8"/>
        <rFont val="Calibri"/>
        <family val="2"/>
        <scheme val="minor"/>
      </rPr>
      <t xml:space="preserve">2 </t>
    </r>
    <r>
      <rPr>
        <b/>
        <sz val="11"/>
        <color indexed="8"/>
        <rFont val="Calibri"/>
        <family val="2"/>
        <scheme val="minor"/>
      </rPr>
      <t>Volume (height)</t>
    </r>
  </si>
  <si>
    <t>Start_Date</t>
  </si>
  <si>
    <t>Incubation/Dur.</t>
  </si>
  <si>
    <t>Jar volume</t>
  </si>
  <si>
    <r>
      <t>CO</t>
    </r>
    <r>
      <rPr>
        <b/>
        <vertAlign val="subscript"/>
        <sz val="11"/>
        <color indexed="8"/>
        <rFont val="Calibri"/>
        <family val="2"/>
        <scheme val="minor"/>
      </rPr>
      <t>2</t>
    </r>
  </si>
  <si>
    <r>
      <t>CO</t>
    </r>
    <r>
      <rPr>
        <b/>
        <vertAlign val="subscript"/>
        <sz val="11"/>
        <color indexed="8"/>
        <rFont val="Calibri"/>
        <family val="2"/>
        <scheme val="minor"/>
      </rPr>
      <t>2</t>
    </r>
    <r>
      <rPr>
        <b/>
        <sz val="11"/>
        <color indexed="8"/>
        <rFont val="Calibri"/>
        <family val="2"/>
        <scheme val="minor"/>
      </rPr>
      <t>/jar</t>
    </r>
  </si>
  <si>
    <r>
      <t>C</t>
    </r>
    <r>
      <rPr>
        <b/>
        <sz val="11"/>
        <color indexed="8"/>
        <rFont val="Calibri"/>
        <family val="2"/>
        <scheme val="minor"/>
      </rPr>
      <t>/jar</t>
    </r>
  </si>
  <si>
    <t>C/Canister</t>
  </si>
  <si>
    <t>C retrieval</t>
  </si>
  <si>
    <t>ppm CO2</t>
  </si>
  <si>
    <t>% CO2</t>
  </si>
  <si>
    <t>no</t>
  </si>
  <si>
    <t>dd/mm/yyyy hh:mm</t>
  </si>
  <si>
    <r>
      <t>ml CO</t>
    </r>
    <r>
      <rPr>
        <i/>
        <vertAlign val="subscript"/>
        <sz val="11"/>
        <color indexed="8"/>
        <rFont val="Calibri"/>
        <family val="2"/>
        <scheme val="minor"/>
      </rPr>
      <t>2</t>
    </r>
    <r>
      <rPr>
        <i/>
        <sz val="11"/>
        <color indexed="8"/>
        <rFont val="Calibri"/>
        <family val="2"/>
        <scheme val="minor"/>
      </rPr>
      <t xml:space="preserve">/ml  Air </t>
    </r>
  </si>
  <si>
    <r>
      <t>ml CO</t>
    </r>
    <r>
      <rPr>
        <i/>
        <vertAlign val="subscript"/>
        <sz val="11"/>
        <color indexed="8"/>
        <rFont val="Calibri"/>
        <family val="2"/>
        <scheme val="minor"/>
      </rPr>
      <t>2</t>
    </r>
    <r>
      <rPr>
        <i/>
        <sz val="11"/>
        <color indexed="8"/>
        <rFont val="Calibri"/>
        <family val="2"/>
        <scheme val="minor"/>
      </rPr>
      <t>/ml  Air</t>
    </r>
  </si>
  <si>
    <t>hours</t>
  </si>
  <si>
    <t>days</t>
  </si>
  <si>
    <t>mg</t>
  </si>
  <si>
    <t>mbar</t>
  </si>
  <si>
    <t>%</t>
  </si>
  <si>
    <t>Date:</t>
  </si>
  <si>
    <t>Time</t>
  </si>
  <si>
    <t>Peak area (Int)</t>
  </si>
  <si>
    <t>Peak height (Int Max)</t>
  </si>
  <si>
    <t>5,0</t>
  </si>
  <si>
    <t>4,4</t>
  </si>
  <si>
    <t>4,0</t>
  </si>
  <si>
    <t>3,4</t>
  </si>
  <si>
    <t>3,0</t>
  </si>
  <si>
    <t>2,4</t>
  </si>
  <si>
    <t>2,0</t>
  </si>
  <si>
    <t>1,4</t>
  </si>
  <si>
    <t>1,0</t>
  </si>
  <si>
    <t>0,4</t>
  </si>
  <si>
    <t>Name</t>
  </si>
  <si>
    <t>mg/h</t>
  </si>
  <si>
    <t>C production</t>
  </si>
  <si>
    <t>HEW22</t>
  </si>
  <si>
    <t>HEW41</t>
  </si>
  <si>
    <t>HEW42</t>
  </si>
  <si>
    <t>HEG10</t>
  </si>
  <si>
    <t>HEG32</t>
  </si>
  <si>
    <t>HEG48</t>
  </si>
  <si>
    <t>Field sample [g]</t>
  </si>
  <si>
    <t>Sieving rest [g]</t>
  </si>
  <si>
    <t>Field</t>
  </si>
  <si>
    <t>Water loss [g]</t>
  </si>
  <si>
    <t>Water loss [%]</t>
  </si>
  <si>
    <t>#</t>
  </si>
  <si>
    <t>P_Jar</t>
  </si>
  <si>
    <t>Leakage</t>
  </si>
  <si>
    <t>14C: samples were taken with evacuated Restek containers</t>
  </si>
  <si>
    <t>13C: samples were extracted with 60 ml syringe and injected in He flushed Exetainers (flushed for 30min at 30ml/min), two blanks of calibration gas were done</t>
  </si>
  <si>
    <t>Dried</t>
  </si>
  <si>
    <t>equivalent of dry soil approved by Jeff</t>
  </si>
  <si>
    <t>1_GRrf-L_1</t>
  </si>
  <si>
    <t>2_GRrf-L_2</t>
  </si>
  <si>
    <t>3_GRwf-L_1</t>
  </si>
  <si>
    <t>4_GRwf-L_2</t>
  </si>
  <si>
    <t>5_GRpp-L_1</t>
  </si>
  <si>
    <t>6_GRpp-L_2</t>
  </si>
  <si>
    <t>7_ANrf-L_1</t>
  </si>
  <si>
    <t>8_ANrf-L_2</t>
  </si>
  <si>
    <t>9_ANwf-L_1</t>
  </si>
  <si>
    <t>10_ANwf-L_2</t>
  </si>
  <si>
    <t>11_ANpp-L_1</t>
  </si>
  <si>
    <t>12_ANpp-L_2</t>
  </si>
  <si>
    <t>13_BSrf-L_1</t>
  </si>
  <si>
    <t>14_BSrf-L_2</t>
  </si>
  <si>
    <t>15_BSwf-L_1</t>
  </si>
  <si>
    <t>16_BSwf-L_2</t>
  </si>
  <si>
    <t>17_BSpp-L_1</t>
  </si>
  <si>
    <t>18_BSpp-L_2</t>
  </si>
  <si>
    <t>13C/14C sampling on 12.11.2019; 13:30-15:00</t>
  </si>
  <si>
    <t>_12112019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</si>
</sst>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"/>
    <numFmt numFmtId="165" formatCode="0.00000"/>
    <numFmt numFmtId="166" formatCode="0.0000"/>
    <numFmt numFmtId="167" formatCode="0.0"/>
    <numFmt numFmtId="168" formatCode="0.0%"/>
    <numFmt numFmtId="169" formatCode="h:mm;@"/>
  </numFmts>
  <fonts count="16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i/>
      <sz val="11"/>
      <color indexed="8"/>
      <name val="Calibri"/>
      <family val="2"/>
    </font>
    <font>
      <i/>
      <vertAlign val="superscript"/>
      <sz val="11"/>
      <color indexed="8"/>
      <name val="Calibri"/>
      <family val="2"/>
      <scheme val="minor"/>
    </font>
    <font>
      <b/>
      <sz val="11"/>
      <color theme="3" tint="0.39997558519241921"/>
      <name val="Calibri"/>
      <family val="2"/>
    </font>
    <font>
      <b/>
      <sz val="11"/>
      <color theme="5" tint="-0.249977111117893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vertAlign val="subscript"/>
      <sz val="11"/>
      <color indexed="8"/>
      <name val="Calibri"/>
      <family val="2"/>
      <scheme val="minor"/>
    </font>
    <font>
      <i/>
      <vertAlign val="subscript"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/>
    <xf numFmtId="2" fontId="0" fillId="3" borderId="0" xfId="0" applyNumberFormat="1" applyFill="1"/>
    <xf numFmtId="2" fontId="0" fillId="4" borderId="3" xfId="0" applyNumberFormat="1" applyFill="1" applyBorder="1"/>
    <xf numFmtId="2" fontId="0" fillId="0" borderId="0" xfId="0" applyNumberFormat="1"/>
    <xf numFmtId="2" fontId="0" fillId="4" borderId="4" xfId="0" applyNumberFormat="1" applyFill="1" applyBorder="1"/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 wrapText="1"/>
    </xf>
    <xf numFmtId="16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0" xfId="0" applyFill="1" applyAlignment="1">
      <alignment horizontal="left"/>
    </xf>
    <xf numFmtId="9" fontId="0" fillId="3" borderId="0" xfId="0" applyNumberFormat="1" applyFill="1"/>
    <xf numFmtId="0" fontId="3" fillId="9" borderId="0" xfId="1" applyFont="1" applyFill="1" applyBorder="1" applyAlignment="1">
      <alignment horizontal="center"/>
    </xf>
    <xf numFmtId="2" fontId="3" fillId="9" borderId="0" xfId="1" applyNumberFormat="1" applyFont="1" applyFill="1" applyBorder="1" applyAlignment="1">
      <alignment horizontal="center"/>
    </xf>
    <xf numFmtId="1" fontId="3" fillId="9" borderId="6" xfId="1" applyNumberFormat="1" applyFont="1" applyFill="1" applyBorder="1" applyAlignment="1">
      <alignment horizontal="center"/>
    </xf>
    <xf numFmtId="2" fontId="3" fillId="10" borderId="0" xfId="1" applyNumberFormat="1" applyFont="1" applyFill="1" applyBorder="1" applyAlignment="1">
      <alignment horizontal="center"/>
    </xf>
    <xf numFmtId="2" fontId="3" fillId="10" borderId="6" xfId="1" applyNumberFormat="1" applyFont="1" applyFill="1" applyBorder="1" applyAlignment="1">
      <alignment horizontal="center"/>
    </xf>
    <xf numFmtId="0" fontId="3" fillId="11" borderId="0" xfId="1" applyFont="1" applyFill="1" applyBorder="1" applyAlignment="1">
      <alignment horizontal="center"/>
    </xf>
    <xf numFmtId="0" fontId="4" fillId="9" borderId="9" xfId="1" applyFont="1" applyFill="1" applyBorder="1" applyAlignment="1">
      <alignment horizontal="center"/>
    </xf>
    <xf numFmtId="0" fontId="4" fillId="9" borderId="10" xfId="1" applyFont="1" applyFill="1" applyBorder="1" applyAlignment="1">
      <alignment horizontal="center"/>
    </xf>
    <xf numFmtId="0" fontId="4" fillId="10" borderId="9" xfId="1" applyFont="1" applyFill="1" applyBorder="1" applyAlignment="1">
      <alignment horizontal="center"/>
    </xf>
    <xf numFmtId="0" fontId="4" fillId="10" borderId="10" xfId="1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14" fontId="4" fillId="0" borderId="0" xfId="1" applyNumberFormat="1" applyFont="1" applyFill="1" applyBorder="1" applyAlignment="1">
      <alignment horizontal="center"/>
    </xf>
    <xf numFmtId="2" fontId="4" fillId="0" borderId="0" xfId="1" applyNumberFormat="1" applyFont="1" applyFill="1" applyAlignment="1">
      <alignment horizontal="center"/>
    </xf>
    <xf numFmtId="1" fontId="4" fillId="0" borderId="6" xfId="1" applyNumberFormat="1" applyFont="1" applyFill="1" applyBorder="1" applyAlignment="1">
      <alignment horizontal="center"/>
    </xf>
    <xf numFmtId="0" fontId="4" fillId="0" borderId="0" xfId="1" applyFont="1" applyFill="1" applyAlignment="1">
      <alignment horizontal="center"/>
    </xf>
    <xf numFmtId="2" fontId="4" fillId="0" borderId="6" xfId="1" applyNumberFormat="1" applyFont="1" applyFill="1" applyBorder="1" applyAlignment="1">
      <alignment horizontal="center"/>
    </xf>
    <xf numFmtId="22" fontId="4" fillId="0" borderId="0" xfId="1" applyNumberFormat="1" applyFont="1" applyFill="1" applyAlignment="1">
      <alignment horizontal="center"/>
    </xf>
    <xf numFmtId="0" fontId="3" fillId="12" borderId="2" xfId="1" applyFont="1" applyFill="1" applyBorder="1" applyAlignment="1">
      <alignment horizontal="center"/>
    </xf>
    <xf numFmtId="0" fontId="3" fillId="9" borderId="2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2" fillId="0" borderId="0" xfId="1"/>
    <xf numFmtId="0" fontId="5" fillId="0" borderId="0" xfId="1" applyFont="1" applyBorder="1" applyAlignment="1">
      <alignment horizontal="center"/>
    </xf>
    <xf numFmtId="14" fontId="4" fillId="0" borderId="0" xfId="1" applyNumberFormat="1" applyFont="1" applyAlignment="1">
      <alignment horizontal="center"/>
    </xf>
    <xf numFmtId="0" fontId="4" fillId="0" borderId="0" xfId="1" applyFont="1" applyAlignment="1">
      <alignment horizontal="center"/>
    </xf>
    <xf numFmtId="2" fontId="4" fillId="0" borderId="0" xfId="1" applyNumberFormat="1" applyFont="1" applyAlignment="1">
      <alignment horizontal="center"/>
    </xf>
    <xf numFmtId="165" fontId="4" fillId="0" borderId="0" xfId="1" applyNumberFormat="1" applyFont="1" applyAlignment="1">
      <alignment horizontal="center"/>
    </xf>
    <xf numFmtId="0" fontId="2" fillId="0" borderId="0" xfId="1" applyFill="1"/>
    <xf numFmtId="166" fontId="4" fillId="0" borderId="0" xfId="1" applyNumberFormat="1" applyFont="1" applyFill="1" applyAlignment="1">
      <alignment horizontal="center"/>
    </xf>
    <xf numFmtId="0" fontId="8" fillId="0" borderId="0" xfId="1" applyFont="1"/>
    <xf numFmtId="164" fontId="4" fillId="0" borderId="0" xfId="1" applyNumberFormat="1" applyFont="1" applyFill="1" applyAlignment="1">
      <alignment horizontal="right"/>
    </xf>
    <xf numFmtId="0" fontId="2" fillId="0" borderId="0" xfId="1" applyAlignment="1">
      <alignment horizontal="center"/>
    </xf>
    <xf numFmtId="0" fontId="9" fillId="0" borderId="0" xfId="1" applyFont="1"/>
    <xf numFmtId="164" fontId="2" fillId="0" borderId="0" xfId="1" applyNumberFormat="1" applyAlignment="1">
      <alignment horizontal="right"/>
    </xf>
    <xf numFmtId="0" fontId="10" fillId="0" borderId="0" xfId="1" applyFont="1"/>
    <xf numFmtId="0" fontId="3" fillId="13" borderId="2" xfId="1" applyFont="1" applyFill="1" applyBorder="1" applyAlignment="1">
      <alignment horizontal="center"/>
    </xf>
    <xf numFmtId="2" fontId="3" fillId="13" borderId="2" xfId="1" applyNumberFormat="1" applyFont="1" applyFill="1" applyBorder="1" applyAlignment="1">
      <alignment horizontal="center"/>
    </xf>
    <xf numFmtId="0" fontId="3" fillId="13" borderId="11" xfId="1" applyFont="1" applyFill="1" applyBorder="1" applyAlignment="1">
      <alignment horizontal="center"/>
    </xf>
    <xf numFmtId="0" fontId="3" fillId="8" borderId="2" xfId="1" applyFont="1" applyFill="1" applyBorder="1" applyAlignment="1">
      <alignment horizontal="center"/>
    </xf>
    <xf numFmtId="0" fontId="5" fillId="0" borderId="0" xfId="1" applyFont="1" applyAlignment="1">
      <alignment horizontal="center"/>
    </xf>
    <xf numFmtId="2" fontId="5" fillId="0" borderId="0" xfId="1" applyNumberFormat="1" applyFont="1" applyAlignment="1">
      <alignment horizontal="center"/>
    </xf>
    <xf numFmtId="0" fontId="5" fillId="0" borderId="12" xfId="1" applyFont="1" applyBorder="1" applyAlignment="1">
      <alignment horizontal="center"/>
    </xf>
    <xf numFmtId="22" fontId="4" fillId="0" borderId="0" xfId="1" applyNumberFormat="1" applyFont="1" applyFill="1" applyBorder="1" applyAlignment="1">
      <alignment horizontal="center"/>
    </xf>
    <xf numFmtId="0" fontId="4" fillId="14" borderId="13" xfId="1" applyFont="1" applyFill="1" applyBorder="1" applyAlignment="1">
      <alignment horizontal="center"/>
    </xf>
    <xf numFmtId="0" fontId="4" fillId="14" borderId="14" xfId="1" applyFont="1" applyFill="1" applyBorder="1" applyAlignment="1">
      <alignment horizontal="center"/>
    </xf>
    <xf numFmtId="165" fontId="4" fillId="0" borderId="0" xfId="1" applyNumberFormat="1" applyFont="1" applyFill="1" applyAlignment="1">
      <alignment horizontal="center"/>
    </xf>
    <xf numFmtId="22" fontId="4" fillId="0" borderId="12" xfId="1" applyNumberFormat="1" applyFont="1" applyFill="1" applyBorder="1" applyAlignment="1">
      <alignment horizontal="center"/>
    </xf>
    <xf numFmtId="167" fontId="4" fillId="0" borderId="0" xfId="1" applyNumberFormat="1" applyFont="1" applyFill="1" applyBorder="1" applyAlignment="1">
      <alignment horizontal="center"/>
    </xf>
    <xf numFmtId="1" fontId="4" fillId="0" borderId="0" xfId="1" applyNumberFormat="1" applyFont="1" applyFill="1" applyBorder="1" applyAlignment="1">
      <alignment horizontal="center"/>
    </xf>
    <xf numFmtId="2" fontId="4" fillId="0" borderId="0" xfId="1" applyNumberFormat="1" applyFont="1" applyFill="1" applyBorder="1" applyAlignment="1">
      <alignment horizontal="center"/>
    </xf>
    <xf numFmtId="2" fontId="4" fillId="0" borderId="0" xfId="1" applyNumberFormat="1" applyFont="1" applyFill="1" applyBorder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1" fontId="0" fillId="0" borderId="0" xfId="0" applyNumberFormat="1"/>
    <xf numFmtId="0" fontId="4" fillId="14" borderId="15" xfId="1" applyFont="1" applyFill="1" applyBorder="1" applyAlignment="1">
      <alignment horizontal="center"/>
    </xf>
    <xf numFmtId="0" fontId="4" fillId="14" borderId="16" xfId="1" applyFont="1" applyFill="1" applyBorder="1" applyAlignment="1">
      <alignment horizontal="center"/>
    </xf>
    <xf numFmtId="0" fontId="4" fillId="0" borderId="15" xfId="1" applyFont="1" applyFill="1" applyBorder="1" applyAlignment="1">
      <alignment horizontal="center"/>
    </xf>
    <xf numFmtId="0" fontId="4" fillId="0" borderId="16" xfId="1" applyFont="1" applyFill="1" applyBorder="1" applyAlignment="1">
      <alignment horizontal="center"/>
    </xf>
    <xf numFmtId="0" fontId="13" fillId="0" borderId="0" xfId="0" applyFont="1"/>
    <xf numFmtId="0" fontId="14" fillId="0" borderId="1" xfId="0" applyFont="1" applyBorder="1" applyAlignment="1">
      <alignment horizontal="justify" vertical="center" wrapText="1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justify" vertical="center" wrapText="1"/>
    </xf>
    <xf numFmtId="0" fontId="15" fillId="0" borderId="1" xfId="0" applyFont="1" applyFill="1" applyBorder="1" applyAlignment="1">
      <alignment horizontal="justify" vertical="center" wrapText="1"/>
    </xf>
    <xf numFmtId="0" fontId="0" fillId="0" borderId="1" xfId="0" applyFill="1" applyBorder="1" applyAlignment="1">
      <alignment horizontal="left"/>
    </xf>
    <xf numFmtId="165" fontId="4" fillId="0" borderId="0" xfId="1" applyNumberFormat="1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164" fontId="0" fillId="0" borderId="0" xfId="0" applyNumberFormat="1"/>
    <xf numFmtId="0" fontId="5" fillId="0" borderId="0" xfId="1" applyFont="1" applyFill="1" applyAlignment="1">
      <alignment horizontal="center"/>
    </xf>
    <xf numFmtId="0" fontId="0" fillId="0" borderId="0" xfId="0" applyAlignment="1">
      <alignment horizontal="center"/>
    </xf>
    <xf numFmtId="167" fontId="0" fillId="0" borderId="0" xfId="0" applyNumberFormat="1"/>
    <xf numFmtId="168" fontId="0" fillId="0" borderId="0" xfId="0" applyNumberFormat="1" applyAlignment="1">
      <alignment horizontal="center"/>
    </xf>
    <xf numFmtId="168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169" fontId="4" fillId="0" borderId="0" xfId="1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Standard" xfId="0" builtinId="0"/>
    <cellStyle name="Standard 3" xfId="1"/>
  </cellStyles>
  <dxfs count="2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solidFill>
                  <a:schemeClr val="accent1"/>
                </a:solidFill>
              </a:defRPr>
            </a:pPr>
            <a:r>
              <a:rPr lang="en-US">
                <a:solidFill>
                  <a:schemeClr val="accent1"/>
                </a:solidFill>
              </a:rPr>
              <a:t>Area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trendline>
            <c:trendlineType val="linear"/>
            <c:dispRSqr val="1"/>
            <c:dispEq val="1"/>
            <c:trendlineLbl>
              <c:layout>
                <c:manualLayout>
                  <c:x val="0.24147646101199374"/>
                  <c:y val="-0.19624633435723526"/>
                </c:manualLayout>
              </c:layout>
              <c:numFmt formatCode="General" sourceLinked="0"/>
            </c:trendlineLbl>
          </c:trendline>
          <c:xVal>
            <c:numRef>
              <c:f>'12.11.19'!$D$3:$D$14</c:f>
              <c:numCache>
                <c:formatCode>0.00</c:formatCode>
                <c:ptCount val="12"/>
                <c:pt idx="0">
                  <c:v>1679.8</c:v>
                </c:pt>
                <c:pt idx="1">
                  <c:v>1492</c:v>
                </c:pt>
                <c:pt idx="2">
                  <c:v>1358.1</c:v>
                </c:pt>
                <c:pt idx="3">
                  <c:v>1192.3</c:v>
                </c:pt>
                <c:pt idx="4">
                  <c:v>1046.2</c:v>
                </c:pt>
                <c:pt idx="5">
                  <c:v>872.95</c:v>
                </c:pt>
                <c:pt idx="6">
                  <c:v>733.07</c:v>
                </c:pt>
                <c:pt idx="7">
                  <c:v>505.08</c:v>
                </c:pt>
                <c:pt idx="8">
                  <c:v>363.13</c:v>
                </c:pt>
                <c:pt idx="9" formatCode="General">
                  <c:v>142.86000000000001</c:v>
                </c:pt>
                <c:pt idx="10" formatCode="General">
                  <c:v>66.721999999999994</c:v>
                </c:pt>
                <c:pt idx="11" formatCode="General">
                  <c:v>30.385999999999999</c:v>
                </c:pt>
              </c:numCache>
            </c:numRef>
          </c:xVal>
          <c:yVal>
            <c:numRef>
              <c:f>'12.11.19'!$F$3:$F$14</c:f>
              <c:numCache>
                <c:formatCode>0.00000</c:formatCode>
                <c:ptCount val="12"/>
                <c:pt idx="0">
                  <c:v>14.96</c:v>
                </c:pt>
                <c:pt idx="1">
                  <c:v>13.164800000000001</c:v>
                </c:pt>
                <c:pt idx="2">
                  <c:v>11.968</c:v>
                </c:pt>
                <c:pt idx="3">
                  <c:v>10.172799999999999</c:v>
                </c:pt>
                <c:pt idx="4">
                  <c:v>8.9760000000000009</c:v>
                </c:pt>
                <c:pt idx="5">
                  <c:v>7.1807999999999996</c:v>
                </c:pt>
                <c:pt idx="6">
                  <c:v>5.984</c:v>
                </c:pt>
                <c:pt idx="7">
                  <c:v>4.1887999999999996</c:v>
                </c:pt>
                <c:pt idx="8">
                  <c:v>2.992</c:v>
                </c:pt>
                <c:pt idx="9">
                  <c:v>1.1968000000000001</c:v>
                </c:pt>
                <c:pt idx="10">
                  <c:v>0.59840000000000004</c:v>
                </c:pt>
                <c:pt idx="11">
                  <c:v>0.29920000000000002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715904"/>
        <c:axId val="106716480"/>
      </c:scatterChart>
      <c:valAx>
        <c:axId val="106715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peak area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106716480"/>
        <c:crosses val="autoZero"/>
        <c:crossBetween val="midCat"/>
      </c:valAx>
      <c:valAx>
        <c:axId val="1067164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inj. Volume CO2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1067159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solidFill>
                  <a:schemeClr val="accent2">
                    <a:lumMod val="75000"/>
                  </a:schemeClr>
                </a:solidFill>
              </a:defRPr>
            </a:pPr>
            <a:r>
              <a:rPr lang="en-US">
                <a:solidFill>
                  <a:schemeClr val="accent2">
                    <a:lumMod val="75000"/>
                  </a:schemeClr>
                </a:solidFill>
              </a:rPr>
              <a:t>Height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6.1216175411701858E-2"/>
                  <c:y val="-0.19369298168583945"/>
                </c:manualLayout>
              </c:layout>
              <c:numFmt formatCode="General" sourceLinked="0"/>
            </c:trendlineLbl>
          </c:trendline>
          <c:xVal>
            <c:numRef>
              <c:f>'12.11.19'!$E$3:$E$14</c:f>
              <c:numCache>
                <c:formatCode>0.00</c:formatCode>
                <c:ptCount val="12"/>
                <c:pt idx="0">
                  <c:v>435.37</c:v>
                </c:pt>
                <c:pt idx="1">
                  <c:v>417.53</c:v>
                </c:pt>
                <c:pt idx="2">
                  <c:v>389.61</c:v>
                </c:pt>
                <c:pt idx="3">
                  <c:v>328.86</c:v>
                </c:pt>
                <c:pt idx="4">
                  <c:v>304.22000000000003</c:v>
                </c:pt>
                <c:pt idx="5">
                  <c:v>236.47</c:v>
                </c:pt>
                <c:pt idx="6">
                  <c:v>209.84</c:v>
                </c:pt>
                <c:pt idx="7">
                  <c:v>155.37</c:v>
                </c:pt>
                <c:pt idx="8">
                  <c:v>114.08</c:v>
                </c:pt>
                <c:pt idx="9" formatCode="General">
                  <c:v>45.295000000000002</c:v>
                </c:pt>
                <c:pt idx="10" formatCode="General">
                  <c:v>22.084</c:v>
                </c:pt>
                <c:pt idx="11" formatCode="General">
                  <c:v>11.461</c:v>
                </c:pt>
              </c:numCache>
            </c:numRef>
          </c:xVal>
          <c:yVal>
            <c:numRef>
              <c:f>'12.11.19'!$F$3:$F$14</c:f>
              <c:numCache>
                <c:formatCode>0.00000</c:formatCode>
                <c:ptCount val="12"/>
                <c:pt idx="0">
                  <c:v>14.96</c:v>
                </c:pt>
                <c:pt idx="1">
                  <c:v>13.164800000000001</c:v>
                </c:pt>
                <c:pt idx="2">
                  <c:v>11.968</c:v>
                </c:pt>
                <c:pt idx="3">
                  <c:v>10.172799999999999</c:v>
                </c:pt>
                <c:pt idx="4">
                  <c:v>8.9760000000000009</c:v>
                </c:pt>
                <c:pt idx="5">
                  <c:v>7.1807999999999996</c:v>
                </c:pt>
                <c:pt idx="6">
                  <c:v>5.984</c:v>
                </c:pt>
                <c:pt idx="7">
                  <c:v>4.1887999999999996</c:v>
                </c:pt>
                <c:pt idx="8">
                  <c:v>2.992</c:v>
                </c:pt>
                <c:pt idx="9">
                  <c:v>1.1968000000000001</c:v>
                </c:pt>
                <c:pt idx="10">
                  <c:v>0.59840000000000004</c:v>
                </c:pt>
                <c:pt idx="11">
                  <c:v>0.29920000000000002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25312"/>
        <c:axId val="63325888"/>
      </c:scatterChart>
      <c:valAx>
        <c:axId val="63325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peak height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63325888"/>
        <c:crosses val="autoZero"/>
        <c:crossBetween val="midCat"/>
      </c:valAx>
      <c:valAx>
        <c:axId val="633258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inj. Volume CO2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633253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333375</xdr:colOff>
      <xdr:row>0</xdr:row>
      <xdr:rowOff>42862</xdr:rowOff>
    </xdr:from>
    <xdr:to>
      <xdr:col>13</xdr:col>
      <xdr:colOff>295275</xdr:colOff>
      <xdr:row>13</xdr:row>
      <xdr:rowOff>66675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352425</xdr:colOff>
      <xdr:row>0</xdr:row>
      <xdr:rowOff>47625</xdr:rowOff>
    </xdr:from>
    <xdr:to>
      <xdr:col>19</xdr:col>
      <xdr:colOff>85725</xdr:colOff>
      <xdr:row>13</xdr:row>
      <xdr:rowOff>104775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4"/>
  <sheetViews>
    <sheetView workbookViewId="0">
      <selection activeCell="A4" sqref="A4"/>
    </sheetView>
  </sheetViews>
  <sheetFormatPr baseColWidth="10" defaultRowHeight="15" x14ac:dyDescent="0.25"/>
  <sheetData>
    <row r="3" spans="1:1" x14ac:dyDescent="0.25">
      <c r="A3" t="s">
        <v>135</v>
      </c>
    </row>
    <row r="4" spans="1:1" x14ac:dyDescent="0.25">
      <c r="A4" t="s">
        <v>134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>
      <selection activeCell="L3" sqref="L3"/>
    </sheetView>
  </sheetViews>
  <sheetFormatPr baseColWidth="10" defaultColWidth="9.140625" defaultRowHeight="15" x14ac:dyDescent="0.25"/>
  <cols>
    <col min="1" max="1" width="5.5703125" customWidth="1"/>
    <col min="2" max="2" width="12.7109375" customWidth="1"/>
    <col min="3" max="3" width="10.85546875" bestFit="1" customWidth="1"/>
    <col min="4" max="4" width="13.7109375" bestFit="1" customWidth="1"/>
    <col min="5" max="5" width="10.7109375" customWidth="1"/>
    <col min="6" max="6" width="9.85546875" customWidth="1"/>
    <col min="7" max="7" width="15.140625" customWidth="1"/>
    <col min="8" max="8" width="9" customWidth="1"/>
  </cols>
  <sheetData>
    <row r="1" spans="1:13" x14ac:dyDescent="0.25">
      <c r="A1" s="113" t="s">
        <v>5</v>
      </c>
      <c r="B1" s="112" t="s">
        <v>1</v>
      </c>
      <c r="C1" s="112" t="s">
        <v>0</v>
      </c>
      <c r="D1" s="112" t="s">
        <v>2</v>
      </c>
      <c r="E1" s="112" t="s">
        <v>3</v>
      </c>
      <c r="F1" s="112" t="s">
        <v>4</v>
      </c>
      <c r="G1" s="112" t="s">
        <v>126</v>
      </c>
      <c r="H1" s="112" t="s">
        <v>4</v>
      </c>
      <c r="I1" s="112" t="s">
        <v>127</v>
      </c>
      <c r="J1" s="112"/>
      <c r="K1" s="112" t="s">
        <v>129</v>
      </c>
      <c r="L1" s="112" t="s">
        <v>130</v>
      </c>
      <c r="M1" s="112"/>
    </row>
    <row r="2" spans="1:13" x14ac:dyDescent="0.25">
      <c r="A2" s="114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</row>
    <row r="3" spans="1:13" x14ac:dyDescent="0.25">
      <c r="A3" s="1"/>
      <c r="B3" s="1" t="s">
        <v>120</v>
      </c>
      <c r="C3" s="2">
        <v>10</v>
      </c>
      <c r="D3" s="3"/>
      <c r="E3" s="4">
        <v>489.7</v>
      </c>
      <c r="F3" s="1"/>
      <c r="G3" s="1">
        <v>517.74</v>
      </c>
      <c r="H3" s="1"/>
      <c r="I3" s="1">
        <v>22.6</v>
      </c>
      <c r="J3">
        <f>G3-I3</f>
        <v>495.14</v>
      </c>
      <c r="K3">
        <f>J3-E3</f>
        <v>5.4399999999999977</v>
      </c>
      <c r="L3" s="105">
        <f>(K3/J3)*100</f>
        <v>1.0986791614492868</v>
      </c>
    </row>
    <row r="4" spans="1:13" x14ac:dyDescent="0.25">
      <c r="A4" s="1"/>
      <c r="B4" s="1" t="s">
        <v>121</v>
      </c>
      <c r="C4" s="2">
        <v>10</v>
      </c>
      <c r="D4" s="3"/>
      <c r="E4" s="4">
        <v>554.6</v>
      </c>
      <c r="F4" s="1"/>
      <c r="G4" s="1">
        <v>576.35</v>
      </c>
      <c r="H4" s="1"/>
      <c r="I4" s="1">
        <v>14.4</v>
      </c>
      <c r="J4">
        <f t="shared" ref="J4:J7" si="0">G4-I4</f>
        <v>561.95000000000005</v>
      </c>
      <c r="K4">
        <f t="shared" ref="K4:K7" si="1">J4-E4</f>
        <v>7.3500000000000227</v>
      </c>
      <c r="L4" s="105">
        <f t="shared" ref="L4:L7" si="2">(K4/J4)*100</f>
        <v>1.3079455467568328</v>
      </c>
    </row>
    <row r="5" spans="1:13" x14ac:dyDescent="0.25">
      <c r="A5" s="1"/>
      <c r="B5" s="1" t="s">
        <v>122</v>
      </c>
      <c r="C5" s="2">
        <v>10</v>
      </c>
      <c r="D5" s="3"/>
      <c r="E5" s="4">
        <v>622.70000000000005</v>
      </c>
      <c r="F5" s="1"/>
      <c r="G5" s="1">
        <v>634.29999999999995</v>
      </c>
      <c r="H5" s="1"/>
      <c r="I5" s="1">
        <v>6.4</v>
      </c>
      <c r="J5">
        <f t="shared" si="0"/>
        <v>627.9</v>
      </c>
      <c r="K5">
        <f t="shared" si="1"/>
        <v>5.1999999999999318</v>
      </c>
      <c r="L5" s="105">
        <f t="shared" si="2"/>
        <v>0.8281573498964695</v>
      </c>
    </row>
    <row r="6" spans="1:13" x14ac:dyDescent="0.25">
      <c r="A6" s="1"/>
      <c r="B6" s="1" t="s">
        <v>123</v>
      </c>
      <c r="C6" s="2">
        <v>10</v>
      </c>
      <c r="D6" s="3"/>
      <c r="E6" s="4">
        <v>622.6</v>
      </c>
      <c r="F6" s="1"/>
      <c r="G6" s="1">
        <v>672.4</v>
      </c>
      <c r="H6" s="1"/>
      <c r="I6" s="1">
        <v>35.200000000000003</v>
      </c>
      <c r="J6">
        <f t="shared" si="0"/>
        <v>637.19999999999993</v>
      </c>
      <c r="K6">
        <f t="shared" si="1"/>
        <v>14.599999999999909</v>
      </c>
      <c r="L6" s="105">
        <f t="shared" si="2"/>
        <v>2.2912743251726164</v>
      </c>
    </row>
    <row r="7" spans="1:13" x14ac:dyDescent="0.25">
      <c r="A7" s="1"/>
      <c r="B7" s="1" t="s">
        <v>124</v>
      </c>
      <c r="C7" s="2">
        <v>10</v>
      </c>
      <c r="D7" s="3"/>
      <c r="E7" s="4">
        <v>627.70000000000005</v>
      </c>
      <c r="F7" s="1"/>
      <c r="G7" s="1">
        <v>658.98</v>
      </c>
      <c r="H7" s="1"/>
      <c r="I7" s="1">
        <v>20.75</v>
      </c>
      <c r="J7">
        <f t="shared" si="0"/>
        <v>638.23</v>
      </c>
      <c r="K7">
        <f t="shared" si="1"/>
        <v>10.529999999999973</v>
      </c>
      <c r="L7" s="105">
        <f t="shared" si="2"/>
        <v>1.6498754367547706</v>
      </c>
    </row>
    <row r="8" spans="1:13" x14ac:dyDescent="0.25">
      <c r="A8" s="1"/>
      <c r="B8" s="1" t="s">
        <v>125</v>
      </c>
      <c r="C8" s="2">
        <v>10</v>
      </c>
      <c r="D8" s="3"/>
      <c r="E8" s="4">
        <v>632.40000000000009</v>
      </c>
      <c r="F8" s="1"/>
      <c r="G8" s="1"/>
      <c r="H8" s="1"/>
      <c r="I8" s="1">
        <v>30.7</v>
      </c>
    </row>
    <row r="9" spans="1:13" x14ac:dyDescent="0.25">
      <c r="A9" s="1"/>
      <c r="B9" s="1"/>
      <c r="C9" s="2"/>
      <c r="D9" s="3"/>
      <c r="E9" s="4"/>
      <c r="F9" s="1"/>
      <c r="G9" s="1"/>
      <c r="H9" s="1"/>
      <c r="I9" s="1"/>
    </row>
    <row r="10" spans="1:13" x14ac:dyDescent="0.25">
      <c r="A10" s="1"/>
      <c r="B10" s="1"/>
      <c r="C10" s="2"/>
      <c r="D10" s="3"/>
      <c r="E10" s="4"/>
      <c r="F10" s="1"/>
      <c r="G10" s="1"/>
      <c r="H10" s="1"/>
      <c r="I10" s="1"/>
    </row>
    <row r="11" spans="1:13" x14ac:dyDescent="0.25">
      <c r="A11" s="1"/>
      <c r="B11" s="1"/>
      <c r="C11" s="2"/>
      <c r="D11" s="3"/>
      <c r="E11" s="4"/>
      <c r="F11" s="1"/>
      <c r="G11" s="1"/>
      <c r="H11" s="1"/>
      <c r="I11" s="1"/>
    </row>
    <row r="12" spans="1:13" x14ac:dyDescent="0.25">
      <c r="A12" s="1"/>
      <c r="B12" s="1"/>
      <c r="C12" s="2"/>
      <c r="D12" s="3"/>
      <c r="E12" s="4"/>
      <c r="F12" s="1"/>
      <c r="G12" s="1"/>
      <c r="H12" s="1"/>
      <c r="I12" s="1"/>
    </row>
    <row r="13" spans="1:13" x14ac:dyDescent="0.25">
      <c r="A13" s="1"/>
      <c r="B13" s="1"/>
      <c r="C13" s="2"/>
      <c r="D13" s="3"/>
      <c r="E13" s="4"/>
      <c r="F13" s="1"/>
      <c r="G13" s="1"/>
      <c r="H13" s="1"/>
      <c r="I13" s="1"/>
    </row>
    <row r="14" spans="1:13" x14ac:dyDescent="0.25">
      <c r="A14" s="1"/>
      <c r="B14" s="1"/>
      <c r="C14" s="2"/>
      <c r="D14" s="3"/>
      <c r="E14" s="4"/>
      <c r="F14" s="1"/>
      <c r="G14" s="1"/>
      <c r="H14" s="1"/>
      <c r="I14" s="1"/>
    </row>
    <row r="15" spans="1:13" x14ac:dyDescent="0.25">
      <c r="A15" s="1"/>
      <c r="B15" s="1"/>
      <c r="C15" s="5"/>
      <c r="D15" s="3"/>
      <c r="E15" s="4"/>
      <c r="F15" s="1"/>
      <c r="G15" s="1"/>
      <c r="H15" s="1"/>
      <c r="I15" s="1"/>
    </row>
    <row r="16" spans="1:13" x14ac:dyDescent="0.25">
      <c r="A16" s="1"/>
      <c r="B16" s="1"/>
      <c r="C16" s="5"/>
      <c r="D16" s="3"/>
      <c r="E16" s="1"/>
      <c r="F16" s="1"/>
      <c r="G16" s="1"/>
      <c r="H16" s="1"/>
      <c r="I16" s="1"/>
    </row>
    <row r="17" spans="1:9" x14ac:dyDescent="0.25">
      <c r="A17" s="1"/>
      <c r="B17" s="1"/>
      <c r="C17" s="5"/>
      <c r="D17" s="3"/>
      <c r="E17" s="1"/>
      <c r="F17" s="1"/>
      <c r="G17" s="1"/>
      <c r="H17" s="1"/>
      <c r="I17" s="1"/>
    </row>
    <row r="18" spans="1:9" x14ac:dyDescent="0.25">
      <c r="A18" s="1"/>
      <c r="B18" s="1"/>
      <c r="C18" s="5"/>
      <c r="D18" s="3"/>
      <c r="E18" s="1"/>
      <c r="F18" s="1"/>
      <c r="G18" s="1"/>
      <c r="H18" s="1"/>
      <c r="I18" s="1"/>
    </row>
    <row r="19" spans="1:9" x14ac:dyDescent="0.25">
      <c r="A19" s="1"/>
      <c r="B19" s="1"/>
      <c r="C19" s="5"/>
      <c r="D19" s="3"/>
      <c r="E19" s="1"/>
      <c r="F19" s="1"/>
      <c r="G19" s="1"/>
      <c r="H19" s="1"/>
      <c r="I19" s="1"/>
    </row>
    <row r="20" spans="1:9" x14ac:dyDescent="0.25">
      <c r="A20" s="1"/>
      <c r="B20" s="1"/>
      <c r="C20" s="5"/>
      <c r="D20" s="3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4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4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4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4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4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4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4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4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4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4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4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4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</sheetData>
  <mergeCells count="13">
    <mergeCell ref="A1:A2"/>
    <mergeCell ref="H1:H2"/>
    <mergeCell ref="B1:B2"/>
    <mergeCell ref="C1:C2"/>
    <mergeCell ref="D1:D2"/>
    <mergeCell ref="E1:E2"/>
    <mergeCell ref="F1:F2"/>
    <mergeCell ref="G1:G2"/>
    <mergeCell ref="J1:J2"/>
    <mergeCell ref="K1:K2"/>
    <mergeCell ref="L1:L2"/>
    <mergeCell ref="M1:M2"/>
    <mergeCell ref="I1:I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H26" sqref="H26"/>
    </sheetView>
  </sheetViews>
  <sheetFormatPr baseColWidth="10" defaultColWidth="9.140625" defaultRowHeight="15" x14ac:dyDescent="0.25"/>
  <cols>
    <col min="2" max="2" width="12.85546875" bestFit="1" customWidth="1"/>
    <col min="8" max="8" width="11.42578125" customWidth="1"/>
    <col min="9" max="9" width="10.28515625" customWidth="1"/>
  </cols>
  <sheetData>
    <row r="1" spans="1:19" x14ac:dyDescent="0.25">
      <c r="A1" s="115" t="s">
        <v>5</v>
      </c>
      <c r="B1" s="116" t="s">
        <v>6</v>
      </c>
      <c r="C1" s="115" t="s">
        <v>7</v>
      </c>
      <c r="D1" s="115" t="s">
        <v>8</v>
      </c>
      <c r="E1" s="115" t="s">
        <v>48</v>
      </c>
      <c r="F1" s="115" t="s">
        <v>9</v>
      </c>
      <c r="G1" s="115" t="s">
        <v>10</v>
      </c>
      <c r="H1" s="117" t="s">
        <v>50</v>
      </c>
      <c r="I1" s="117" t="s">
        <v>49</v>
      </c>
      <c r="J1" s="115" t="s">
        <v>11</v>
      </c>
      <c r="K1" s="115" t="s">
        <v>12</v>
      </c>
      <c r="L1" s="115" t="s">
        <v>13</v>
      </c>
      <c r="M1" s="115" t="s">
        <v>14</v>
      </c>
      <c r="N1" s="115" t="s">
        <v>15</v>
      </c>
      <c r="O1" s="115" t="s">
        <v>16</v>
      </c>
      <c r="P1" s="115" t="s">
        <v>17</v>
      </c>
      <c r="Q1" s="115" t="s">
        <v>18</v>
      </c>
      <c r="R1" s="115" t="s">
        <v>19</v>
      </c>
      <c r="S1" s="115" t="s">
        <v>20</v>
      </c>
    </row>
    <row r="2" spans="1:19" x14ac:dyDescent="0.25">
      <c r="A2" s="115"/>
      <c r="B2" s="116"/>
      <c r="C2" s="115"/>
      <c r="D2" s="115"/>
      <c r="E2" s="115"/>
      <c r="F2" s="115"/>
      <c r="G2" s="115"/>
      <c r="H2" s="117"/>
      <c r="I2" s="117"/>
      <c r="J2" s="115"/>
      <c r="K2" s="115"/>
      <c r="L2" s="115"/>
      <c r="M2" s="115"/>
      <c r="N2" s="115"/>
      <c r="O2" s="115"/>
      <c r="P2" s="115"/>
      <c r="Q2" s="115"/>
      <c r="R2" s="115"/>
      <c r="S2" s="115"/>
    </row>
    <row r="3" spans="1:19" x14ac:dyDescent="0.25">
      <c r="A3" s="6"/>
      <c r="B3" s="7"/>
      <c r="E3">
        <f>D3-C3</f>
        <v>0</v>
      </c>
      <c r="G3">
        <f>D3-F3</f>
        <v>0</v>
      </c>
      <c r="H3" s="8" t="e">
        <f>G3/(F3-C3)*100</f>
        <v>#DIV/0!</v>
      </c>
      <c r="I3" s="34" t="e">
        <f t="shared" ref="I3:I20" si="0">(F3-C3)/E3</f>
        <v>#DIV/0!</v>
      </c>
      <c r="J3" s="9"/>
      <c r="K3" s="10"/>
      <c r="L3" s="10">
        <f t="shared" ref="L3:L20" si="1">K3*(F3/100+1)</f>
        <v>0</v>
      </c>
      <c r="M3" s="10">
        <f>J3-K3</f>
        <v>0</v>
      </c>
      <c r="N3" s="10" t="e">
        <f t="shared" ref="N3:N20" si="2">M3*(H3/100+1)</f>
        <v>#DIV/0!</v>
      </c>
      <c r="O3" s="10" t="e">
        <f>N3*10</f>
        <v>#DIV/0!</v>
      </c>
      <c r="P3" s="11"/>
      <c r="Q3" s="10" t="e">
        <f t="shared" ref="Q3:Q20" si="3">P3*(H3/100+1)</f>
        <v>#DIV/0!</v>
      </c>
      <c r="R3" s="10" t="e">
        <f>Q3*10</f>
        <v>#DIV/0!</v>
      </c>
      <c r="S3" s="10" t="e">
        <f>O3/R3</f>
        <v>#DIV/0!</v>
      </c>
    </row>
    <row r="4" spans="1:19" x14ac:dyDescent="0.25">
      <c r="A4" s="6"/>
      <c r="B4" s="7"/>
      <c r="E4">
        <f t="shared" ref="E4:E20" si="4">D4-C4</f>
        <v>0</v>
      </c>
      <c r="G4">
        <f t="shared" ref="G4:G14" si="5">D4-F4</f>
        <v>0</v>
      </c>
      <c r="H4" s="8" t="e">
        <f t="shared" ref="H4:H14" si="6">G4/(F4-C4)*100</f>
        <v>#DIV/0!</v>
      </c>
      <c r="I4" s="34" t="e">
        <f t="shared" si="0"/>
        <v>#DIV/0!</v>
      </c>
      <c r="J4" s="9"/>
      <c r="K4" s="10"/>
      <c r="L4" s="10">
        <f t="shared" si="1"/>
        <v>0</v>
      </c>
      <c r="M4" s="10">
        <f t="shared" ref="M4:M14" si="7">J4-K4</f>
        <v>0</v>
      </c>
      <c r="N4" s="10" t="e">
        <f t="shared" si="2"/>
        <v>#DIV/0!</v>
      </c>
      <c r="O4" s="10" t="e">
        <f t="shared" ref="O4:O14" si="8">N4*10</f>
        <v>#DIV/0!</v>
      </c>
      <c r="P4" s="11"/>
      <c r="Q4" s="10" t="e">
        <f t="shared" si="3"/>
        <v>#DIV/0!</v>
      </c>
      <c r="R4" s="10" t="e">
        <f t="shared" ref="R4:R14" si="9">Q4*10</f>
        <v>#DIV/0!</v>
      </c>
      <c r="S4" s="10" t="e">
        <f t="shared" ref="S4:S14" si="10">O4/R4</f>
        <v>#DIV/0!</v>
      </c>
    </row>
    <row r="5" spans="1:19" x14ac:dyDescent="0.25">
      <c r="A5" s="6"/>
      <c r="B5" s="7"/>
      <c r="E5">
        <f t="shared" si="4"/>
        <v>0</v>
      </c>
      <c r="G5">
        <f t="shared" si="5"/>
        <v>0</v>
      </c>
      <c r="H5" s="8" t="e">
        <f t="shared" si="6"/>
        <v>#DIV/0!</v>
      </c>
      <c r="I5" s="34" t="e">
        <f t="shared" si="0"/>
        <v>#DIV/0!</v>
      </c>
      <c r="J5" s="9"/>
      <c r="K5" s="10"/>
      <c r="L5" s="10">
        <f t="shared" si="1"/>
        <v>0</v>
      </c>
      <c r="M5" s="10">
        <f t="shared" si="7"/>
        <v>0</v>
      </c>
      <c r="N5" s="10" t="e">
        <f t="shared" si="2"/>
        <v>#DIV/0!</v>
      </c>
      <c r="O5" s="10" t="e">
        <f t="shared" si="8"/>
        <v>#DIV/0!</v>
      </c>
      <c r="P5" s="11"/>
      <c r="Q5" s="10" t="e">
        <f t="shared" si="3"/>
        <v>#DIV/0!</v>
      </c>
      <c r="R5" s="10" t="e">
        <f t="shared" si="9"/>
        <v>#DIV/0!</v>
      </c>
      <c r="S5" s="10" t="e">
        <f t="shared" si="10"/>
        <v>#DIV/0!</v>
      </c>
    </row>
    <row r="6" spans="1:19" x14ac:dyDescent="0.25">
      <c r="A6" s="6"/>
      <c r="B6" s="7"/>
      <c r="E6">
        <f t="shared" si="4"/>
        <v>0</v>
      </c>
      <c r="G6">
        <f t="shared" si="5"/>
        <v>0</v>
      </c>
      <c r="H6" s="8" t="e">
        <f t="shared" si="6"/>
        <v>#DIV/0!</v>
      </c>
      <c r="I6" s="34" t="e">
        <f t="shared" si="0"/>
        <v>#DIV/0!</v>
      </c>
      <c r="J6" s="9"/>
      <c r="K6" s="10"/>
      <c r="L6" s="10">
        <f t="shared" si="1"/>
        <v>0</v>
      </c>
      <c r="M6" s="10">
        <f t="shared" si="7"/>
        <v>0</v>
      </c>
      <c r="N6" s="10" t="e">
        <f t="shared" si="2"/>
        <v>#DIV/0!</v>
      </c>
      <c r="O6" s="10" t="e">
        <f t="shared" si="8"/>
        <v>#DIV/0!</v>
      </c>
      <c r="P6" s="11"/>
      <c r="Q6" s="10" t="e">
        <f t="shared" si="3"/>
        <v>#DIV/0!</v>
      </c>
      <c r="R6" s="10" t="e">
        <f t="shared" si="9"/>
        <v>#DIV/0!</v>
      </c>
      <c r="S6" s="10" t="e">
        <f t="shared" si="10"/>
        <v>#DIV/0!</v>
      </c>
    </row>
    <row r="7" spans="1:19" x14ac:dyDescent="0.25">
      <c r="A7" s="6"/>
      <c r="B7" s="7"/>
      <c r="E7">
        <f t="shared" si="4"/>
        <v>0</v>
      </c>
      <c r="G7">
        <f t="shared" si="5"/>
        <v>0</v>
      </c>
      <c r="H7" s="8" t="e">
        <f t="shared" si="6"/>
        <v>#DIV/0!</v>
      </c>
      <c r="I7" s="34" t="e">
        <f t="shared" si="0"/>
        <v>#DIV/0!</v>
      </c>
      <c r="J7" s="9"/>
      <c r="K7" s="10"/>
      <c r="L7" s="10">
        <f t="shared" si="1"/>
        <v>0</v>
      </c>
      <c r="M7" s="10">
        <f t="shared" si="7"/>
        <v>0</v>
      </c>
      <c r="N7" s="10" t="e">
        <f t="shared" si="2"/>
        <v>#DIV/0!</v>
      </c>
      <c r="O7" s="10" t="e">
        <f t="shared" si="8"/>
        <v>#DIV/0!</v>
      </c>
      <c r="P7" s="11"/>
      <c r="Q7" s="10" t="e">
        <f t="shared" si="3"/>
        <v>#DIV/0!</v>
      </c>
      <c r="R7" s="10" t="e">
        <f t="shared" si="9"/>
        <v>#DIV/0!</v>
      </c>
      <c r="S7" s="10" t="e">
        <f t="shared" si="10"/>
        <v>#DIV/0!</v>
      </c>
    </row>
    <row r="8" spans="1:19" x14ac:dyDescent="0.25">
      <c r="A8" s="6"/>
      <c r="B8" s="7"/>
      <c r="E8">
        <f t="shared" si="4"/>
        <v>0</v>
      </c>
      <c r="G8">
        <f t="shared" si="5"/>
        <v>0</v>
      </c>
      <c r="H8" s="8" t="e">
        <f t="shared" si="6"/>
        <v>#DIV/0!</v>
      </c>
      <c r="I8" s="34" t="e">
        <f t="shared" si="0"/>
        <v>#DIV/0!</v>
      </c>
      <c r="J8" s="9"/>
      <c r="K8" s="10"/>
      <c r="L8" s="10">
        <f t="shared" si="1"/>
        <v>0</v>
      </c>
      <c r="M8" s="10">
        <f t="shared" si="7"/>
        <v>0</v>
      </c>
      <c r="N8" s="10" t="e">
        <f t="shared" si="2"/>
        <v>#DIV/0!</v>
      </c>
      <c r="O8" s="10" t="e">
        <f t="shared" si="8"/>
        <v>#DIV/0!</v>
      </c>
      <c r="P8" s="11"/>
      <c r="Q8" s="10" t="e">
        <f t="shared" si="3"/>
        <v>#DIV/0!</v>
      </c>
      <c r="R8" s="10" t="e">
        <f t="shared" si="9"/>
        <v>#DIV/0!</v>
      </c>
      <c r="S8" s="10" t="e">
        <f t="shared" si="10"/>
        <v>#DIV/0!</v>
      </c>
    </row>
    <row r="9" spans="1:19" x14ac:dyDescent="0.25">
      <c r="A9" s="6"/>
      <c r="B9" s="7"/>
      <c r="E9">
        <f t="shared" si="4"/>
        <v>0</v>
      </c>
      <c r="G9">
        <f t="shared" si="5"/>
        <v>0</v>
      </c>
      <c r="H9" s="8" t="e">
        <f t="shared" si="6"/>
        <v>#DIV/0!</v>
      </c>
      <c r="I9" s="34" t="e">
        <f t="shared" si="0"/>
        <v>#DIV/0!</v>
      </c>
      <c r="J9" s="9"/>
      <c r="K9" s="10"/>
      <c r="L9" s="10">
        <f t="shared" si="1"/>
        <v>0</v>
      </c>
      <c r="M9" s="10">
        <f t="shared" si="7"/>
        <v>0</v>
      </c>
      <c r="N9" s="10" t="e">
        <f t="shared" si="2"/>
        <v>#DIV/0!</v>
      </c>
      <c r="O9" s="10" t="e">
        <f t="shared" si="8"/>
        <v>#DIV/0!</v>
      </c>
      <c r="P9" s="11"/>
      <c r="Q9" s="10" t="e">
        <f t="shared" si="3"/>
        <v>#DIV/0!</v>
      </c>
      <c r="R9" s="10" t="e">
        <f t="shared" si="9"/>
        <v>#DIV/0!</v>
      </c>
      <c r="S9" s="10" t="e">
        <f t="shared" si="10"/>
        <v>#DIV/0!</v>
      </c>
    </row>
    <row r="10" spans="1:19" x14ac:dyDescent="0.25">
      <c r="A10" s="6"/>
      <c r="B10" s="7"/>
      <c r="E10">
        <f t="shared" si="4"/>
        <v>0</v>
      </c>
      <c r="G10">
        <f t="shared" si="5"/>
        <v>0</v>
      </c>
      <c r="H10" s="8" t="e">
        <f t="shared" si="6"/>
        <v>#DIV/0!</v>
      </c>
      <c r="I10" s="34" t="e">
        <f t="shared" si="0"/>
        <v>#DIV/0!</v>
      </c>
      <c r="J10" s="9"/>
      <c r="K10" s="10"/>
      <c r="L10" s="10">
        <f t="shared" si="1"/>
        <v>0</v>
      </c>
      <c r="M10" s="10">
        <f t="shared" si="7"/>
        <v>0</v>
      </c>
      <c r="N10" s="10" t="e">
        <f t="shared" si="2"/>
        <v>#DIV/0!</v>
      </c>
      <c r="O10" s="10" t="e">
        <f t="shared" si="8"/>
        <v>#DIV/0!</v>
      </c>
      <c r="P10" s="11"/>
      <c r="Q10" s="10" t="e">
        <f t="shared" si="3"/>
        <v>#DIV/0!</v>
      </c>
      <c r="R10" s="10" t="e">
        <f t="shared" si="9"/>
        <v>#DIV/0!</v>
      </c>
      <c r="S10" s="10" t="e">
        <f t="shared" si="10"/>
        <v>#DIV/0!</v>
      </c>
    </row>
    <row r="11" spans="1:19" x14ac:dyDescent="0.25">
      <c r="A11" s="6"/>
      <c r="B11" s="7"/>
      <c r="E11">
        <f t="shared" si="4"/>
        <v>0</v>
      </c>
      <c r="G11">
        <f t="shared" si="5"/>
        <v>0</v>
      </c>
      <c r="H11" s="8" t="e">
        <f t="shared" si="6"/>
        <v>#DIV/0!</v>
      </c>
      <c r="I11" s="34" t="e">
        <f t="shared" si="0"/>
        <v>#DIV/0!</v>
      </c>
      <c r="J11" s="9"/>
      <c r="K11" s="10"/>
      <c r="L11" s="10">
        <f t="shared" si="1"/>
        <v>0</v>
      </c>
      <c r="M11" s="10">
        <f t="shared" si="7"/>
        <v>0</v>
      </c>
      <c r="N11" s="10" t="e">
        <f t="shared" si="2"/>
        <v>#DIV/0!</v>
      </c>
      <c r="O11" s="10" t="e">
        <f t="shared" si="8"/>
        <v>#DIV/0!</v>
      </c>
      <c r="P11" s="11"/>
      <c r="Q11" s="10" t="e">
        <f t="shared" si="3"/>
        <v>#DIV/0!</v>
      </c>
      <c r="R11" s="10" t="e">
        <f t="shared" si="9"/>
        <v>#DIV/0!</v>
      </c>
      <c r="S11" s="10" t="e">
        <f t="shared" si="10"/>
        <v>#DIV/0!</v>
      </c>
    </row>
    <row r="12" spans="1:19" x14ac:dyDescent="0.25">
      <c r="A12" s="6"/>
      <c r="B12" s="7"/>
      <c r="E12">
        <f t="shared" si="4"/>
        <v>0</v>
      </c>
      <c r="G12">
        <f t="shared" si="5"/>
        <v>0</v>
      </c>
      <c r="H12" s="8" t="e">
        <f t="shared" si="6"/>
        <v>#DIV/0!</v>
      </c>
      <c r="I12" s="34" t="e">
        <f t="shared" si="0"/>
        <v>#DIV/0!</v>
      </c>
      <c r="J12" s="9"/>
      <c r="K12" s="10"/>
      <c r="L12" s="10">
        <f t="shared" si="1"/>
        <v>0</v>
      </c>
      <c r="M12" s="10">
        <f t="shared" si="7"/>
        <v>0</v>
      </c>
      <c r="N12" s="10" t="e">
        <f t="shared" si="2"/>
        <v>#DIV/0!</v>
      </c>
      <c r="O12" s="10" t="e">
        <f t="shared" si="8"/>
        <v>#DIV/0!</v>
      </c>
      <c r="P12" s="11"/>
      <c r="Q12" s="10" t="e">
        <f t="shared" si="3"/>
        <v>#DIV/0!</v>
      </c>
      <c r="R12" s="10" t="e">
        <f t="shared" si="9"/>
        <v>#DIV/0!</v>
      </c>
      <c r="S12" s="10" t="e">
        <f t="shared" si="10"/>
        <v>#DIV/0!</v>
      </c>
    </row>
    <row r="13" spans="1:19" x14ac:dyDescent="0.25">
      <c r="A13" s="6"/>
      <c r="B13" s="7"/>
      <c r="E13">
        <f t="shared" si="4"/>
        <v>0</v>
      </c>
      <c r="G13">
        <f t="shared" si="5"/>
        <v>0</v>
      </c>
      <c r="H13" s="8" t="e">
        <f t="shared" si="6"/>
        <v>#DIV/0!</v>
      </c>
      <c r="I13" s="34" t="e">
        <f t="shared" si="0"/>
        <v>#DIV/0!</v>
      </c>
      <c r="J13" s="9"/>
      <c r="K13" s="10"/>
      <c r="L13" s="10">
        <f t="shared" si="1"/>
        <v>0</v>
      </c>
      <c r="M13" s="10">
        <f t="shared" si="7"/>
        <v>0</v>
      </c>
      <c r="N13" s="10" t="e">
        <f t="shared" si="2"/>
        <v>#DIV/0!</v>
      </c>
      <c r="O13" s="10" t="e">
        <f t="shared" si="8"/>
        <v>#DIV/0!</v>
      </c>
      <c r="P13" s="11"/>
      <c r="Q13" s="10" t="e">
        <f t="shared" si="3"/>
        <v>#DIV/0!</v>
      </c>
      <c r="R13" s="10" t="e">
        <f t="shared" si="9"/>
        <v>#DIV/0!</v>
      </c>
      <c r="S13" s="10" t="e">
        <f t="shared" si="10"/>
        <v>#DIV/0!</v>
      </c>
    </row>
    <row r="14" spans="1:19" x14ac:dyDescent="0.25">
      <c r="A14" s="6"/>
      <c r="B14" s="7"/>
      <c r="E14">
        <f t="shared" si="4"/>
        <v>0</v>
      </c>
      <c r="G14">
        <f t="shared" si="5"/>
        <v>0</v>
      </c>
      <c r="H14" s="8" t="e">
        <f t="shared" si="6"/>
        <v>#DIV/0!</v>
      </c>
      <c r="I14" s="34" t="e">
        <f t="shared" si="0"/>
        <v>#DIV/0!</v>
      </c>
      <c r="J14" s="9"/>
      <c r="K14" s="10"/>
      <c r="L14" s="10">
        <f t="shared" si="1"/>
        <v>0</v>
      </c>
      <c r="M14" s="10">
        <f t="shared" si="7"/>
        <v>0</v>
      </c>
      <c r="N14" s="10" t="e">
        <f t="shared" si="2"/>
        <v>#DIV/0!</v>
      </c>
      <c r="O14" s="10" t="e">
        <f t="shared" si="8"/>
        <v>#DIV/0!</v>
      </c>
      <c r="P14" s="11"/>
      <c r="Q14" s="10" t="e">
        <f t="shared" si="3"/>
        <v>#DIV/0!</v>
      </c>
      <c r="R14" s="10" t="e">
        <f t="shared" si="9"/>
        <v>#DIV/0!</v>
      </c>
      <c r="S14" s="10" t="e">
        <f t="shared" si="10"/>
        <v>#DIV/0!</v>
      </c>
    </row>
    <row r="15" spans="1:19" x14ac:dyDescent="0.25">
      <c r="A15" s="6"/>
      <c r="E15">
        <f t="shared" si="4"/>
        <v>0</v>
      </c>
      <c r="G15">
        <f t="shared" ref="G15:G20" si="11">D15-F15</f>
        <v>0</v>
      </c>
      <c r="H15" s="8" t="e">
        <f t="shared" ref="H15:H20" si="12">G15/(F15-C15)*100</f>
        <v>#DIV/0!</v>
      </c>
      <c r="I15" s="34" t="e">
        <f t="shared" si="0"/>
        <v>#DIV/0!</v>
      </c>
      <c r="J15" s="9"/>
      <c r="K15" s="10"/>
      <c r="L15" s="10">
        <f t="shared" si="1"/>
        <v>0</v>
      </c>
      <c r="M15" s="10">
        <f t="shared" ref="M15:M20" si="13">J15-K15</f>
        <v>0</v>
      </c>
      <c r="N15" s="10" t="e">
        <f t="shared" si="2"/>
        <v>#DIV/0!</v>
      </c>
      <c r="O15" s="10" t="e">
        <f t="shared" ref="O15:O20" si="14">N15*10</f>
        <v>#DIV/0!</v>
      </c>
      <c r="P15" s="11"/>
      <c r="Q15" s="10" t="e">
        <f t="shared" si="3"/>
        <v>#DIV/0!</v>
      </c>
      <c r="R15" s="10" t="e">
        <f t="shared" ref="R15:R20" si="15">Q15*10</f>
        <v>#DIV/0!</v>
      </c>
      <c r="S15" s="10" t="e">
        <f t="shared" ref="S15:S20" si="16">O15/R15</f>
        <v>#DIV/0!</v>
      </c>
    </row>
    <row r="16" spans="1:19" x14ac:dyDescent="0.25">
      <c r="A16" s="6"/>
      <c r="E16">
        <f t="shared" si="4"/>
        <v>0</v>
      </c>
      <c r="G16">
        <f t="shared" si="11"/>
        <v>0</v>
      </c>
      <c r="H16" s="8" t="e">
        <f t="shared" si="12"/>
        <v>#DIV/0!</v>
      </c>
      <c r="I16" s="34" t="e">
        <f t="shared" si="0"/>
        <v>#DIV/0!</v>
      </c>
      <c r="J16" s="9"/>
      <c r="K16" s="10"/>
      <c r="L16" s="10">
        <f t="shared" si="1"/>
        <v>0</v>
      </c>
      <c r="M16" s="10">
        <f t="shared" si="13"/>
        <v>0</v>
      </c>
      <c r="N16" s="10" t="e">
        <f t="shared" si="2"/>
        <v>#DIV/0!</v>
      </c>
      <c r="O16" s="10" t="e">
        <f t="shared" si="14"/>
        <v>#DIV/0!</v>
      </c>
      <c r="P16" s="11"/>
      <c r="Q16" s="10" t="e">
        <f t="shared" si="3"/>
        <v>#DIV/0!</v>
      </c>
      <c r="R16" s="10" t="e">
        <f t="shared" si="15"/>
        <v>#DIV/0!</v>
      </c>
      <c r="S16" s="10" t="e">
        <f t="shared" si="16"/>
        <v>#DIV/0!</v>
      </c>
    </row>
    <row r="17" spans="1:19" x14ac:dyDescent="0.25">
      <c r="A17" s="6"/>
      <c r="E17">
        <f t="shared" si="4"/>
        <v>0</v>
      </c>
      <c r="G17">
        <f t="shared" si="11"/>
        <v>0</v>
      </c>
      <c r="H17" s="8" t="e">
        <f t="shared" si="12"/>
        <v>#DIV/0!</v>
      </c>
      <c r="I17" s="34" t="e">
        <f t="shared" si="0"/>
        <v>#DIV/0!</v>
      </c>
      <c r="J17" s="9"/>
      <c r="K17" s="10"/>
      <c r="L17" s="10">
        <f t="shared" si="1"/>
        <v>0</v>
      </c>
      <c r="M17" s="10">
        <f t="shared" si="13"/>
        <v>0</v>
      </c>
      <c r="N17" s="10" t="e">
        <f t="shared" si="2"/>
        <v>#DIV/0!</v>
      </c>
      <c r="O17" s="10" t="e">
        <f t="shared" si="14"/>
        <v>#DIV/0!</v>
      </c>
      <c r="P17" s="11"/>
      <c r="Q17" s="10" t="e">
        <f t="shared" si="3"/>
        <v>#DIV/0!</v>
      </c>
      <c r="R17" s="10" t="e">
        <f t="shared" si="15"/>
        <v>#DIV/0!</v>
      </c>
      <c r="S17" s="10" t="e">
        <f t="shared" si="16"/>
        <v>#DIV/0!</v>
      </c>
    </row>
    <row r="18" spans="1:19" x14ac:dyDescent="0.25">
      <c r="A18" s="6"/>
      <c r="E18">
        <f t="shared" si="4"/>
        <v>0</v>
      </c>
      <c r="G18">
        <f t="shared" si="11"/>
        <v>0</v>
      </c>
      <c r="H18" s="8" t="e">
        <f t="shared" si="12"/>
        <v>#DIV/0!</v>
      </c>
      <c r="I18" s="34" t="e">
        <f t="shared" si="0"/>
        <v>#DIV/0!</v>
      </c>
      <c r="J18" s="9"/>
      <c r="K18" s="10"/>
      <c r="L18" s="10">
        <f t="shared" si="1"/>
        <v>0</v>
      </c>
      <c r="M18" s="10">
        <f t="shared" si="13"/>
        <v>0</v>
      </c>
      <c r="N18" s="10" t="e">
        <f t="shared" si="2"/>
        <v>#DIV/0!</v>
      </c>
      <c r="O18" s="10" t="e">
        <f t="shared" si="14"/>
        <v>#DIV/0!</v>
      </c>
      <c r="P18" s="11"/>
      <c r="Q18" s="10" t="e">
        <f t="shared" si="3"/>
        <v>#DIV/0!</v>
      </c>
      <c r="R18" s="10" t="e">
        <f t="shared" si="15"/>
        <v>#DIV/0!</v>
      </c>
      <c r="S18" s="10" t="e">
        <f t="shared" si="16"/>
        <v>#DIV/0!</v>
      </c>
    </row>
    <row r="19" spans="1:19" x14ac:dyDescent="0.25">
      <c r="A19" s="6"/>
      <c r="E19">
        <f t="shared" si="4"/>
        <v>0</v>
      </c>
      <c r="G19">
        <f t="shared" si="11"/>
        <v>0</v>
      </c>
      <c r="H19" s="8" t="e">
        <f t="shared" si="12"/>
        <v>#DIV/0!</v>
      </c>
      <c r="I19" s="34" t="e">
        <f t="shared" si="0"/>
        <v>#DIV/0!</v>
      </c>
      <c r="J19" s="9"/>
      <c r="K19" s="10"/>
      <c r="L19" s="10">
        <f t="shared" si="1"/>
        <v>0</v>
      </c>
      <c r="M19" s="10">
        <f t="shared" si="13"/>
        <v>0</v>
      </c>
      <c r="N19" s="10" t="e">
        <f t="shared" si="2"/>
        <v>#DIV/0!</v>
      </c>
      <c r="O19" s="10" t="e">
        <f t="shared" si="14"/>
        <v>#DIV/0!</v>
      </c>
      <c r="P19" s="11"/>
      <c r="Q19" s="10" t="e">
        <f t="shared" si="3"/>
        <v>#DIV/0!</v>
      </c>
      <c r="R19" s="10" t="e">
        <f t="shared" si="15"/>
        <v>#DIV/0!</v>
      </c>
      <c r="S19" s="10" t="e">
        <f t="shared" si="16"/>
        <v>#DIV/0!</v>
      </c>
    </row>
    <row r="20" spans="1:19" x14ac:dyDescent="0.25">
      <c r="A20" s="6"/>
      <c r="E20">
        <f t="shared" si="4"/>
        <v>0</v>
      </c>
      <c r="G20">
        <f t="shared" si="11"/>
        <v>0</v>
      </c>
      <c r="H20" s="8" t="e">
        <f t="shared" si="12"/>
        <v>#DIV/0!</v>
      </c>
      <c r="I20" s="34" t="e">
        <f t="shared" si="0"/>
        <v>#DIV/0!</v>
      </c>
      <c r="J20" s="9"/>
      <c r="K20" s="10"/>
      <c r="L20" s="10">
        <f t="shared" si="1"/>
        <v>0</v>
      </c>
      <c r="M20" s="10">
        <f t="shared" si="13"/>
        <v>0</v>
      </c>
      <c r="N20" s="10" t="e">
        <f t="shared" si="2"/>
        <v>#DIV/0!</v>
      </c>
      <c r="O20" s="10" t="e">
        <f t="shared" si="14"/>
        <v>#DIV/0!</v>
      </c>
      <c r="P20" s="11"/>
      <c r="Q20" s="10" t="e">
        <f t="shared" si="3"/>
        <v>#DIV/0!</v>
      </c>
      <c r="R20" s="10" t="e">
        <f t="shared" si="15"/>
        <v>#DIV/0!</v>
      </c>
      <c r="S20" s="10" t="e">
        <f t="shared" si="16"/>
        <v>#DIV/0!</v>
      </c>
    </row>
  </sheetData>
  <mergeCells count="19">
    <mergeCell ref="N1:N2"/>
    <mergeCell ref="A1:A2"/>
    <mergeCell ref="B1:B2"/>
    <mergeCell ref="C1:C2"/>
    <mergeCell ref="D1:D2"/>
    <mergeCell ref="F1:F2"/>
    <mergeCell ref="G1:G2"/>
    <mergeCell ref="H1:H2"/>
    <mergeCell ref="J1:J2"/>
    <mergeCell ref="K1:K2"/>
    <mergeCell ref="L1:L2"/>
    <mergeCell ref="M1:M2"/>
    <mergeCell ref="I1:I2"/>
    <mergeCell ref="E1:E2"/>
    <mergeCell ref="O1:O2"/>
    <mergeCell ref="P1:P2"/>
    <mergeCell ref="Q1:Q2"/>
    <mergeCell ref="R1:R2"/>
    <mergeCell ref="S1:S2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zoomScale="90" zoomScaleNormal="90" workbookViewId="0">
      <selection activeCell="S15" sqref="S15"/>
    </sheetView>
  </sheetViews>
  <sheetFormatPr baseColWidth="10" defaultRowHeight="15" x14ac:dyDescent="0.25"/>
  <cols>
    <col min="2" max="2" width="11.85546875" bestFit="1" customWidth="1"/>
    <col min="4" max="4" width="14.7109375" customWidth="1"/>
    <col min="11" max="11" width="19.7109375" bestFit="1" customWidth="1"/>
    <col min="12" max="13" width="19.140625" bestFit="1" customWidth="1"/>
    <col min="14" max="14" width="23.7109375" bestFit="1" customWidth="1"/>
  </cols>
  <sheetData>
    <row r="1" spans="1:24" x14ac:dyDescent="0.25">
      <c r="A1" s="118" t="s">
        <v>6</v>
      </c>
      <c r="B1" s="119"/>
      <c r="C1" s="12" t="s">
        <v>21</v>
      </c>
      <c r="D1" s="12" t="s">
        <v>23</v>
      </c>
      <c r="E1" s="12" t="s">
        <v>22</v>
      </c>
      <c r="F1" s="12" t="s">
        <v>23</v>
      </c>
      <c r="G1" s="14" t="s">
        <v>24</v>
      </c>
      <c r="H1" s="14" t="s">
        <v>25</v>
      </c>
      <c r="I1" s="14" t="s">
        <v>26</v>
      </c>
      <c r="J1" s="14" t="s">
        <v>27</v>
      </c>
      <c r="K1" s="14" t="s">
        <v>28</v>
      </c>
      <c r="L1" s="14" t="s">
        <v>29</v>
      </c>
      <c r="M1" s="14" t="s">
        <v>30</v>
      </c>
      <c r="N1" s="14" t="s">
        <v>31</v>
      </c>
      <c r="O1" s="14" t="s">
        <v>32</v>
      </c>
      <c r="P1" s="14" t="s">
        <v>33</v>
      </c>
      <c r="Q1" s="14" t="s">
        <v>34</v>
      </c>
      <c r="R1" s="15" t="s">
        <v>35</v>
      </c>
      <c r="S1" s="15" t="s">
        <v>36</v>
      </c>
      <c r="T1" s="15" t="s">
        <v>37</v>
      </c>
    </row>
    <row r="2" spans="1:24" x14ac:dyDescent="0.25">
      <c r="A2" s="13"/>
      <c r="B2" s="13"/>
      <c r="C2" s="16"/>
      <c r="D2" s="16"/>
      <c r="E2" s="16"/>
      <c r="F2" s="16" t="s">
        <v>38</v>
      </c>
      <c r="G2" s="16" t="s">
        <v>39</v>
      </c>
      <c r="H2" s="16" t="s">
        <v>40</v>
      </c>
      <c r="I2" s="16"/>
      <c r="J2" s="17"/>
      <c r="K2" s="17" t="s">
        <v>41</v>
      </c>
      <c r="L2" s="17" t="s">
        <v>42</v>
      </c>
      <c r="M2" s="17" t="s">
        <v>42</v>
      </c>
      <c r="N2" s="17" t="s">
        <v>41</v>
      </c>
      <c r="O2" s="17" t="s">
        <v>43</v>
      </c>
      <c r="P2" s="17"/>
      <c r="Q2" s="18"/>
      <c r="R2" s="19"/>
      <c r="S2" s="19"/>
      <c r="T2" s="19"/>
    </row>
    <row r="3" spans="1:24" ht="15.75" thickBot="1" x14ac:dyDescent="0.3">
      <c r="A3" s="13"/>
      <c r="B3" s="13"/>
      <c r="C3" s="20" t="s">
        <v>44</v>
      </c>
      <c r="D3" s="20" t="s">
        <v>45</v>
      </c>
      <c r="E3" s="20" t="s">
        <v>44</v>
      </c>
      <c r="F3" s="20" t="s">
        <v>45</v>
      </c>
      <c r="G3" s="21" t="s">
        <v>44</v>
      </c>
      <c r="H3" s="21" t="s">
        <v>46</v>
      </c>
      <c r="I3" s="21" t="s">
        <v>47</v>
      </c>
      <c r="J3" s="21" t="s">
        <v>44</v>
      </c>
      <c r="K3" s="21" t="s">
        <v>44</v>
      </c>
      <c r="L3" s="21" t="s">
        <v>44</v>
      </c>
      <c r="M3" s="21" t="s">
        <v>44</v>
      </c>
      <c r="N3" s="21" t="s">
        <v>44</v>
      </c>
      <c r="O3" s="21" t="s">
        <v>44</v>
      </c>
      <c r="P3" s="21"/>
      <c r="Q3" s="21"/>
      <c r="R3" s="15" t="s">
        <v>47</v>
      </c>
      <c r="S3" s="15" t="s">
        <v>44</v>
      </c>
      <c r="T3" s="15" t="s">
        <v>44</v>
      </c>
    </row>
    <row r="4" spans="1:24" ht="15.75" thickTop="1" x14ac:dyDescent="0.25">
      <c r="A4" s="13"/>
      <c r="B4" s="22"/>
      <c r="C4" s="23"/>
      <c r="D4" s="23"/>
      <c r="E4" s="23"/>
      <c r="F4" s="23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5"/>
    </row>
    <row r="5" spans="1:24" x14ac:dyDescent="0.25">
      <c r="A5" s="13" t="s">
        <v>128</v>
      </c>
      <c r="B5" s="33" t="s">
        <v>120</v>
      </c>
      <c r="C5">
        <v>47.8</v>
      </c>
      <c r="D5">
        <f>F5-C5</f>
        <v>6.8400000000000034</v>
      </c>
      <c r="E5" s="29">
        <v>8.14</v>
      </c>
      <c r="F5">
        <v>54.64</v>
      </c>
      <c r="G5" s="29">
        <f>E5-(F5-C5)</f>
        <v>1.2999999999999972</v>
      </c>
      <c r="H5" s="107">
        <f>G5/E5</f>
        <v>0.15970515970515933</v>
      </c>
      <c r="I5" s="106">
        <f>D5/E5</f>
        <v>0.84029484029484069</v>
      </c>
      <c r="J5" s="26">
        <v>10.426</v>
      </c>
      <c r="K5" s="28">
        <v>25.091999999999999</v>
      </c>
      <c r="L5" s="26">
        <v>14.665999999999999</v>
      </c>
      <c r="M5" s="28">
        <f>I5*L5</f>
        <v>12.323764127764132</v>
      </c>
      <c r="N5" s="13">
        <v>31.596</v>
      </c>
      <c r="O5" s="26">
        <f t="shared" ref="O5:O12" si="0">N5-J5</f>
        <v>21.17</v>
      </c>
      <c r="P5" s="27">
        <f t="shared" ref="P5:P12" si="1">(L5-M5)/(O5-M5)</f>
        <v>0.26477203480262512</v>
      </c>
      <c r="Q5" s="29">
        <f t="shared" ref="Q5:Q12" si="2">(((O5-M5)*0.6)+M5)/L5</f>
        <v>1.2022027581553019</v>
      </c>
      <c r="R5" s="13"/>
      <c r="S5">
        <v>24</v>
      </c>
      <c r="T5" s="30">
        <f t="shared" ref="T5:T12" si="3">S5*(Q5-1)</f>
        <v>4.8528661957272448</v>
      </c>
      <c r="U5">
        <v>1</v>
      </c>
      <c r="X5" s="33"/>
    </row>
    <row r="6" spans="1:24" x14ac:dyDescent="0.25">
      <c r="A6" s="104" t="s">
        <v>128</v>
      </c>
      <c r="B6" s="33" t="s">
        <v>121</v>
      </c>
      <c r="C6">
        <v>53.54</v>
      </c>
      <c r="D6">
        <f t="shared" ref="D6:D16" si="4">F6-C6</f>
        <v>6.1000000000000014</v>
      </c>
      <c r="E6" s="29">
        <v>7.47</v>
      </c>
      <c r="F6">
        <v>59.64</v>
      </c>
      <c r="G6" s="29">
        <f t="shared" ref="G6:G16" si="5">E6-(F6-C6)</f>
        <v>1.3699999999999983</v>
      </c>
      <c r="H6" s="107">
        <f t="shared" ref="H6:H16" si="6">G6/E6</f>
        <v>0.18340026773761692</v>
      </c>
      <c r="I6" s="106">
        <f t="shared" ref="I6:I16" si="7">D6/E6</f>
        <v>0.81659973226238303</v>
      </c>
      <c r="J6" s="26">
        <v>10.396000000000001</v>
      </c>
      <c r="K6" s="28">
        <v>25.493000000000002</v>
      </c>
      <c r="L6" s="26">
        <v>15.097</v>
      </c>
      <c r="M6" s="28">
        <f t="shared" ref="M6:M11" si="8">I6*L6</f>
        <v>12.328206157965196</v>
      </c>
      <c r="N6" s="13">
        <v>32.164999999999999</v>
      </c>
      <c r="O6" s="26">
        <f t="shared" si="0"/>
        <v>21.768999999999998</v>
      </c>
      <c r="P6" s="27">
        <f t="shared" si="1"/>
        <v>0.29327976951544543</v>
      </c>
      <c r="Q6" s="29">
        <f t="shared" si="2"/>
        <v>1.1918051575270636</v>
      </c>
      <c r="R6" s="13"/>
      <c r="S6">
        <v>25</v>
      </c>
      <c r="T6" s="30">
        <f t="shared" si="3"/>
        <v>4.7951289381765907</v>
      </c>
      <c r="U6">
        <v>2</v>
      </c>
      <c r="X6" s="33"/>
    </row>
    <row r="7" spans="1:24" x14ac:dyDescent="0.25">
      <c r="A7" s="104" t="s">
        <v>128</v>
      </c>
      <c r="B7" s="33" t="s">
        <v>122</v>
      </c>
      <c r="C7">
        <v>51.18</v>
      </c>
      <c r="D7">
        <f t="shared" si="4"/>
        <v>8.0200000000000031</v>
      </c>
      <c r="E7" s="29">
        <v>9.77</v>
      </c>
      <c r="F7">
        <v>59.2</v>
      </c>
      <c r="G7" s="29">
        <f t="shared" si="5"/>
        <v>1.7499999999999964</v>
      </c>
      <c r="H7" s="107">
        <f t="shared" si="6"/>
        <v>0.17911975435005081</v>
      </c>
      <c r="I7" s="106">
        <f t="shared" si="7"/>
        <v>0.82088024564994921</v>
      </c>
      <c r="J7" s="26">
        <v>10.423999999999999</v>
      </c>
      <c r="K7" s="28">
        <v>26.013999999999999</v>
      </c>
      <c r="L7" s="26">
        <v>15.59</v>
      </c>
      <c r="M7" s="28">
        <f t="shared" si="8"/>
        <v>12.797523029682708</v>
      </c>
      <c r="N7" s="13">
        <v>30.97</v>
      </c>
      <c r="O7" s="26">
        <f t="shared" si="0"/>
        <v>20.545999999999999</v>
      </c>
      <c r="P7" s="27">
        <f t="shared" si="1"/>
        <v>0.36039043298633477</v>
      </c>
      <c r="Q7" s="29">
        <f t="shared" si="2"/>
        <v>1.1190897506012241</v>
      </c>
      <c r="R7" s="22"/>
      <c r="S7">
        <v>24.5</v>
      </c>
      <c r="T7" s="30">
        <f t="shared" si="3"/>
        <v>2.9176988897299898</v>
      </c>
      <c r="U7">
        <v>3</v>
      </c>
      <c r="W7" s="7"/>
      <c r="X7" s="33"/>
    </row>
    <row r="8" spans="1:24" x14ac:dyDescent="0.25">
      <c r="A8" s="104" t="s">
        <v>128</v>
      </c>
      <c r="B8" s="33" t="s">
        <v>123</v>
      </c>
      <c r="C8">
        <v>52.25</v>
      </c>
      <c r="D8">
        <f t="shared" si="4"/>
        <v>5.4500000000000028</v>
      </c>
      <c r="E8" s="29">
        <v>7.08</v>
      </c>
      <c r="F8">
        <v>57.7</v>
      </c>
      <c r="G8" s="29">
        <f t="shared" si="5"/>
        <v>1.6299999999999972</v>
      </c>
      <c r="H8" s="107">
        <f t="shared" si="6"/>
        <v>0.23022598870056457</v>
      </c>
      <c r="I8" s="106">
        <f t="shared" si="7"/>
        <v>0.76977401129943546</v>
      </c>
      <c r="J8" s="26">
        <v>10.404999999999999</v>
      </c>
      <c r="K8" s="28">
        <v>26.393000000000001</v>
      </c>
      <c r="L8" s="26">
        <v>15.988</v>
      </c>
      <c r="M8" s="28">
        <f t="shared" si="8"/>
        <v>12.307146892655373</v>
      </c>
      <c r="N8" s="13">
        <v>33.267000000000003</v>
      </c>
      <c r="O8" s="26">
        <f t="shared" si="0"/>
        <v>22.862000000000002</v>
      </c>
      <c r="P8" s="27">
        <f t="shared" si="1"/>
        <v>0.34873560720454677</v>
      </c>
      <c r="Q8" s="29">
        <f t="shared" si="2"/>
        <v>1.1658780808770421</v>
      </c>
      <c r="R8" s="13"/>
      <c r="S8">
        <v>26</v>
      </c>
      <c r="T8" s="30">
        <f t="shared" si="3"/>
        <v>4.3128301028030958</v>
      </c>
      <c r="U8">
        <v>4</v>
      </c>
      <c r="W8" s="7"/>
      <c r="X8" s="33"/>
    </row>
    <row r="9" spans="1:24" x14ac:dyDescent="0.25">
      <c r="A9" s="104" t="s">
        <v>128</v>
      </c>
      <c r="B9" s="33" t="s">
        <v>124</v>
      </c>
      <c r="C9">
        <v>48.77</v>
      </c>
      <c r="D9">
        <f t="shared" si="4"/>
        <v>6.5799999999999983</v>
      </c>
      <c r="E9" s="29">
        <v>7.92</v>
      </c>
      <c r="F9">
        <v>55.35</v>
      </c>
      <c r="G9" s="29">
        <f t="shared" si="5"/>
        <v>1.3400000000000016</v>
      </c>
      <c r="H9" s="107">
        <f t="shared" si="6"/>
        <v>0.16919191919191939</v>
      </c>
      <c r="I9" s="106">
        <f t="shared" si="7"/>
        <v>0.83080808080808055</v>
      </c>
      <c r="J9" s="26">
        <v>10.359</v>
      </c>
      <c r="K9" s="28">
        <v>25.810000000000002</v>
      </c>
      <c r="L9" s="26">
        <v>15.451000000000001</v>
      </c>
      <c r="M9" s="28">
        <f t="shared" si="8"/>
        <v>12.836815656565653</v>
      </c>
      <c r="N9" s="13">
        <v>32.561</v>
      </c>
      <c r="O9" s="26">
        <f t="shared" si="0"/>
        <v>22.201999999999998</v>
      </c>
      <c r="P9" s="27">
        <f t="shared" si="1"/>
        <v>0.27913858900888322</v>
      </c>
      <c r="Q9" s="29">
        <f t="shared" si="2"/>
        <v>1.1944810214630937</v>
      </c>
      <c r="R9" s="13"/>
      <c r="S9">
        <v>24</v>
      </c>
      <c r="T9" s="30">
        <f t="shared" si="3"/>
        <v>4.6675445151142476</v>
      </c>
      <c r="U9">
        <v>5</v>
      </c>
      <c r="X9" s="33"/>
    </row>
    <row r="10" spans="1:24" x14ac:dyDescent="0.25">
      <c r="A10" s="104" t="s">
        <v>128</v>
      </c>
      <c r="B10" s="33" t="s">
        <v>125</v>
      </c>
      <c r="C10">
        <v>49.03</v>
      </c>
      <c r="D10">
        <f t="shared" si="4"/>
        <v>5.8299999999999983</v>
      </c>
      <c r="E10" s="29">
        <v>7.24</v>
      </c>
      <c r="F10">
        <v>54.86</v>
      </c>
      <c r="G10" s="29">
        <f t="shared" si="5"/>
        <v>1.4100000000000019</v>
      </c>
      <c r="H10" s="107">
        <f t="shared" si="6"/>
        <v>0.19475138121546987</v>
      </c>
      <c r="I10" s="106">
        <f t="shared" si="7"/>
        <v>0.80524861878453013</v>
      </c>
      <c r="J10" s="26">
        <v>10.426</v>
      </c>
      <c r="K10" s="28">
        <v>26.590000000000003</v>
      </c>
      <c r="L10" s="26">
        <v>16.164000000000001</v>
      </c>
      <c r="M10" s="28">
        <f t="shared" si="8"/>
        <v>13.016038674033146</v>
      </c>
      <c r="N10" s="13">
        <v>33.450000000000003</v>
      </c>
      <c r="O10" s="26">
        <f t="shared" si="0"/>
        <v>23.024000000000001</v>
      </c>
      <c r="P10" s="27">
        <f t="shared" si="1"/>
        <v>0.31454571250181523</v>
      </c>
      <c r="Q10" s="29">
        <f t="shared" si="2"/>
        <v>1.1767393881225721</v>
      </c>
      <c r="R10" s="13"/>
      <c r="S10">
        <v>25</v>
      </c>
      <c r="T10" s="30">
        <f t="shared" si="3"/>
        <v>4.4184847030643013</v>
      </c>
      <c r="U10">
        <v>6</v>
      </c>
      <c r="X10" s="33"/>
    </row>
    <row r="11" spans="1:24" x14ac:dyDescent="0.25">
      <c r="A11" s="13" t="s">
        <v>136</v>
      </c>
      <c r="B11" s="33" t="s">
        <v>120</v>
      </c>
      <c r="C11">
        <v>53.548999999999999</v>
      </c>
      <c r="D11">
        <f t="shared" si="4"/>
        <v>10.002000000000002</v>
      </c>
      <c r="E11" s="29">
        <v>10.000999999999999</v>
      </c>
      <c r="F11">
        <v>63.551000000000002</v>
      </c>
      <c r="G11" s="29">
        <f t="shared" si="5"/>
        <v>-1.0000000000029985E-3</v>
      </c>
      <c r="H11" s="107">
        <f t="shared" si="6"/>
        <v>-9.9990001000199838E-5</v>
      </c>
      <c r="I11" s="106">
        <f t="shared" si="7"/>
        <v>1.0000999900010001</v>
      </c>
      <c r="J11" s="13">
        <v>10.426</v>
      </c>
      <c r="K11" s="26">
        <v>10.445</v>
      </c>
      <c r="L11" s="13">
        <v>16.422000000000001</v>
      </c>
      <c r="M11" s="28">
        <f t="shared" si="8"/>
        <v>16.423642035796426</v>
      </c>
      <c r="N11" s="22">
        <v>36.966000000000001</v>
      </c>
      <c r="O11" s="26">
        <f t="shared" si="0"/>
        <v>26.54</v>
      </c>
      <c r="P11" s="27">
        <f t="shared" si="1"/>
        <v>-1.6231491632028432E-4</v>
      </c>
      <c r="Q11" s="29">
        <f t="shared" si="2"/>
        <v>1.36971482245272</v>
      </c>
      <c r="R11" s="13"/>
      <c r="S11" s="29">
        <v>20</v>
      </c>
      <c r="T11" s="30">
        <f t="shared" si="3"/>
        <v>7.3942964490544005</v>
      </c>
      <c r="U11">
        <v>7</v>
      </c>
      <c r="W11" s="7"/>
      <c r="X11" s="33"/>
    </row>
    <row r="12" spans="1:24" x14ac:dyDescent="0.25">
      <c r="A12" s="111" t="s">
        <v>136</v>
      </c>
      <c r="B12" s="33" t="s">
        <v>121</v>
      </c>
      <c r="C12">
        <v>52.241999999999997</v>
      </c>
      <c r="D12">
        <f t="shared" si="4"/>
        <v>10.410000000000004</v>
      </c>
      <c r="E12" s="29">
        <v>10.409000000000001</v>
      </c>
      <c r="F12">
        <v>62.652000000000001</v>
      </c>
      <c r="G12" s="29">
        <f t="shared" si="5"/>
        <v>-1.0000000000029985E-3</v>
      </c>
      <c r="H12" s="107">
        <f t="shared" si="6"/>
        <v>-9.6070708041406328E-5</v>
      </c>
      <c r="I12" s="106">
        <f t="shared" si="7"/>
        <v>1.0000960707080413</v>
      </c>
      <c r="J12" s="22">
        <v>10.396000000000001</v>
      </c>
      <c r="K12" s="26">
        <v>10.525</v>
      </c>
      <c r="L12" s="22">
        <v>14.781000000000001</v>
      </c>
      <c r="M12" s="28">
        <f>I12*L12</f>
        <v>14.782420021135559</v>
      </c>
      <c r="N12" s="22">
        <v>35.159999999999997</v>
      </c>
      <c r="O12" s="26">
        <f t="shared" si="0"/>
        <v>24.763999999999996</v>
      </c>
      <c r="P12" s="27">
        <f t="shared" si="1"/>
        <v>-1.4226416444745689E-4</v>
      </c>
      <c r="Q12" s="29">
        <f t="shared" si="2"/>
        <v>1.4052748804853676</v>
      </c>
      <c r="R12" s="22"/>
      <c r="S12" s="29">
        <v>20</v>
      </c>
      <c r="T12" s="30">
        <f t="shared" si="3"/>
        <v>8.1054976097073528</v>
      </c>
      <c r="U12">
        <v>8</v>
      </c>
      <c r="W12" s="7"/>
      <c r="X12" s="33"/>
    </row>
    <row r="13" spans="1:24" x14ac:dyDescent="0.25">
      <c r="A13" s="111" t="s">
        <v>136</v>
      </c>
      <c r="B13" s="33" t="s">
        <v>122</v>
      </c>
      <c r="C13">
        <v>49.024000000000001</v>
      </c>
      <c r="D13">
        <f t="shared" si="4"/>
        <v>10.021000000000001</v>
      </c>
      <c r="E13" s="29">
        <v>10.02</v>
      </c>
      <c r="F13">
        <v>59.045000000000002</v>
      </c>
      <c r="G13" s="29">
        <f t="shared" si="5"/>
        <v>-1.0000000000012221E-3</v>
      </c>
      <c r="H13" s="107">
        <f t="shared" si="6"/>
        <v>-9.9800399201718773E-5</v>
      </c>
      <c r="I13" s="106">
        <f t="shared" si="7"/>
        <v>1.0000998003992017</v>
      </c>
      <c r="J13" s="26">
        <v>10.423999999999999</v>
      </c>
      <c r="K13" s="26">
        <v>10.454000000000001</v>
      </c>
      <c r="L13" s="26">
        <v>15.047000000000001</v>
      </c>
      <c r="M13" s="26">
        <f>I13*L13</f>
        <v>15.048501696606788</v>
      </c>
      <c r="N13" s="22">
        <v>34.933</v>
      </c>
      <c r="O13" s="26">
        <f>N13-J13</f>
        <v>24.509</v>
      </c>
      <c r="P13" s="27">
        <f>(L13-M13)/(O13-M13)</f>
        <v>-1.5873335194711101E-4</v>
      </c>
      <c r="Q13" s="29">
        <f>(((O13-M13)*0.6)+M13)/L13</f>
        <v>1.3773377203856394</v>
      </c>
      <c r="R13" s="31"/>
      <c r="S13" s="29">
        <v>20</v>
      </c>
      <c r="T13" s="30">
        <f>S13*(Q13-1)</f>
        <v>7.5467544077127879</v>
      </c>
      <c r="U13">
        <v>9</v>
      </c>
      <c r="W13" s="7"/>
      <c r="X13" s="33"/>
    </row>
    <row r="14" spans="1:24" x14ac:dyDescent="0.25">
      <c r="A14" s="111" t="s">
        <v>136</v>
      </c>
      <c r="B14" s="33" t="s">
        <v>123</v>
      </c>
      <c r="C14">
        <v>47.802</v>
      </c>
      <c r="D14">
        <f t="shared" si="4"/>
        <v>10.386000000000003</v>
      </c>
      <c r="E14" s="29">
        <v>10.384</v>
      </c>
      <c r="F14">
        <v>58.188000000000002</v>
      </c>
      <c r="G14" s="29">
        <f t="shared" si="5"/>
        <v>-2.0000000000024443E-3</v>
      </c>
      <c r="H14" s="107">
        <f t="shared" si="6"/>
        <v>-1.9260400616356358E-4</v>
      </c>
      <c r="I14" s="106">
        <f t="shared" si="7"/>
        <v>1.0001926040061635</v>
      </c>
      <c r="J14" s="28">
        <v>10.404999999999999</v>
      </c>
      <c r="K14" s="26">
        <v>10.654999999999999</v>
      </c>
      <c r="L14" s="26">
        <v>15.047000000000001</v>
      </c>
      <c r="M14" s="26">
        <f>I14*L14</f>
        <v>15.049898112480744</v>
      </c>
      <c r="N14" s="22">
        <v>36.795000000000002</v>
      </c>
      <c r="O14" s="26">
        <f>N14-J14</f>
        <v>26.39</v>
      </c>
      <c r="P14" s="27">
        <f>(L14-M14)/(O14-M14)</f>
        <v>-2.5556317831082519E-4</v>
      </c>
      <c r="Q14" s="29">
        <f>(((O14-M14)*0.6)+M14)/L14</f>
        <v>1.4523798262106928</v>
      </c>
      <c r="R14" s="31"/>
      <c r="S14" s="29">
        <v>20</v>
      </c>
      <c r="T14" s="30">
        <f>S14*(Q14-1)</f>
        <v>9.0475965242138567</v>
      </c>
      <c r="U14">
        <v>10</v>
      </c>
      <c r="X14" s="33"/>
    </row>
    <row r="15" spans="1:24" x14ac:dyDescent="0.25">
      <c r="A15" s="111" t="s">
        <v>136</v>
      </c>
      <c r="B15" s="33" t="s">
        <v>124</v>
      </c>
      <c r="C15">
        <v>51.18</v>
      </c>
      <c r="D15">
        <f t="shared" si="4"/>
        <v>10.503999999999998</v>
      </c>
      <c r="E15" s="29">
        <v>10.503</v>
      </c>
      <c r="F15">
        <v>61.683999999999997</v>
      </c>
      <c r="G15" s="29">
        <f t="shared" si="5"/>
        <v>-9.9999999999766942E-4</v>
      </c>
      <c r="H15" s="107">
        <f t="shared" si="6"/>
        <v>-9.521089212583732E-5</v>
      </c>
      <c r="I15" s="106">
        <f t="shared" si="7"/>
        <v>1.0000952108921259</v>
      </c>
      <c r="J15" s="32">
        <v>10.359</v>
      </c>
      <c r="K15" s="26">
        <v>10.554</v>
      </c>
      <c r="L15" s="26">
        <v>15.86</v>
      </c>
      <c r="M15" s="26">
        <f>I15*L15</f>
        <v>15.861510044749117</v>
      </c>
      <c r="N15" s="22">
        <v>36.820999999999998</v>
      </c>
      <c r="O15" s="26">
        <f>N15-J15</f>
        <v>26.461999999999996</v>
      </c>
      <c r="P15" s="27">
        <f t="shared" ref="P15" si="9">(L15-M15)/(O15-M15)</f>
        <v>-1.4245046743050559E-4</v>
      </c>
      <c r="Q15" s="29">
        <f>(((O15-M15)*0.6)+M15)/L15</f>
        <v>1.4011225736380608</v>
      </c>
      <c r="R15" s="31"/>
      <c r="S15" s="29">
        <v>20</v>
      </c>
      <c r="T15" s="30">
        <f>S15*(Q15-1)</f>
        <v>8.0224514727612153</v>
      </c>
      <c r="U15">
        <v>11</v>
      </c>
      <c r="X15" s="33"/>
    </row>
    <row r="16" spans="1:24" x14ac:dyDescent="0.25">
      <c r="A16" s="111" t="s">
        <v>136</v>
      </c>
      <c r="B16" s="33" t="s">
        <v>125</v>
      </c>
      <c r="C16">
        <v>48.771999999999998</v>
      </c>
      <c r="D16">
        <f t="shared" si="4"/>
        <v>10.971000000000004</v>
      </c>
      <c r="E16" s="29">
        <v>10.97</v>
      </c>
      <c r="F16">
        <v>59.743000000000002</v>
      </c>
      <c r="G16" s="29">
        <f t="shared" si="5"/>
        <v>-1.0000000000029985E-3</v>
      </c>
      <c r="H16" s="107">
        <f t="shared" si="6"/>
        <v>-9.1157702826162118E-5</v>
      </c>
      <c r="I16" s="106">
        <f t="shared" si="7"/>
        <v>1.0000911577028262</v>
      </c>
      <c r="J16" s="32">
        <v>10.426</v>
      </c>
      <c r="K16" s="26">
        <v>10.343</v>
      </c>
      <c r="L16" s="26">
        <v>14.923999999999999</v>
      </c>
      <c r="M16" s="26">
        <f t="shared" ref="M16" si="10">I16*L16</f>
        <v>14.925360437556977</v>
      </c>
      <c r="N16" s="22">
        <v>35.161000000000001</v>
      </c>
      <c r="O16" s="26">
        <f t="shared" ref="O16" si="11">N16-J16</f>
        <v>24.734999999999999</v>
      </c>
      <c r="P16" s="27">
        <f>(L16-M16)/(O16-M16)</f>
        <v>-1.3868374554615518E-4</v>
      </c>
      <c r="Q16" s="29">
        <f t="shared" ref="Q16" si="12">(((O16-M16)*0.6)+M16)/L16</f>
        <v>1.3944749514220578</v>
      </c>
      <c r="R16" s="31"/>
      <c r="S16" s="29">
        <v>20</v>
      </c>
      <c r="T16" s="30">
        <f t="shared" ref="T16" si="13">S16*(Q16-1)</f>
        <v>7.8894990284411559</v>
      </c>
      <c r="U16">
        <v>12</v>
      </c>
      <c r="X16" s="33"/>
    </row>
    <row r="18" spans="18:22" x14ac:dyDescent="0.25">
      <c r="S18" t="s">
        <v>137</v>
      </c>
    </row>
    <row r="19" spans="18:22" x14ac:dyDescent="0.25">
      <c r="R19">
        <v>24</v>
      </c>
      <c r="S19" s="10">
        <f>R19*I5</f>
        <v>20.167076167076175</v>
      </c>
    </row>
    <row r="20" spans="18:22" x14ac:dyDescent="0.25">
      <c r="R20">
        <v>25</v>
      </c>
      <c r="S20" s="10">
        <f t="shared" ref="S20:S24" si="14">R20*I6</f>
        <v>20.414993306559577</v>
      </c>
      <c r="V20" s="10"/>
    </row>
    <row r="21" spans="18:22" x14ac:dyDescent="0.25">
      <c r="R21">
        <v>24.5</v>
      </c>
      <c r="S21" s="10">
        <f t="shared" si="14"/>
        <v>20.111566018423755</v>
      </c>
    </row>
    <row r="22" spans="18:22" x14ac:dyDescent="0.25">
      <c r="R22">
        <v>26</v>
      </c>
      <c r="S22" s="10">
        <f t="shared" si="14"/>
        <v>20.014124293785322</v>
      </c>
    </row>
    <row r="23" spans="18:22" x14ac:dyDescent="0.25">
      <c r="R23">
        <v>24</v>
      </c>
      <c r="S23" s="10">
        <f t="shared" si="14"/>
        <v>19.939393939393934</v>
      </c>
    </row>
    <row r="24" spans="18:22" x14ac:dyDescent="0.25">
      <c r="R24">
        <v>25</v>
      </c>
      <c r="S24" s="10">
        <f t="shared" si="14"/>
        <v>20.131215469613252</v>
      </c>
    </row>
  </sheetData>
  <mergeCells count="1">
    <mergeCell ref="A1:B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B15" sqref="B15:B26"/>
    </sheetView>
  </sheetViews>
  <sheetFormatPr baseColWidth="10" defaultRowHeight="15" x14ac:dyDescent="0.25"/>
  <sheetData>
    <row r="1" spans="1:7" ht="15.75" x14ac:dyDescent="0.25">
      <c r="A1" s="91" t="s">
        <v>103</v>
      </c>
      <c r="B1" s="91"/>
    </row>
    <row r="2" spans="1:7" ht="47.25" x14ac:dyDescent="0.25">
      <c r="A2" s="92"/>
      <c r="B2" s="92" t="s">
        <v>104</v>
      </c>
      <c r="C2" s="92" t="s">
        <v>81</v>
      </c>
      <c r="D2" s="94" t="s">
        <v>105</v>
      </c>
      <c r="E2" s="94" t="s">
        <v>106</v>
      </c>
      <c r="F2" s="92"/>
      <c r="G2" s="94"/>
    </row>
    <row r="3" spans="1:7" ht="15.75" x14ac:dyDescent="0.25">
      <c r="A3" s="92"/>
      <c r="B3" s="1"/>
      <c r="C3" s="95" t="s">
        <v>107</v>
      </c>
      <c r="D3" s="1"/>
      <c r="E3" s="1"/>
      <c r="F3" s="95"/>
      <c r="G3" s="1"/>
    </row>
    <row r="4" spans="1:7" ht="15.75" x14ac:dyDescent="0.25">
      <c r="A4" s="92"/>
      <c r="B4" s="1"/>
      <c r="C4" s="95" t="s">
        <v>108</v>
      </c>
      <c r="D4" s="1"/>
      <c r="E4" s="1"/>
      <c r="F4" s="95"/>
      <c r="G4" s="1"/>
    </row>
    <row r="5" spans="1:7" ht="15.75" x14ac:dyDescent="0.25">
      <c r="A5" s="92"/>
      <c r="B5" s="1"/>
      <c r="C5" s="95" t="s">
        <v>109</v>
      </c>
      <c r="D5" s="1"/>
      <c r="E5" s="1"/>
      <c r="F5" s="95"/>
      <c r="G5" s="1"/>
    </row>
    <row r="6" spans="1:7" ht="15.75" x14ac:dyDescent="0.25">
      <c r="A6" s="92"/>
      <c r="B6" s="1"/>
      <c r="C6" s="95" t="s">
        <v>110</v>
      </c>
      <c r="D6" s="1"/>
      <c r="E6" s="1"/>
      <c r="F6" s="95"/>
      <c r="G6" s="1"/>
    </row>
    <row r="7" spans="1:7" ht="15.75" x14ac:dyDescent="0.25">
      <c r="A7" s="92"/>
      <c r="B7" s="1"/>
      <c r="C7" s="95" t="s">
        <v>111</v>
      </c>
      <c r="D7" s="1"/>
      <c r="E7" s="1"/>
      <c r="F7" s="95"/>
      <c r="G7" s="1"/>
    </row>
    <row r="8" spans="1:7" ht="15.75" x14ac:dyDescent="0.25">
      <c r="A8" s="92"/>
      <c r="B8" s="1"/>
      <c r="C8" s="95" t="s">
        <v>112</v>
      </c>
      <c r="D8" s="1"/>
      <c r="E8" s="1"/>
      <c r="F8" s="95"/>
      <c r="G8" s="1"/>
    </row>
    <row r="9" spans="1:7" ht="15.75" x14ac:dyDescent="0.25">
      <c r="A9" s="92"/>
      <c r="B9" s="1"/>
      <c r="C9" s="95" t="s">
        <v>113</v>
      </c>
      <c r="D9" s="1"/>
      <c r="E9" s="1"/>
      <c r="F9" s="95"/>
      <c r="G9" s="1"/>
    </row>
    <row r="10" spans="1:7" ht="15.75" x14ac:dyDescent="0.25">
      <c r="A10" s="92"/>
      <c r="B10" s="1"/>
      <c r="C10" s="95" t="s">
        <v>114</v>
      </c>
      <c r="D10" s="1"/>
      <c r="E10" s="1"/>
      <c r="F10" s="95"/>
      <c r="G10" s="1"/>
    </row>
    <row r="11" spans="1:7" ht="15.75" x14ac:dyDescent="0.25">
      <c r="A11" s="92"/>
      <c r="B11" s="1"/>
      <c r="C11" s="95" t="s">
        <v>115</v>
      </c>
      <c r="D11" s="1"/>
      <c r="E11" s="1"/>
      <c r="F11" s="95"/>
      <c r="G11" s="1"/>
    </row>
    <row r="12" spans="1:7" ht="15.75" x14ac:dyDescent="0.25">
      <c r="A12" s="92"/>
      <c r="B12" s="1"/>
      <c r="C12" s="95" t="s">
        <v>116</v>
      </c>
      <c r="D12" s="1"/>
      <c r="E12" s="1"/>
      <c r="F12" s="95"/>
      <c r="G12" s="1"/>
    </row>
    <row r="13" spans="1:7" ht="15.75" x14ac:dyDescent="0.25">
      <c r="A13" s="92"/>
      <c r="B13" s="1"/>
      <c r="C13" s="95">
        <v>0.2</v>
      </c>
      <c r="D13" s="1"/>
      <c r="E13" s="1"/>
      <c r="F13" s="95"/>
      <c r="G13" s="1"/>
    </row>
    <row r="14" spans="1:7" ht="15.75" x14ac:dyDescent="0.25">
      <c r="A14" s="96"/>
      <c r="B14" s="96"/>
      <c r="C14" s="95">
        <v>0.1</v>
      </c>
      <c r="D14" s="93"/>
      <c r="E14" s="96"/>
      <c r="F14" s="96"/>
      <c r="G14" s="96"/>
    </row>
    <row r="15" spans="1:7" x14ac:dyDescent="0.25">
      <c r="A15" s="98"/>
      <c r="B15" s="33"/>
      <c r="C15" s="5"/>
      <c r="D15" s="1"/>
      <c r="E15" s="97"/>
      <c r="F15" s="97"/>
      <c r="G15" s="97"/>
    </row>
    <row r="16" spans="1:7" x14ac:dyDescent="0.25">
      <c r="A16" s="98"/>
      <c r="B16" s="33"/>
      <c r="C16" s="5"/>
      <c r="D16" s="1"/>
      <c r="E16" s="97"/>
      <c r="F16" s="97"/>
      <c r="G16" s="97"/>
    </row>
    <row r="17" spans="1:7" x14ac:dyDescent="0.25">
      <c r="A17" s="98"/>
      <c r="B17" s="33"/>
      <c r="C17" s="5"/>
      <c r="D17" s="1"/>
      <c r="E17" s="97"/>
      <c r="F17" s="97"/>
      <c r="G17" s="97"/>
    </row>
    <row r="18" spans="1:7" x14ac:dyDescent="0.25">
      <c r="A18" s="98"/>
      <c r="B18" s="33"/>
      <c r="C18" s="5"/>
      <c r="D18" s="1"/>
      <c r="E18" s="97"/>
      <c r="F18" s="97"/>
      <c r="G18" s="97"/>
    </row>
    <row r="19" spans="1:7" x14ac:dyDescent="0.25">
      <c r="A19" s="98"/>
      <c r="B19" s="33"/>
      <c r="C19" s="5"/>
      <c r="D19" s="1"/>
      <c r="E19" s="97"/>
      <c r="F19" s="97"/>
      <c r="G19" s="97"/>
    </row>
    <row r="20" spans="1:7" x14ac:dyDescent="0.25">
      <c r="A20" s="98"/>
      <c r="B20" s="33"/>
      <c r="C20" s="5"/>
      <c r="D20" s="1"/>
      <c r="E20" s="97"/>
      <c r="F20" s="97"/>
      <c r="G20" s="97"/>
    </row>
    <row r="21" spans="1:7" x14ac:dyDescent="0.25">
      <c r="A21" s="98"/>
      <c r="B21" s="33"/>
      <c r="C21" s="5"/>
      <c r="D21" s="1"/>
      <c r="E21" s="97"/>
      <c r="F21" s="97"/>
      <c r="G21" s="97"/>
    </row>
    <row r="22" spans="1:7" x14ac:dyDescent="0.25">
      <c r="A22" s="98"/>
      <c r="B22" s="33"/>
      <c r="C22" s="5"/>
      <c r="D22" s="1"/>
      <c r="E22" s="97"/>
      <c r="F22" s="97"/>
      <c r="G22" s="97"/>
    </row>
    <row r="23" spans="1:7" x14ac:dyDescent="0.25">
      <c r="A23" s="98"/>
      <c r="B23" s="33"/>
      <c r="C23" s="5"/>
      <c r="D23" s="1"/>
      <c r="E23" s="97"/>
      <c r="F23" s="97"/>
      <c r="G23" s="97"/>
    </row>
    <row r="24" spans="1:7" x14ac:dyDescent="0.25">
      <c r="A24" s="98"/>
      <c r="B24" s="33"/>
      <c r="C24" s="5"/>
      <c r="D24" s="1"/>
      <c r="E24" s="97"/>
      <c r="F24" s="97"/>
      <c r="G24" s="97"/>
    </row>
    <row r="25" spans="1:7" x14ac:dyDescent="0.25">
      <c r="A25" s="98"/>
      <c r="B25" s="33"/>
      <c r="C25" s="5"/>
      <c r="D25" s="1"/>
      <c r="E25" s="97"/>
      <c r="F25" s="97"/>
      <c r="G25" s="97"/>
    </row>
    <row r="26" spans="1:7" x14ac:dyDescent="0.25">
      <c r="A26" s="98"/>
      <c r="B26" s="33"/>
      <c r="C26" s="5"/>
      <c r="D26" s="1"/>
      <c r="E26" s="97"/>
      <c r="F26" s="97"/>
      <c r="G26" s="97"/>
    </row>
    <row r="27" spans="1:7" x14ac:dyDescent="0.25">
      <c r="A27" s="96"/>
      <c r="B27" s="5"/>
      <c r="C27" s="5"/>
      <c r="D27" s="5"/>
      <c r="E27" s="97"/>
      <c r="F27" s="97"/>
      <c r="G27" s="97"/>
    </row>
    <row r="28" spans="1:7" x14ac:dyDescent="0.25">
      <c r="A28" s="96"/>
      <c r="B28" s="5"/>
      <c r="C28" s="5"/>
      <c r="D28" s="5"/>
      <c r="E28" s="97"/>
      <c r="F28" s="97"/>
      <c r="G28" s="97"/>
    </row>
    <row r="29" spans="1:7" x14ac:dyDescent="0.25">
      <c r="A29" s="96"/>
      <c r="B29" s="5"/>
      <c r="C29" s="5"/>
      <c r="D29" s="5"/>
      <c r="E29" s="97"/>
      <c r="F29" s="97"/>
      <c r="G29" s="97"/>
    </row>
    <row r="30" spans="1:7" x14ac:dyDescent="0.25">
      <c r="A30" s="96"/>
      <c r="B30" s="5"/>
      <c r="C30" s="5"/>
      <c r="D30" s="5"/>
      <c r="E30" s="97"/>
      <c r="F30" s="97"/>
      <c r="G30" s="97"/>
    </row>
    <row r="31" spans="1:7" x14ac:dyDescent="0.25">
      <c r="A31" s="96"/>
      <c r="B31" s="5"/>
      <c r="C31" s="5"/>
      <c r="D31" s="5"/>
      <c r="E31" s="97"/>
      <c r="F31" s="97"/>
      <c r="G31" s="97"/>
    </row>
    <row r="32" spans="1:7" x14ac:dyDescent="0.25">
      <c r="A32" s="96"/>
      <c r="B32" s="5"/>
      <c r="C32" s="5"/>
      <c r="D32" s="5"/>
      <c r="E32" s="97"/>
      <c r="F32" s="97"/>
      <c r="G32" s="97"/>
    </row>
    <row r="33" spans="1:7" x14ac:dyDescent="0.25">
      <c r="A33" s="96"/>
      <c r="B33" s="5"/>
      <c r="C33" s="5"/>
      <c r="D33" s="5"/>
      <c r="E33" s="97"/>
      <c r="F33" s="97"/>
      <c r="G33" s="97"/>
    </row>
    <row r="34" spans="1:7" x14ac:dyDescent="0.25">
      <c r="A34" s="96"/>
      <c r="B34" s="5"/>
      <c r="C34" s="5"/>
      <c r="D34" s="5"/>
      <c r="E34" s="96"/>
      <c r="F34" s="96"/>
      <c r="G34" s="96"/>
    </row>
    <row r="35" spans="1:7" x14ac:dyDescent="0.25">
      <c r="A35" s="96"/>
      <c r="B35" s="5"/>
      <c r="C35" s="5"/>
      <c r="D35" s="5"/>
      <c r="E35" s="96"/>
      <c r="F35" s="96"/>
      <c r="G35" s="96"/>
    </row>
    <row r="36" spans="1:7" x14ac:dyDescent="0.25">
      <c r="A36" s="96"/>
      <c r="B36" s="5"/>
      <c r="C36" s="5"/>
      <c r="D36" s="5"/>
      <c r="E36" s="96"/>
      <c r="F36" s="96"/>
      <c r="G36" s="96"/>
    </row>
    <row r="37" spans="1:7" x14ac:dyDescent="0.25">
      <c r="A37" s="96"/>
      <c r="B37" s="5"/>
      <c r="C37" s="5"/>
      <c r="D37" s="5"/>
      <c r="E37" s="96"/>
      <c r="F37" s="96"/>
      <c r="G37" s="96"/>
    </row>
    <row r="38" spans="1:7" x14ac:dyDescent="0.25">
      <c r="A38" s="96"/>
      <c r="B38" s="5"/>
      <c r="C38" s="5"/>
      <c r="D38" s="5"/>
      <c r="E38" s="96"/>
      <c r="F38" s="96"/>
      <c r="G38" s="96"/>
    </row>
    <row r="39" spans="1:7" x14ac:dyDescent="0.25">
      <c r="A39" s="96"/>
      <c r="B39" s="5"/>
      <c r="C39" s="5"/>
      <c r="D39" s="5"/>
      <c r="E39" s="96"/>
      <c r="F39" s="96"/>
      <c r="G39" s="96"/>
    </row>
    <row r="40" spans="1:7" x14ac:dyDescent="0.25">
      <c r="A40" s="96"/>
      <c r="B40" s="5"/>
      <c r="C40" s="5"/>
      <c r="D40" s="5"/>
      <c r="E40" s="96"/>
      <c r="F40" s="96"/>
      <c r="G40" s="96"/>
    </row>
    <row r="41" spans="1:7" x14ac:dyDescent="0.25">
      <c r="A41" s="96"/>
      <c r="B41" s="5"/>
      <c r="C41" s="5"/>
      <c r="D41" s="5"/>
      <c r="E41" s="96"/>
      <c r="F41" s="96"/>
      <c r="G41" s="96"/>
    </row>
    <row r="42" spans="1:7" ht="15.75" x14ac:dyDescent="0.25">
      <c r="A42" s="96"/>
      <c r="B42" s="96"/>
      <c r="C42" s="93"/>
      <c r="D42" s="93"/>
      <c r="E42" s="96"/>
      <c r="F42" s="96"/>
      <c r="G42" s="96"/>
    </row>
    <row r="43" spans="1:7" ht="15.75" x14ac:dyDescent="0.25">
      <c r="A43" s="96"/>
      <c r="B43" s="96"/>
      <c r="C43" s="93"/>
      <c r="D43" s="93"/>
      <c r="E43" s="96"/>
      <c r="F43" s="96"/>
      <c r="G43" s="96"/>
    </row>
    <row r="44" spans="1:7" ht="15.75" x14ac:dyDescent="0.25">
      <c r="A44" s="96"/>
      <c r="B44" s="96"/>
      <c r="C44" s="93"/>
      <c r="D44" s="93"/>
      <c r="E44" s="96"/>
      <c r="F44" s="96"/>
      <c r="G44" s="96"/>
    </row>
    <row r="45" spans="1:7" ht="15.75" x14ac:dyDescent="0.25">
      <c r="A45" s="96"/>
      <c r="B45" s="96"/>
      <c r="C45" s="93"/>
      <c r="D45" s="93"/>
      <c r="E45" s="96"/>
      <c r="F45" s="96"/>
      <c r="G45" s="96"/>
    </row>
    <row r="46" spans="1:7" ht="15.75" x14ac:dyDescent="0.25">
      <c r="A46" s="96"/>
      <c r="B46" s="96"/>
      <c r="C46" s="93"/>
      <c r="D46" s="93"/>
      <c r="E46" s="96"/>
      <c r="F46" s="96"/>
      <c r="G46" s="96"/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B2" sqref="B2:B26"/>
    </sheetView>
  </sheetViews>
  <sheetFormatPr baseColWidth="10" defaultRowHeight="15" x14ac:dyDescent="0.25"/>
  <sheetData>
    <row r="1" spans="1:10" x14ac:dyDescent="0.25">
      <c r="A1" s="108" t="s">
        <v>131</v>
      </c>
      <c r="B1" s="108" t="s">
        <v>6</v>
      </c>
      <c r="C1" s="108" t="s">
        <v>132</v>
      </c>
      <c r="D1" s="108" t="s">
        <v>133</v>
      </c>
      <c r="E1" s="108" t="s">
        <v>104</v>
      </c>
      <c r="F1" s="108"/>
      <c r="G1" s="108"/>
      <c r="H1" s="108" t="s">
        <v>132</v>
      </c>
      <c r="I1" s="108" t="s">
        <v>133</v>
      </c>
      <c r="J1" s="108" t="s">
        <v>104</v>
      </c>
    </row>
    <row r="2" spans="1:10" x14ac:dyDescent="0.25">
      <c r="A2" s="109">
        <v>1</v>
      </c>
      <c r="B2" s="109"/>
      <c r="C2" s="109"/>
      <c r="D2" s="109"/>
      <c r="E2" s="109"/>
      <c r="F2" s="109">
        <v>31</v>
      </c>
      <c r="G2" s="109"/>
      <c r="H2" s="109"/>
      <c r="I2" s="109"/>
      <c r="J2" s="109"/>
    </row>
    <row r="3" spans="1:10" x14ac:dyDescent="0.25">
      <c r="A3" s="109">
        <v>2</v>
      </c>
      <c r="B3" s="109"/>
      <c r="C3" s="109"/>
      <c r="D3" s="109"/>
      <c r="E3" s="109"/>
      <c r="F3" s="109">
        <v>32</v>
      </c>
      <c r="G3" s="109"/>
      <c r="H3" s="109"/>
      <c r="I3" s="109"/>
      <c r="J3" s="109"/>
    </row>
    <row r="4" spans="1:10" x14ac:dyDescent="0.25">
      <c r="A4" s="109">
        <v>3</v>
      </c>
      <c r="B4" s="109"/>
      <c r="C4" s="109"/>
      <c r="D4" s="109"/>
      <c r="E4" s="109"/>
      <c r="F4" s="109">
        <v>33</v>
      </c>
      <c r="G4" s="109"/>
      <c r="H4" s="109"/>
      <c r="I4" s="109"/>
      <c r="J4" s="109"/>
    </row>
    <row r="5" spans="1:10" x14ac:dyDescent="0.25">
      <c r="A5" s="109">
        <v>4</v>
      </c>
      <c r="B5" s="109"/>
      <c r="C5" s="109"/>
      <c r="D5" s="109"/>
      <c r="E5" s="109"/>
      <c r="F5" s="109">
        <v>34</v>
      </c>
      <c r="G5" s="109"/>
      <c r="H5" s="109"/>
      <c r="I5" s="109"/>
      <c r="J5" s="109"/>
    </row>
    <row r="6" spans="1:10" x14ac:dyDescent="0.25">
      <c r="A6" s="109">
        <v>5</v>
      </c>
      <c r="B6" s="109"/>
      <c r="C6" s="109"/>
      <c r="D6" s="109"/>
      <c r="E6" s="109"/>
      <c r="F6" s="109">
        <v>35</v>
      </c>
      <c r="G6" s="109"/>
      <c r="H6" s="109"/>
      <c r="I6" s="109"/>
      <c r="J6" s="109"/>
    </row>
    <row r="7" spans="1:10" x14ac:dyDescent="0.25">
      <c r="A7" s="109">
        <v>6</v>
      </c>
      <c r="B7" s="109"/>
      <c r="C7" s="109"/>
      <c r="D7" s="109"/>
      <c r="E7" s="109"/>
      <c r="F7" s="109">
        <v>36</v>
      </c>
      <c r="G7" s="109"/>
      <c r="H7" s="109"/>
      <c r="I7" s="109"/>
      <c r="J7" s="109"/>
    </row>
    <row r="8" spans="1:10" x14ac:dyDescent="0.25">
      <c r="A8" s="109">
        <v>7</v>
      </c>
      <c r="B8" s="109"/>
      <c r="C8" s="109"/>
      <c r="D8" s="109"/>
      <c r="E8" s="109"/>
      <c r="F8" s="109">
        <v>37</v>
      </c>
      <c r="G8" s="109"/>
      <c r="H8" s="109"/>
      <c r="I8" s="109"/>
      <c r="J8" s="109"/>
    </row>
    <row r="9" spans="1:10" x14ac:dyDescent="0.25">
      <c r="A9" s="109">
        <v>8</v>
      </c>
      <c r="B9" s="109"/>
      <c r="C9" s="109"/>
      <c r="D9" s="109"/>
      <c r="E9" s="109"/>
      <c r="F9" s="109">
        <v>38</v>
      </c>
      <c r="G9" s="109"/>
      <c r="H9" s="109"/>
      <c r="I9" s="109"/>
      <c r="J9" s="109"/>
    </row>
    <row r="10" spans="1:10" x14ac:dyDescent="0.25">
      <c r="A10" s="109">
        <v>9</v>
      </c>
      <c r="B10" s="109"/>
      <c r="C10" s="109"/>
      <c r="D10" s="109"/>
      <c r="E10" s="109"/>
      <c r="F10" s="109">
        <v>39</v>
      </c>
      <c r="G10" s="109"/>
      <c r="H10" s="109"/>
      <c r="I10" s="109"/>
      <c r="J10" s="109"/>
    </row>
    <row r="11" spans="1:10" x14ac:dyDescent="0.25">
      <c r="A11" s="109">
        <v>10</v>
      </c>
      <c r="B11" s="109"/>
      <c r="C11" s="109"/>
      <c r="D11" s="109"/>
      <c r="E11" s="109"/>
      <c r="F11" s="109">
        <v>40</v>
      </c>
      <c r="G11" s="109"/>
      <c r="H11" s="109"/>
      <c r="I11" s="109"/>
      <c r="J11" s="109"/>
    </row>
    <row r="12" spans="1:10" x14ac:dyDescent="0.25">
      <c r="A12" s="109">
        <v>11</v>
      </c>
      <c r="B12" s="109"/>
      <c r="C12" s="109"/>
      <c r="D12" s="109"/>
      <c r="E12" s="109"/>
      <c r="F12" s="109">
        <v>41</v>
      </c>
      <c r="G12" s="109"/>
      <c r="H12" s="109"/>
      <c r="I12" s="109"/>
      <c r="J12" s="109"/>
    </row>
    <row r="13" spans="1:10" x14ac:dyDescent="0.25">
      <c r="A13" s="109">
        <v>12</v>
      </c>
      <c r="B13" s="109"/>
      <c r="C13" s="109"/>
      <c r="D13" s="109"/>
      <c r="E13" s="109"/>
      <c r="F13" s="109">
        <v>42</v>
      </c>
      <c r="G13" s="109"/>
      <c r="H13" s="109"/>
      <c r="I13" s="109"/>
      <c r="J13" s="109"/>
    </row>
    <row r="14" spans="1:10" x14ac:dyDescent="0.25">
      <c r="A14" s="109">
        <v>13</v>
      </c>
      <c r="B14" s="109"/>
      <c r="C14" s="109"/>
      <c r="D14" s="109"/>
      <c r="E14" s="109"/>
      <c r="F14" s="109">
        <v>43</v>
      </c>
      <c r="G14" s="109"/>
      <c r="H14" s="109"/>
      <c r="I14" s="109"/>
      <c r="J14" s="109"/>
    </row>
    <row r="15" spans="1:10" x14ac:dyDescent="0.25">
      <c r="A15" s="109">
        <v>14</v>
      </c>
      <c r="B15" s="109"/>
      <c r="C15" s="109"/>
      <c r="D15" s="109"/>
      <c r="E15" s="109"/>
      <c r="F15" s="109">
        <v>44</v>
      </c>
      <c r="G15" s="109"/>
      <c r="H15" s="109"/>
      <c r="I15" s="109"/>
      <c r="J15" s="109"/>
    </row>
    <row r="16" spans="1:10" x14ac:dyDescent="0.25">
      <c r="A16" s="109">
        <v>15</v>
      </c>
      <c r="B16" s="109"/>
      <c r="C16" s="109"/>
      <c r="D16" s="109"/>
      <c r="E16" s="109"/>
      <c r="F16" s="109">
        <v>45</v>
      </c>
      <c r="G16" s="109"/>
      <c r="H16" s="109"/>
      <c r="I16" s="109"/>
      <c r="J16" s="109"/>
    </row>
    <row r="17" spans="1:10" x14ac:dyDescent="0.25">
      <c r="A17" s="109">
        <v>16</v>
      </c>
      <c r="B17" s="109"/>
      <c r="C17" s="109"/>
      <c r="D17" s="109"/>
      <c r="E17" s="109"/>
      <c r="F17" s="109">
        <v>46</v>
      </c>
      <c r="G17" s="109"/>
      <c r="H17" s="109"/>
      <c r="I17" s="109"/>
      <c r="J17" s="109"/>
    </row>
    <row r="18" spans="1:10" x14ac:dyDescent="0.25">
      <c r="A18" s="109">
        <v>17</v>
      </c>
      <c r="B18" s="109"/>
      <c r="C18" s="109"/>
      <c r="D18" s="109"/>
      <c r="E18" s="109"/>
      <c r="F18" s="109">
        <v>47</v>
      </c>
      <c r="G18" s="109"/>
      <c r="H18" s="109"/>
      <c r="I18" s="109"/>
      <c r="J18" s="109"/>
    </row>
    <row r="19" spans="1:10" x14ac:dyDescent="0.25">
      <c r="A19" s="109">
        <v>18</v>
      </c>
      <c r="B19" s="109"/>
      <c r="C19" s="109"/>
      <c r="D19" s="109"/>
      <c r="E19" s="109"/>
      <c r="F19" s="109">
        <v>48</v>
      </c>
      <c r="G19" s="109"/>
      <c r="H19" s="109"/>
      <c r="I19" s="109"/>
      <c r="J19" s="109"/>
    </row>
    <row r="20" spans="1:10" x14ac:dyDescent="0.25">
      <c r="A20" s="109">
        <v>19</v>
      </c>
      <c r="B20" s="109"/>
      <c r="C20" s="109"/>
      <c r="D20" s="109"/>
      <c r="E20" s="109"/>
      <c r="F20" s="109">
        <v>49</v>
      </c>
      <c r="G20" s="109"/>
      <c r="H20" s="109"/>
      <c r="I20" s="109"/>
      <c r="J20" s="109"/>
    </row>
    <row r="21" spans="1:10" x14ac:dyDescent="0.25">
      <c r="A21" s="109">
        <v>20</v>
      </c>
      <c r="B21" s="109"/>
      <c r="C21" s="109"/>
      <c r="D21" s="109"/>
      <c r="E21" s="109"/>
      <c r="F21" s="109">
        <v>50</v>
      </c>
      <c r="G21" s="109"/>
      <c r="H21" s="109"/>
      <c r="I21" s="109"/>
      <c r="J21" s="109"/>
    </row>
    <row r="22" spans="1:10" x14ac:dyDescent="0.25">
      <c r="A22" s="109">
        <v>21</v>
      </c>
      <c r="B22" s="109"/>
      <c r="C22" s="109"/>
      <c r="D22" s="109"/>
      <c r="E22" s="109"/>
      <c r="F22" s="109">
        <v>51</v>
      </c>
      <c r="G22" s="109"/>
      <c r="H22" s="109"/>
      <c r="I22" s="109"/>
      <c r="J22" s="109"/>
    </row>
    <row r="23" spans="1:10" x14ac:dyDescent="0.25">
      <c r="A23" s="109">
        <v>22</v>
      </c>
      <c r="B23" s="109"/>
      <c r="C23" s="109"/>
      <c r="D23" s="109"/>
      <c r="E23" s="109"/>
      <c r="F23" s="109">
        <v>52</v>
      </c>
      <c r="G23" s="109"/>
      <c r="H23" s="109"/>
      <c r="I23" s="109"/>
      <c r="J23" s="109"/>
    </row>
    <row r="24" spans="1:10" x14ac:dyDescent="0.25">
      <c r="A24" s="109">
        <v>23</v>
      </c>
      <c r="B24" s="109"/>
      <c r="C24" s="109"/>
      <c r="D24" s="109"/>
      <c r="E24" s="109"/>
      <c r="F24" s="109">
        <v>53</v>
      </c>
      <c r="G24" s="109"/>
      <c r="H24" s="109"/>
      <c r="I24" s="109"/>
      <c r="J24" s="109"/>
    </row>
    <row r="25" spans="1:10" x14ac:dyDescent="0.25">
      <c r="A25" s="109">
        <v>24</v>
      </c>
      <c r="B25" s="109"/>
      <c r="C25" s="109"/>
      <c r="D25" s="109"/>
      <c r="E25" s="109"/>
      <c r="F25" s="109">
        <v>54</v>
      </c>
      <c r="G25" s="109"/>
      <c r="H25" s="109"/>
      <c r="I25" s="109"/>
      <c r="J25" s="109"/>
    </row>
    <row r="26" spans="1:10" x14ac:dyDescent="0.25">
      <c r="A26" s="109">
        <v>25</v>
      </c>
      <c r="B26" s="109"/>
      <c r="C26" s="109"/>
      <c r="D26" s="109"/>
      <c r="E26" s="109"/>
      <c r="F26" s="109">
        <v>55</v>
      </c>
      <c r="G26" s="109"/>
      <c r="H26" s="109"/>
      <c r="I26" s="109"/>
      <c r="J26" s="109"/>
    </row>
    <row r="27" spans="1:10" x14ac:dyDescent="0.25">
      <c r="A27" s="109">
        <v>26</v>
      </c>
      <c r="B27" s="109"/>
      <c r="C27" s="109"/>
      <c r="D27" s="109"/>
      <c r="E27" s="109"/>
      <c r="F27" s="109">
        <v>56</v>
      </c>
      <c r="G27" s="109"/>
      <c r="H27" s="109"/>
      <c r="I27" s="109"/>
      <c r="J27" s="109"/>
    </row>
    <row r="28" spans="1:10" x14ac:dyDescent="0.25">
      <c r="A28" s="109">
        <v>27</v>
      </c>
      <c r="B28" s="109"/>
      <c r="C28" s="109"/>
      <c r="D28" s="109"/>
      <c r="E28" s="109"/>
      <c r="F28" s="109">
        <v>57</v>
      </c>
      <c r="G28" s="109"/>
      <c r="H28" s="109"/>
      <c r="I28" s="109"/>
      <c r="J28" s="109"/>
    </row>
    <row r="29" spans="1:10" x14ac:dyDescent="0.25">
      <c r="A29" s="109">
        <v>28</v>
      </c>
      <c r="B29" s="109"/>
      <c r="C29" s="109"/>
      <c r="D29" s="109"/>
      <c r="E29" s="109"/>
      <c r="F29" s="109">
        <v>58</v>
      </c>
      <c r="G29" s="109"/>
      <c r="H29" s="109"/>
      <c r="I29" s="109"/>
      <c r="J29" s="109"/>
    </row>
    <row r="30" spans="1:10" x14ac:dyDescent="0.25">
      <c r="A30" s="109">
        <v>29</v>
      </c>
      <c r="B30" s="109"/>
      <c r="C30" s="109"/>
      <c r="D30" s="109"/>
      <c r="E30" s="109"/>
      <c r="F30" s="109">
        <v>59</v>
      </c>
      <c r="G30" s="109"/>
      <c r="H30" s="109"/>
      <c r="I30" s="109"/>
      <c r="J30" s="109"/>
    </row>
    <row r="31" spans="1:10" x14ac:dyDescent="0.25">
      <c r="A31" s="109">
        <v>30</v>
      </c>
      <c r="B31" s="109"/>
      <c r="C31" s="109"/>
      <c r="D31" s="109"/>
      <c r="E31" s="109"/>
      <c r="F31" s="109">
        <v>60</v>
      </c>
      <c r="G31" s="109"/>
      <c r="H31" s="109"/>
      <c r="I31" s="109"/>
      <c r="J31" s="109"/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D25" sqref="D25"/>
    </sheetView>
  </sheetViews>
  <sheetFormatPr baseColWidth="10" defaultRowHeight="15" x14ac:dyDescent="0.25"/>
  <cols>
    <col min="12" max="12" width="20.85546875" bestFit="1" customWidth="1"/>
    <col min="13" max="13" width="15.140625" bestFit="1" customWidth="1"/>
  </cols>
  <sheetData>
    <row r="1" spans="1:13" x14ac:dyDescent="0.25">
      <c r="A1" s="35" t="s">
        <v>117</v>
      </c>
      <c r="B1" s="35" t="s">
        <v>51</v>
      </c>
      <c r="C1" s="36" t="s">
        <v>52</v>
      </c>
      <c r="D1" s="36" t="s">
        <v>53</v>
      </c>
      <c r="E1" s="36" t="s">
        <v>54</v>
      </c>
      <c r="F1" s="36" t="s">
        <v>55</v>
      </c>
      <c r="G1" s="37" t="s">
        <v>56</v>
      </c>
      <c r="H1" s="38" t="s">
        <v>57</v>
      </c>
      <c r="I1" s="38" t="s">
        <v>58</v>
      </c>
      <c r="J1" s="38" t="s">
        <v>59</v>
      </c>
      <c r="K1" s="39" t="s">
        <v>60</v>
      </c>
      <c r="L1" s="40" t="s">
        <v>61</v>
      </c>
      <c r="M1" s="38" t="s">
        <v>62</v>
      </c>
    </row>
    <row r="2" spans="1:13" ht="15.75" thickBot="1" x14ac:dyDescent="0.3">
      <c r="A2" s="41"/>
      <c r="B2" s="41"/>
      <c r="C2" s="41" t="s">
        <v>63</v>
      </c>
      <c r="D2" s="41" t="s">
        <v>63</v>
      </c>
      <c r="E2" s="41" t="s">
        <v>63</v>
      </c>
      <c r="F2" s="41" t="s">
        <v>64</v>
      </c>
      <c r="G2" s="42" t="s">
        <v>64</v>
      </c>
      <c r="H2" s="43" t="s">
        <v>63</v>
      </c>
      <c r="I2" s="43" t="s">
        <v>63</v>
      </c>
      <c r="J2" s="43" t="s">
        <v>64</v>
      </c>
      <c r="K2" s="44" t="s">
        <v>64</v>
      </c>
      <c r="L2" s="45"/>
    </row>
    <row r="3" spans="1:13" x14ac:dyDescent="0.25">
      <c r="A3" s="33" t="s">
        <v>138</v>
      </c>
      <c r="B3" s="33"/>
      <c r="C3">
        <v>330</v>
      </c>
      <c r="E3">
        <v>990</v>
      </c>
      <c r="F3" s="47">
        <f t="shared" ref="F3:F11" si="0">K3</f>
        <v>2261.1111111111113</v>
      </c>
      <c r="G3" s="48">
        <f t="shared" ref="G3:G11" si="1">(((C3+I3)*F3)/(E3-(C3+I3)))</f>
        <v>1130.5555555555557</v>
      </c>
      <c r="H3" s="49">
        <v>324</v>
      </c>
      <c r="I3" s="49"/>
      <c r="J3" s="49">
        <v>1100</v>
      </c>
      <c r="K3" s="50">
        <f t="shared" ref="K3:K11" si="2">((J3*E3)/(H3+I3))-J3</f>
        <v>2261.1111111111113</v>
      </c>
      <c r="L3" s="51">
        <v>43780.5625</v>
      </c>
      <c r="M3" s="51">
        <v>43777.666666666664</v>
      </c>
    </row>
    <row r="4" spans="1:13" x14ac:dyDescent="0.25">
      <c r="A4" s="33" t="s">
        <v>139</v>
      </c>
      <c r="B4" s="33"/>
      <c r="C4">
        <v>327</v>
      </c>
      <c r="E4">
        <v>990</v>
      </c>
      <c r="F4" s="47">
        <f t="shared" si="0"/>
        <v>2261.1111111111113</v>
      </c>
      <c r="G4" s="48">
        <f t="shared" si="1"/>
        <v>1115.2086475615888</v>
      </c>
      <c r="H4" s="49">
        <v>324</v>
      </c>
      <c r="I4" s="49"/>
      <c r="J4" s="49">
        <v>1100</v>
      </c>
      <c r="K4" s="50">
        <f t="shared" si="2"/>
        <v>2261.1111111111113</v>
      </c>
      <c r="L4" s="51">
        <v>43780.5625</v>
      </c>
      <c r="M4" s="51">
        <v>43777.666666666664</v>
      </c>
    </row>
    <row r="5" spans="1:13" x14ac:dyDescent="0.25">
      <c r="A5" s="33" t="s">
        <v>140</v>
      </c>
      <c r="B5" s="33"/>
      <c r="C5">
        <v>333</v>
      </c>
      <c r="E5">
        <v>990</v>
      </c>
      <c r="F5" s="47">
        <f t="shared" si="0"/>
        <v>2261.1111111111113</v>
      </c>
      <c r="G5" s="48">
        <f t="shared" si="1"/>
        <v>1146.0426179604265</v>
      </c>
      <c r="H5" s="49">
        <v>324</v>
      </c>
      <c r="I5" s="49"/>
      <c r="J5" s="49">
        <v>1100</v>
      </c>
      <c r="K5" s="50">
        <f t="shared" si="2"/>
        <v>2261.1111111111113</v>
      </c>
      <c r="L5" s="51">
        <v>43780.5625</v>
      </c>
      <c r="M5" s="51">
        <v>43777.666666666664</v>
      </c>
    </row>
    <row r="6" spans="1:13" x14ac:dyDescent="0.25">
      <c r="A6" s="33" t="s">
        <v>141</v>
      </c>
      <c r="B6" s="33"/>
      <c r="C6">
        <v>330</v>
      </c>
      <c r="E6">
        <v>990</v>
      </c>
      <c r="F6" s="47">
        <f t="shared" si="0"/>
        <v>2261.1111111111113</v>
      </c>
      <c r="G6" s="48">
        <f t="shared" si="1"/>
        <v>1130.5555555555557</v>
      </c>
      <c r="H6" s="49">
        <v>324</v>
      </c>
      <c r="I6" s="49"/>
      <c r="J6" s="49">
        <v>1100</v>
      </c>
      <c r="K6" s="50">
        <f t="shared" si="2"/>
        <v>2261.1111111111113</v>
      </c>
      <c r="L6" s="51">
        <v>43780.5625</v>
      </c>
      <c r="M6" s="51">
        <v>43777.666666666664</v>
      </c>
    </row>
    <row r="7" spans="1:13" x14ac:dyDescent="0.25">
      <c r="A7" s="33" t="s">
        <v>142</v>
      </c>
      <c r="B7" s="33"/>
      <c r="C7">
        <v>326</v>
      </c>
      <c r="E7">
        <v>990</v>
      </c>
      <c r="F7" s="47">
        <f t="shared" si="0"/>
        <v>2261.1111111111113</v>
      </c>
      <c r="G7" s="48">
        <f t="shared" si="1"/>
        <v>1110.1238286479252</v>
      </c>
      <c r="H7" s="49">
        <v>324</v>
      </c>
      <c r="I7" s="49"/>
      <c r="J7" s="49">
        <v>1100</v>
      </c>
      <c r="K7" s="50">
        <f t="shared" si="2"/>
        <v>2261.1111111111113</v>
      </c>
      <c r="L7" s="51">
        <v>43780.5625</v>
      </c>
      <c r="M7" s="51">
        <v>43777.666666666664</v>
      </c>
    </row>
    <row r="8" spans="1:13" x14ac:dyDescent="0.25">
      <c r="A8" s="33" t="s">
        <v>143</v>
      </c>
      <c r="B8" s="33"/>
      <c r="C8">
        <v>327</v>
      </c>
      <c r="E8">
        <v>990</v>
      </c>
      <c r="F8" s="47">
        <f t="shared" si="0"/>
        <v>2261.1111111111113</v>
      </c>
      <c r="G8" s="48">
        <f t="shared" si="1"/>
        <v>1115.2086475615888</v>
      </c>
      <c r="H8" s="49">
        <v>324</v>
      </c>
      <c r="I8" s="49"/>
      <c r="J8" s="49">
        <v>1100</v>
      </c>
      <c r="K8" s="50">
        <f t="shared" si="2"/>
        <v>2261.1111111111113</v>
      </c>
      <c r="L8" s="51">
        <v>43780.5625</v>
      </c>
      <c r="M8" s="51">
        <v>43777.666666666664</v>
      </c>
    </row>
    <row r="9" spans="1:13" x14ac:dyDescent="0.25">
      <c r="A9" s="33" t="s">
        <v>144</v>
      </c>
      <c r="B9" s="46"/>
      <c r="C9">
        <v>328</v>
      </c>
      <c r="E9">
        <v>990</v>
      </c>
      <c r="F9" s="47">
        <f t="shared" si="0"/>
        <v>2261.1111111111113</v>
      </c>
      <c r="G9" s="48">
        <f t="shared" si="1"/>
        <v>1120.3088284659282</v>
      </c>
      <c r="H9" s="49">
        <v>324</v>
      </c>
      <c r="I9" s="49"/>
      <c r="J9" s="49">
        <v>1100</v>
      </c>
      <c r="K9" s="50">
        <f t="shared" si="2"/>
        <v>2261.1111111111113</v>
      </c>
      <c r="L9" s="51">
        <v>43780.5625</v>
      </c>
      <c r="M9" s="51">
        <v>43777.666666666664</v>
      </c>
    </row>
    <row r="10" spans="1:13" x14ac:dyDescent="0.25">
      <c r="A10" s="33" t="s">
        <v>145</v>
      </c>
      <c r="B10" s="46"/>
      <c r="C10">
        <v>333</v>
      </c>
      <c r="E10">
        <v>990</v>
      </c>
      <c r="F10" s="47">
        <f t="shared" si="0"/>
        <v>2261.1111111111113</v>
      </c>
      <c r="G10" s="48">
        <f t="shared" si="1"/>
        <v>1146.0426179604265</v>
      </c>
      <c r="H10" s="49">
        <v>324</v>
      </c>
      <c r="I10" s="49"/>
      <c r="J10" s="49">
        <v>1100</v>
      </c>
      <c r="K10" s="50">
        <f t="shared" si="2"/>
        <v>2261.1111111111113</v>
      </c>
      <c r="L10" s="51">
        <v>43780.5625</v>
      </c>
      <c r="M10" s="51">
        <v>43777.666666666664</v>
      </c>
    </row>
    <row r="11" spans="1:13" x14ac:dyDescent="0.25">
      <c r="A11" s="33" t="s">
        <v>146</v>
      </c>
      <c r="B11" s="46"/>
      <c r="C11">
        <v>330</v>
      </c>
      <c r="E11">
        <v>990</v>
      </c>
      <c r="F11" s="47">
        <f t="shared" si="0"/>
        <v>2261.1111111111113</v>
      </c>
      <c r="G11" s="48">
        <f t="shared" si="1"/>
        <v>1130.5555555555557</v>
      </c>
      <c r="H11" s="49">
        <v>324</v>
      </c>
      <c r="I11" s="49"/>
      <c r="J11" s="49">
        <v>1100</v>
      </c>
      <c r="K11" s="50">
        <f t="shared" si="2"/>
        <v>2261.1111111111113</v>
      </c>
      <c r="L11" s="51">
        <v>43780.5625</v>
      </c>
      <c r="M11" s="51">
        <v>43777.666666666664</v>
      </c>
    </row>
    <row r="12" spans="1:13" x14ac:dyDescent="0.25">
      <c r="A12" s="33" t="s">
        <v>147</v>
      </c>
      <c r="C12">
        <v>326</v>
      </c>
      <c r="E12">
        <v>990</v>
      </c>
      <c r="F12" s="47">
        <f t="shared" ref="F12:F14" si="3">K12</f>
        <v>2261.1111111111113</v>
      </c>
      <c r="G12" s="48">
        <f t="shared" ref="G12:G14" si="4">(((C12+I12)*F12)/(E12-(C12+I12)))</f>
        <v>1110.1238286479252</v>
      </c>
      <c r="H12" s="49">
        <v>324</v>
      </c>
      <c r="I12" s="49"/>
      <c r="J12" s="49">
        <v>1100</v>
      </c>
      <c r="K12" s="50">
        <f t="shared" ref="K12:K14" si="5">((J12*E12)/(H12+I12))-J12</f>
        <v>2261.1111111111113</v>
      </c>
      <c r="L12" s="51">
        <v>43780.5625</v>
      </c>
      <c r="M12" s="51">
        <v>43777.666666666664</v>
      </c>
    </row>
    <row r="13" spans="1:13" x14ac:dyDescent="0.25">
      <c r="A13" s="33" t="s">
        <v>148</v>
      </c>
      <c r="C13">
        <v>326</v>
      </c>
      <c r="E13">
        <v>990</v>
      </c>
      <c r="F13" s="47">
        <f t="shared" si="3"/>
        <v>2261.1111111111113</v>
      </c>
      <c r="G13" s="48">
        <f t="shared" si="4"/>
        <v>1110.1238286479252</v>
      </c>
      <c r="H13" s="49">
        <v>324</v>
      </c>
      <c r="I13" s="49"/>
      <c r="J13" s="49">
        <v>1100</v>
      </c>
      <c r="K13" s="50">
        <f t="shared" si="5"/>
        <v>2261.1111111111113</v>
      </c>
      <c r="L13" s="51">
        <v>43780.5625</v>
      </c>
      <c r="M13" s="51">
        <v>43777.666666666664</v>
      </c>
    </row>
    <row r="14" spans="1:13" x14ac:dyDescent="0.25">
      <c r="A14" s="33" t="s">
        <v>149</v>
      </c>
      <c r="C14">
        <v>330</v>
      </c>
      <c r="E14">
        <v>990</v>
      </c>
      <c r="F14" s="47">
        <f t="shared" si="3"/>
        <v>2261.1111111111113</v>
      </c>
      <c r="G14" s="48">
        <f t="shared" si="4"/>
        <v>1130.5555555555557</v>
      </c>
      <c r="H14" s="49">
        <v>324</v>
      </c>
      <c r="I14" s="49"/>
      <c r="J14" s="49">
        <v>1100</v>
      </c>
      <c r="K14" s="50">
        <f t="shared" si="5"/>
        <v>2261.1111111111113</v>
      </c>
      <c r="L14" s="51">
        <v>43780.5625</v>
      </c>
      <c r="M14" s="51">
        <v>43777.666666666664</v>
      </c>
    </row>
    <row r="15" spans="1:13" x14ac:dyDescent="0.25">
      <c r="A15" s="33" t="s">
        <v>150</v>
      </c>
      <c r="C15">
        <v>326</v>
      </c>
      <c r="E15">
        <v>990</v>
      </c>
      <c r="F15" s="47">
        <f t="shared" ref="F15:F20" si="6">K15</f>
        <v>2261.1111111111113</v>
      </c>
      <c r="G15" s="48">
        <f t="shared" ref="G15:G20" si="7">(((C15+I15)*F15)/(E15-(C15+I15)))</f>
        <v>1110.1238286479252</v>
      </c>
      <c r="H15" s="49">
        <v>324</v>
      </c>
      <c r="I15" s="49"/>
      <c r="J15" s="49">
        <v>1100</v>
      </c>
      <c r="K15" s="50">
        <f t="shared" ref="K15:K20" si="8">((J15*E15)/(H15+I15))-J15</f>
        <v>2261.1111111111113</v>
      </c>
      <c r="L15" s="51">
        <v>43780.5625</v>
      </c>
      <c r="M15" s="51">
        <v>43777.666666666664</v>
      </c>
    </row>
    <row r="16" spans="1:13" x14ac:dyDescent="0.25">
      <c r="A16" s="33" t="s">
        <v>151</v>
      </c>
      <c r="C16">
        <v>330</v>
      </c>
      <c r="E16">
        <v>990</v>
      </c>
      <c r="F16" s="47">
        <f t="shared" si="6"/>
        <v>2261.1111111111113</v>
      </c>
      <c r="G16" s="48">
        <f t="shared" si="7"/>
        <v>1130.5555555555557</v>
      </c>
      <c r="H16" s="49">
        <v>324</v>
      </c>
      <c r="I16" s="49"/>
      <c r="J16" s="49">
        <v>1100</v>
      </c>
      <c r="K16" s="50">
        <f t="shared" si="8"/>
        <v>2261.1111111111113</v>
      </c>
      <c r="L16" s="51">
        <v>43780.5625</v>
      </c>
      <c r="M16" s="51">
        <v>43777.666666666664</v>
      </c>
    </row>
    <row r="17" spans="1:13" x14ac:dyDescent="0.25">
      <c r="A17" s="33" t="s">
        <v>152</v>
      </c>
      <c r="C17">
        <v>326</v>
      </c>
      <c r="E17">
        <v>990</v>
      </c>
      <c r="F17" s="47">
        <f t="shared" si="6"/>
        <v>2261.1111111111113</v>
      </c>
      <c r="G17" s="48">
        <f t="shared" si="7"/>
        <v>1110.1238286479252</v>
      </c>
      <c r="H17" s="49">
        <v>324</v>
      </c>
      <c r="I17" s="49"/>
      <c r="J17" s="49">
        <v>1100</v>
      </c>
      <c r="K17" s="50">
        <f t="shared" si="8"/>
        <v>2261.1111111111113</v>
      </c>
      <c r="L17" s="51">
        <v>43780.5625</v>
      </c>
      <c r="M17" s="51">
        <v>43777.666666666664</v>
      </c>
    </row>
    <row r="18" spans="1:13" x14ac:dyDescent="0.25">
      <c r="A18" s="33" t="s">
        <v>153</v>
      </c>
      <c r="C18">
        <v>327</v>
      </c>
      <c r="E18">
        <v>990</v>
      </c>
      <c r="F18" s="47">
        <f t="shared" si="6"/>
        <v>2261.1111111111113</v>
      </c>
      <c r="G18" s="48">
        <f t="shared" si="7"/>
        <v>1115.2086475615888</v>
      </c>
      <c r="H18" s="49">
        <v>324</v>
      </c>
      <c r="I18" s="49"/>
      <c r="J18" s="49">
        <v>1100</v>
      </c>
      <c r="K18" s="50">
        <f t="shared" si="8"/>
        <v>2261.1111111111113</v>
      </c>
      <c r="L18" s="51">
        <v>43780.5625</v>
      </c>
      <c r="M18" s="51">
        <v>43777.666666666664</v>
      </c>
    </row>
    <row r="19" spans="1:13" x14ac:dyDescent="0.25">
      <c r="A19" s="33" t="s">
        <v>154</v>
      </c>
      <c r="C19">
        <v>327</v>
      </c>
      <c r="E19">
        <v>990</v>
      </c>
      <c r="F19" s="47">
        <f t="shared" si="6"/>
        <v>2261.1111111111113</v>
      </c>
      <c r="G19" s="48">
        <f t="shared" si="7"/>
        <v>1115.2086475615888</v>
      </c>
      <c r="H19" s="49">
        <v>324</v>
      </c>
      <c r="I19" s="49"/>
      <c r="J19" s="49">
        <v>1100</v>
      </c>
      <c r="K19" s="50">
        <f t="shared" si="8"/>
        <v>2261.1111111111113</v>
      </c>
      <c r="L19" s="51">
        <v>43780.5625</v>
      </c>
      <c r="M19" s="51">
        <v>43777.666666666664</v>
      </c>
    </row>
    <row r="20" spans="1:13" x14ac:dyDescent="0.25">
      <c r="A20" s="33" t="s">
        <v>155</v>
      </c>
      <c r="C20">
        <v>326</v>
      </c>
      <c r="E20">
        <v>990</v>
      </c>
      <c r="F20" s="47">
        <f t="shared" si="6"/>
        <v>2261.1111111111113</v>
      </c>
      <c r="G20" s="48">
        <f t="shared" si="7"/>
        <v>1110.1238286479252</v>
      </c>
      <c r="H20" s="49">
        <v>324</v>
      </c>
      <c r="I20" s="49"/>
      <c r="J20" s="49">
        <v>1100</v>
      </c>
      <c r="K20" s="50">
        <f t="shared" si="8"/>
        <v>2261.1111111111113</v>
      </c>
      <c r="L20" s="51">
        <v>43780.5625</v>
      </c>
      <c r="M20" s="51">
        <v>43777.666666666664</v>
      </c>
    </row>
    <row r="21" spans="1:13" x14ac:dyDescent="0.25">
      <c r="A21" s="33"/>
    </row>
    <row r="22" spans="1:13" x14ac:dyDescent="0.25">
      <c r="A22" s="33"/>
    </row>
    <row r="23" spans="1:13" x14ac:dyDescent="0.25">
      <c r="A23" s="33"/>
    </row>
    <row r="24" spans="1:13" x14ac:dyDescent="0.25">
      <c r="A24" s="33"/>
    </row>
    <row r="25" spans="1:13" x14ac:dyDescent="0.25">
      <c r="A25" s="33"/>
    </row>
    <row r="26" spans="1:13" x14ac:dyDescent="0.25">
      <c r="A26" s="33"/>
    </row>
    <row r="27" spans="1:13" x14ac:dyDescent="0.25">
      <c r="A27" s="33"/>
    </row>
    <row r="28" spans="1:13" x14ac:dyDescent="0.25">
      <c r="A28" s="33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53"/>
  <sheetViews>
    <sheetView workbookViewId="0">
      <selection activeCell="T17" sqref="T17:T18"/>
    </sheetView>
  </sheetViews>
  <sheetFormatPr baseColWidth="10" defaultRowHeight="15" x14ac:dyDescent="0.25"/>
  <cols>
    <col min="1" max="1" width="21.85546875" bestFit="1" customWidth="1"/>
    <col min="2" max="2" width="15.140625" bestFit="1" customWidth="1"/>
    <col min="9" max="9" width="15.140625" bestFit="1" customWidth="1"/>
    <col min="22" max="22" width="14.7109375" bestFit="1" customWidth="1"/>
  </cols>
  <sheetData>
    <row r="1" spans="1:22" x14ac:dyDescent="0.25">
      <c r="A1" s="52" t="s">
        <v>65</v>
      </c>
      <c r="B1" s="53" t="s">
        <v>51</v>
      </c>
      <c r="C1" s="53" t="s">
        <v>66</v>
      </c>
      <c r="D1" s="53" t="s">
        <v>67</v>
      </c>
      <c r="E1" s="53" t="s">
        <v>68</v>
      </c>
      <c r="F1" s="53" t="s">
        <v>69</v>
      </c>
      <c r="G1" s="54"/>
      <c r="H1" s="54"/>
      <c r="I1" s="54"/>
      <c r="J1" s="55"/>
      <c r="K1" s="55"/>
      <c r="L1" s="55"/>
      <c r="M1" s="55"/>
      <c r="N1" s="55"/>
      <c r="O1" s="55"/>
      <c r="P1" s="55"/>
      <c r="Q1" s="55"/>
      <c r="R1" s="55"/>
      <c r="S1" s="55"/>
    </row>
    <row r="2" spans="1:22" ht="17.25" x14ac:dyDescent="0.25">
      <c r="A2" s="56" t="s">
        <v>70</v>
      </c>
      <c r="B2" s="56" t="s">
        <v>71</v>
      </c>
      <c r="C2" s="56" t="s">
        <v>72</v>
      </c>
      <c r="D2" s="56" t="s">
        <v>73</v>
      </c>
      <c r="E2" s="56" t="s">
        <v>73</v>
      </c>
      <c r="F2" s="56" t="s">
        <v>74</v>
      </c>
      <c r="G2" s="56"/>
      <c r="H2" s="56"/>
      <c r="I2" s="56"/>
      <c r="J2" s="55"/>
      <c r="K2" s="55"/>
      <c r="L2" s="55"/>
      <c r="M2" s="55"/>
      <c r="N2" s="55"/>
      <c r="O2" s="55"/>
      <c r="P2" s="55"/>
      <c r="Q2" s="55"/>
      <c r="R2" s="55"/>
      <c r="S2" s="55"/>
    </row>
    <row r="3" spans="1:22" x14ac:dyDescent="0.25">
      <c r="A3" s="49">
        <v>5</v>
      </c>
      <c r="B3" s="57">
        <v>43781</v>
      </c>
      <c r="C3" s="58">
        <v>2992</v>
      </c>
      <c r="D3" s="47">
        <v>1679.8</v>
      </c>
      <c r="E3" s="59">
        <v>435.37</v>
      </c>
      <c r="F3" s="60">
        <f>A3/1000*C3</f>
        <v>14.96</v>
      </c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</row>
    <row r="4" spans="1:22" x14ac:dyDescent="0.25">
      <c r="A4" s="49">
        <v>4.4000000000000004</v>
      </c>
      <c r="B4" s="57">
        <v>43781</v>
      </c>
      <c r="C4" s="58">
        <v>2992</v>
      </c>
      <c r="D4" s="59">
        <v>1492</v>
      </c>
      <c r="E4" s="59">
        <v>417.53</v>
      </c>
      <c r="F4" s="60">
        <f t="shared" ref="F4:F13" si="0">A4/1000*C4</f>
        <v>13.164800000000001</v>
      </c>
      <c r="G4" s="61"/>
      <c r="H4" s="61"/>
      <c r="I4" s="61"/>
      <c r="J4" s="55"/>
      <c r="K4" s="55"/>
      <c r="L4" s="55"/>
      <c r="M4" s="55"/>
      <c r="N4" s="55"/>
      <c r="O4" s="55"/>
      <c r="P4" s="55"/>
      <c r="Q4" s="55"/>
      <c r="R4" s="55"/>
      <c r="S4" s="55"/>
    </row>
    <row r="5" spans="1:22" x14ac:dyDescent="0.25">
      <c r="A5" s="49">
        <v>4</v>
      </c>
      <c r="B5" s="57">
        <v>43781</v>
      </c>
      <c r="C5" s="58">
        <v>2992</v>
      </c>
      <c r="D5" s="47">
        <v>1358.1</v>
      </c>
      <c r="E5" s="59">
        <v>389.61</v>
      </c>
      <c r="F5" s="60">
        <f t="shared" si="0"/>
        <v>11.968</v>
      </c>
      <c r="G5" s="49"/>
      <c r="H5" s="49"/>
      <c r="I5" s="62"/>
      <c r="J5" s="55"/>
      <c r="K5" s="55"/>
      <c r="L5" s="55"/>
      <c r="M5" s="55"/>
      <c r="N5" s="55"/>
      <c r="O5" s="55"/>
      <c r="P5" s="55"/>
      <c r="Q5" s="55"/>
      <c r="R5" s="55"/>
      <c r="S5" s="55"/>
    </row>
    <row r="6" spans="1:22" x14ac:dyDescent="0.25">
      <c r="A6" s="49">
        <v>3.4</v>
      </c>
      <c r="B6" s="57">
        <v>43781</v>
      </c>
      <c r="C6" s="58">
        <v>2992</v>
      </c>
      <c r="D6" s="59">
        <v>1192.3</v>
      </c>
      <c r="E6" s="59">
        <v>328.86</v>
      </c>
      <c r="F6" s="60">
        <f t="shared" si="0"/>
        <v>10.172799999999999</v>
      </c>
      <c r="G6" s="61"/>
      <c r="H6" s="61"/>
      <c r="I6" s="61"/>
      <c r="J6" s="55"/>
      <c r="K6" s="55"/>
      <c r="L6" s="55"/>
      <c r="M6" s="55"/>
      <c r="N6" s="55"/>
      <c r="O6" s="55"/>
      <c r="P6" s="55"/>
      <c r="Q6" s="55"/>
      <c r="R6" s="55"/>
      <c r="S6" s="55"/>
    </row>
    <row r="7" spans="1:22" x14ac:dyDescent="0.25">
      <c r="A7" s="49">
        <v>3</v>
      </c>
      <c r="B7" s="57">
        <v>43781</v>
      </c>
      <c r="C7" s="58">
        <v>2992</v>
      </c>
      <c r="D7" s="47">
        <v>1046.2</v>
      </c>
      <c r="E7" s="59">
        <v>304.22000000000003</v>
      </c>
      <c r="F7" s="60">
        <f t="shared" si="0"/>
        <v>8.9760000000000009</v>
      </c>
      <c r="G7" s="49"/>
      <c r="H7" s="49"/>
      <c r="I7" s="62"/>
      <c r="J7" s="55"/>
      <c r="K7" s="55"/>
      <c r="L7" s="55"/>
      <c r="M7" s="55"/>
      <c r="N7" s="55"/>
      <c r="O7" s="55"/>
      <c r="P7" s="55"/>
      <c r="Q7" s="55"/>
      <c r="R7" s="55"/>
      <c r="S7" s="55"/>
    </row>
    <row r="8" spans="1:22" x14ac:dyDescent="0.25">
      <c r="A8" s="49">
        <v>2.4</v>
      </c>
      <c r="B8" s="57">
        <v>43781</v>
      </c>
      <c r="C8" s="58">
        <v>2992</v>
      </c>
      <c r="D8" s="59">
        <v>872.95</v>
      </c>
      <c r="E8" s="59">
        <v>236.47</v>
      </c>
      <c r="F8" s="60">
        <f t="shared" si="0"/>
        <v>7.1807999999999996</v>
      </c>
      <c r="G8" s="61"/>
      <c r="H8" s="61"/>
      <c r="I8" s="61"/>
      <c r="J8" s="55"/>
      <c r="K8" s="55"/>
      <c r="L8" s="55"/>
      <c r="M8" s="55"/>
      <c r="N8" s="55"/>
      <c r="O8" s="55"/>
      <c r="P8" s="55"/>
      <c r="Q8" s="55"/>
      <c r="R8" s="55"/>
      <c r="S8" s="55"/>
    </row>
    <row r="9" spans="1:22" x14ac:dyDescent="0.25">
      <c r="A9" s="49">
        <v>2</v>
      </c>
      <c r="B9" s="57">
        <v>43781</v>
      </c>
      <c r="C9" s="58">
        <v>2992</v>
      </c>
      <c r="D9" s="47">
        <v>733.07</v>
      </c>
      <c r="E9" s="59">
        <v>209.84</v>
      </c>
      <c r="F9" s="60">
        <f t="shared" si="0"/>
        <v>5.984</v>
      </c>
      <c r="G9" s="63" t="s">
        <v>75</v>
      </c>
      <c r="H9" s="63"/>
      <c r="I9" s="64">
        <f>SLOPE(F3:F14,D3:D14)</f>
        <v>8.843220668632211E-3</v>
      </c>
      <c r="J9" s="55"/>
      <c r="K9" s="55"/>
      <c r="L9" s="55"/>
      <c r="M9" s="55"/>
      <c r="N9" s="55"/>
      <c r="O9" s="55"/>
      <c r="P9" s="55"/>
      <c r="Q9" s="55"/>
      <c r="R9" s="55"/>
      <c r="S9" s="55"/>
    </row>
    <row r="10" spans="1:22" x14ac:dyDescent="0.25">
      <c r="A10" s="49">
        <v>1.4</v>
      </c>
      <c r="B10" s="57">
        <v>43781</v>
      </c>
      <c r="C10" s="58">
        <v>2992</v>
      </c>
      <c r="D10" s="47">
        <v>505.08</v>
      </c>
      <c r="E10" s="59">
        <v>155.37</v>
      </c>
      <c r="F10" s="60">
        <f t="shared" si="0"/>
        <v>4.1887999999999996</v>
      </c>
      <c r="G10" s="63" t="s">
        <v>76</v>
      </c>
      <c r="H10" s="63"/>
      <c r="I10" s="64">
        <f>INTERCEPT(F3:F14,D3:D14)</f>
        <v>-0.18125888549420655</v>
      </c>
      <c r="J10" s="55"/>
      <c r="K10" s="55"/>
      <c r="L10" s="55"/>
      <c r="M10" s="55"/>
      <c r="N10" s="55"/>
      <c r="O10" s="55"/>
      <c r="P10" s="55"/>
      <c r="Q10" s="55"/>
      <c r="R10" s="55"/>
      <c r="S10" s="55"/>
    </row>
    <row r="11" spans="1:22" x14ac:dyDescent="0.25">
      <c r="A11" s="49">
        <v>1</v>
      </c>
      <c r="B11" s="57">
        <v>43781</v>
      </c>
      <c r="C11" s="58">
        <v>2992</v>
      </c>
      <c r="D11" s="47">
        <v>363.13</v>
      </c>
      <c r="E11" s="59">
        <v>114.08</v>
      </c>
      <c r="F11" s="60">
        <f t="shared" si="0"/>
        <v>2.992</v>
      </c>
      <c r="G11" s="49"/>
      <c r="H11" s="49"/>
      <c r="I11" s="64"/>
      <c r="J11" s="55"/>
      <c r="K11" s="55"/>
      <c r="L11" s="55"/>
      <c r="M11" s="55"/>
      <c r="N11" s="55"/>
      <c r="O11" s="55"/>
      <c r="P11" s="55"/>
      <c r="Q11" s="55"/>
      <c r="R11" s="55"/>
      <c r="S11" s="55"/>
    </row>
    <row r="12" spans="1:22" x14ac:dyDescent="0.25">
      <c r="A12" s="65">
        <v>0.4</v>
      </c>
      <c r="B12" s="57">
        <v>43781</v>
      </c>
      <c r="C12" s="58">
        <v>2992</v>
      </c>
      <c r="D12" s="65">
        <v>142.86000000000001</v>
      </c>
      <c r="E12" s="65">
        <v>45.295000000000002</v>
      </c>
      <c r="F12" s="60">
        <f t="shared" si="0"/>
        <v>1.1968000000000001</v>
      </c>
      <c r="G12" s="66" t="s">
        <v>77</v>
      </c>
      <c r="H12" s="66"/>
      <c r="I12" s="67">
        <f>SLOPE(F3:F14,E3:E14)</f>
        <v>3.2787866213061928E-2</v>
      </c>
      <c r="J12" s="55"/>
      <c r="K12" s="55"/>
      <c r="L12" s="55"/>
      <c r="M12" s="55"/>
      <c r="N12" s="55"/>
      <c r="O12" s="55"/>
      <c r="P12" s="55"/>
      <c r="Q12" s="55"/>
      <c r="R12" s="55"/>
      <c r="S12" s="55"/>
    </row>
    <row r="13" spans="1:22" x14ac:dyDescent="0.25">
      <c r="A13" s="65">
        <v>0.2</v>
      </c>
      <c r="B13" s="57">
        <v>43781</v>
      </c>
      <c r="C13" s="58">
        <v>2992</v>
      </c>
      <c r="D13" s="65">
        <v>66.721999999999994</v>
      </c>
      <c r="E13" s="65">
        <v>22.084</v>
      </c>
      <c r="F13" s="60">
        <f t="shared" si="0"/>
        <v>0.59840000000000004</v>
      </c>
      <c r="G13" s="68" t="s">
        <v>78</v>
      </c>
      <c r="H13" s="68"/>
      <c r="I13" s="67">
        <f>INTERCEPT(F3:F14,E3:E14)</f>
        <v>-0.48901937362131864</v>
      </c>
      <c r="J13" s="55"/>
      <c r="K13" s="55"/>
      <c r="L13" s="55"/>
      <c r="M13" s="55"/>
      <c r="N13" s="55"/>
      <c r="O13" s="55"/>
      <c r="P13" s="55"/>
      <c r="Q13" s="55"/>
      <c r="R13" s="55"/>
      <c r="S13" s="55"/>
    </row>
    <row r="14" spans="1:22" x14ac:dyDescent="0.25">
      <c r="A14" s="65">
        <v>0.1</v>
      </c>
      <c r="B14" s="57">
        <v>43781</v>
      </c>
      <c r="C14" s="58">
        <v>2992</v>
      </c>
      <c r="D14" s="65">
        <v>30.385999999999999</v>
      </c>
      <c r="E14" s="65">
        <v>11.461</v>
      </c>
      <c r="F14" s="60">
        <f t="shared" ref="F14" si="1">A14/1000*C14</f>
        <v>0.29920000000000002</v>
      </c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</row>
    <row r="15" spans="1:22" ht="18" x14ac:dyDescent="0.35">
      <c r="A15" s="69" t="s">
        <v>79</v>
      </c>
      <c r="B15" s="69" t="s">
        <v>80</v>
      </c>
      <c r="C15" s="69" t="s">
        <v>81</v>
      </c>
      <c r="D15" s="69" t="s">
        <v>67</v>
      </c>
      <c r="E15" s="69" t="s">
        <v>68</v>
      </c>
      <c r="F15" s="70" t="s">
        <v>82</v>
      </c>
      <c r="G15" s="70" t="s">
        <v>83</v>
      </c>
      <c r="H15" s="71" t="s">
        <v>104</v>
      </c>
      <c r="I15" s="71" t="s">
        <v>84</v>
      </c>
      <c r="J15" s="69" t="s">
        <v>85</v>
      </c>
      <c r="K15" s="69" t="s">
        <v>85</v>
      </c>
      <c r="L15" s="69" t="s">
        <v>86</v>
      </c>
      <c r="M15" s="69" t="s">
        <v>87</v>
      </c>
      <c r="N15" s="69" t="s">
        <v>88</v>
      </c>
      <c r="O15" s="69" t="s">
        <v>89</v>
      </c>
      <c r="P15" s="72" t="s">
        <v>90</v>
      </c>
      <c r="Q15" s="72" t="s">
        <v>91</v>
      </c>
      <c r="R15" s="72" t="s">
        <v>91</v>
      </c>
      <c r="S15" s="72" t="s">
        <v>91</v>
      </c>
      <c r="T15" s="72" t="s">
        <v>92</v>
      </c>
      <c r="U15" s="69" t="s">
        <v>93</v>
      </c>
      <c r="V15" s="69" t="s">
        <v>119</v>
      </c>
    </row>
    <row r="16" spans="1:22" ht="18.75" thickBot="1" x14ac:dyDescent="0.4">
      <c r="A16" s="73" t="s">
        <v>94</v>
      </c>
      <c r="B16" s="73" t="s">
        <v>95</v>
      </c>
      <c r="C16" s="73" t="s">
        <v>70</v>
      </c>
      <c r="D16" s="56" t="s">
        <v>73</v>
      </c>
      <c r="E16" s="56" t="s">
        <v>73</v>
      </c>
      <c r="F16" s="74" t="s">
        <v>96</v>
      </c>
      <c r="G16" s="74" t="s">
        <v>97</v>
      </c>
      <c r="H16" s="74"/>
      <c r="I16" s="75" t="s">
        <v>98</v>
      </c>
      <c r="J16" s="73" t="s">
        <v>99</v>
      </c>
      <c r="K16" s="73" t="s">
        <v>98</v>
      </c>
      <c r="L16" s="73" t="s">
        <v>70</v>
      </c>
      <c r="M16" s="73" t="s">
        <v>70</v>
      </c>
      <c r="N16" s="73" t="s">
        <v>100</v>
      </c>
      <c r="O16" s="73" t="s">
        <v>100</v>
      </c>
      <c r="P16" s="73" t="s">
        <v>100</v>
      </c>
      <c r="Q16" s="73" t="s">
        <v>101</v>
      </c>
      <c r="R16" s="73" t="s">
        <v>100</v>
      </c>
      <c r="S16" s="73" t="s">
        <v>102</v>
      </c>
      <c r="V16" s="103" t="s">
        <v>118</v>
      </c>
    </row>
    <row r="17" spans="1:23" x14ac:dyDescent="0.25">
      <c r="A17" s="33" t="s">
        <v>138</v>
      </c>
      <c r="B17" s="76">
        <f>$B$3+H17</f>
        <v>43781.5</v>
      </c>
      <c r="C17" s="49">
        <v>0.4</v>
      </c>
      <c r="D17" s="77">
        <v>795.91</v>
      </c>
      <c r="E17" s="78">
        <v>216.16</v>
      </c>
      <c r="F17" s="79">
        <f>((I$9*D17)+I$10)/C17/1000</f>
        <v>1.7142872192192141E-2</v>
      </c>
      <c r="G17" s="79">
        <f>((I$12*E17)+I$13)/C17/1000</f>
        <v>1.6496014467485366E-2</v>
      </c>
      <c r="H17" s="110">
        <v>0.5</v>
      </c>
      <c r="I17" s="80">
        <f>jar_information!L3</f>
        <v>43780.5625</v>
      </c>
      <c r="J17" s="81">
        <f t="shared" ref="J17:J28" si="2">B17-I17</f>
        <v>0.9375</v>
      </c>
      <c r="K17" s="81">
        <f>J17*24</f>
        <v>22.5</v>
      </c>
      <c r="L17" s="82">
        <f>jar_information!G3</f>
        <v>1130.5555555555557</v>
      </c>
      <c r="M17" s="81">
        <f>F17*L17</f>
        <v>19.380969395061673</v>
      </c>
      <c r="N17" s="81">
        <f>M17*1.83</f>
        <v>35.467173992962863</v>
      </c>
      <c r="O17" s="83">
        <f t="shared" ref="O17:O28" si="3">N17*(12/(12+(16*2)))</f>
        <v>9.6728656344444168</v>
      </c>
      <c r="P17" s="84">
        <f>O17*(400/(400+L17))</f>
        <v>2.5279358463883774</v>
      </c>
      <c r="Q17" s="85">
        <v>652.5</v>
      </c>
      <c r="R17" s="85">
        <f>Q17/314.7</f>
        <v>2.0734032411820782</v>
      </c>
      <c r="S17" s="85">
        <f>R17/P17*100</f>
        <v>82.019614704396758</v>
      </c>
      <c r="T17" s="86">
        <f>F17*1000000</f>
        <v>17142.872192192142</v>
      </c>
      <c r="U17" s="10">
        <f>M17/L17*100</f>
        <v>1.714287219219214</v>
      </c>
      <c r="V17" s="102">
        <f>O17/K17</f>
        <v>0.42990513930864077</v>
      </c>
      <c r="W17" t="s">
        <v>156</v>
      </c>
    </row>
    <row r="18" spans="1:23" x14ac:dyDescent="0.25">
      <c r="A18" s="33" t="s">
        <v>139</v>
      </c>
      <c r="B18" s="76">
        <f t="shared" ref="B18:B34" si="4">$B$3+H18</f>
        <v>43781.5</v>
      </c>
      <c r="C18" s="49">
        <v>0.4</v>
      </c>
      <c r="D18" s="87">
        <v>506.33</v>
      </c>
      <c r="E18" s="88">
        <v>141.03</v>
      </c>
      <c r="F18" s="79">
        <f t="shared" ref="F18:F28" si="5">((I$9*D18)+I$10)/C18/1000</f>
        <v>1.074082258913585E-2</v>
      </c>
      <c r="G18" s="79">
        <f t="shared" ref="G18:G28" si="6">((I$12*E18)+I$13)/C18/1000</f>
        <v>1.0337633496017013E-2</v>
      </c>
      <c r="H18" s="110">
        <v>0.5</v>
      </c>
      <c r="I18" s="80">
        <f>jar_information!L4</f>
        <v>43780.5625</v>
      </c>
      <c r="J18" s="81">
        <f t="shared" si="2"/>
        <v>0.9375</v>
      </c>
      <c r="K18" s="81">
        <f t="shared" ref="K18:K28" si="7">J18*24</f>
        <v>22.5</v>
      </c>
      <c r="L18" s="82">
        <f>jar_information!G4</f>
        <v>1115.2086475615888</v>
      </c>
      <c r="M18" s="81">
        <f t="shared" ref="M18:M28" si="8">F18*L18</f>
        <v>11.978258233329154</v>
      </c>
      <c r="N18" s="81">
        <f t="shared" ref="N18:N28" si="9">M18*1.83</f>
        <v>21.920212566992351</v>
      </c>
      <c r="O18" s="83">
        <f t="shared" si="3"/>
        <v>5.9782397909979137</v>
      </c>
      <c r="P18" s="84">
        <f t="shared" ref="P18:P28" si="10">O18*(400/(400+L18))</f>
        <v>1.5781957951780803</v>
      </c>
      <c r="Q18" s="85">
        <v>584.6</v>
      </c>
      <c r="R18" s="85">
        <f t="shared" ref="R18:R28" si="11">Q18/314.7</f>
        <v>1.8576421989196061</v>
      </c>
      <c r="S18" s="85">
        <f>R18/P18*100</f>
        <v>117.70670056246055</v>
      </c>
      <c r="T18" s="86">
        <f t="shared" ref="T18:T28" si="12">F18*1000000</f>
        <v>10740.822589135851</v>
      </c>
      <c r="U18" s="10">
        <f t="shared" ref="U18:U28" si="13">M18/L18*100</f>
        <v>1.074082258913585</v>
      </c>
      <c r="V18" s="102">
        <f t="shared" ref="V18:V28" si="14">O18/K18</f>
        <v>0.26569954626657394</v>
      </c>
      <c r="W18" t="s">
        <v>156</v>
      </c>
    </row>
    <row r="19" spans="1:23" x14ac:dyDescent="0.25">
      <c r="A19" s="33" t="s">
        <v>140</v>
      </c>
      <c r="B19" s="76">
        <f t="shared" si="4"/>
        <v>43781.5</v>
      </c>
      <c r="C19" s="49">
        <v>0.4</v>
      </c>
      <c r="D19" s="89">
        <v>577.65</v>
      </c>
      <c r="E19" s="90">
        <v>171.52</v>
      </c>
      <c r="F19" s="79">
        <f t="shared" si="5"/>
        <v>1.2317568834352973E-2</v>
      </c>
      <c r="G19" s="79">
        <f t="shared" si="6"/>
        <v>1.2836888598107658E-2</v>
      </c>
      <c r="H19" s="110">
        <v>0.5</v>
      </c>
      <c r="I19" s="80">
        <f>jar_information!L5</f>
        <v>43780.5625</v>
      </c>
      <c r="J19" s="81">
        <f t="shared" si="2"/>
        <v>0.9375</v>
      </c>
      <c r="K19" s="81">
        <f t="shared" si="7"/>
        <v>22.5</v>
      </c>
      <c r="L19" s="82">
        <f>jar_information!G5</f>
        <v>1146.0426179604265</v>
      </c>
      <c r="M19" s="81">
        <f t="shared" si="8"/>
        <v>14.11645883382964</v>
      </c>
      <c r="N19" s="81">
        <f t="shared" si="9"/>
        <v>25.833119665908242</v>
      </c>
      <c r="O19" s="83">
        <f t="shared" si="3"/>
        <v>7.0453962725204295</v>
      </c>
      <c r="P19" s="84">
        <f t="shared" si="10"/>
        <v>1.822820714170188</v>
      </c>
      <c r="Q19" s="85">
        <v>496</v>
      </c>
      <c r="R19" s="85">
        <f t="shared" si="11"/>
        <v>1.5761042262472196</v>
      </c>
      <c r="S19" s="85">
        <f t="shared" ref="S19:S28" si="15">R19/P19*100</f>
        <v>86.465125944364615</v>
      </c>
      <c r="T19" s="86">
        <f t="shared" si="12"/>
        <v>12317.568834352973</v>
      </c>
      <c r="U19" s="10">
        <f t="shared" si="13"/>
        <v>1.2317568834352972</v>
      </c>
      <c r="V19" s="102">
        <f t="shared" si="14"/>
        <v>0.31312872322313018</v>
      </c>
      <c r="W19" t="s">
        <v>156</v>
      </c>
    </row>
    <row r="20" spans="1:23" x14ac:dyDescent="0.25">
      <c r="A20" s="33" t="s">
        <v>141</v>
      </c>
      <c r="B20" s="76">
        <f t="shared" si="4"/>
        <v>43781.5</v>
      </c>
      <c r="C20" s="49">
        <v>0.4</v>
      </c>
      <c r="D20" s="89">
        <v>554.91</v>
      </c>
      <c r="E20" s="90">
        <v>166.17</v>
      </c>
      <c r="F20" s="79">
        <f t="shared" si="5"/>
        <v>1.1814831739341234E-2</v>
      </c>
      <c r="G20" s="79">
        <f t="shared" si="6"/>
        <v>1.2398350887507953E-2</v>
      </c>
      <c r="H20" s="110">
        <v>0.5</v>
      </c>
      <c r="I20" s="80">
        <f>jar_information!L6</f>
        <v>43780.5625</v>
      </c>
      <c r="J20" s="81">
        <f t="shared" si="2"/>
        <v>0.9375</v>
      </c>
      <c r="K20" s="81">
        <f t="shared" si="7"/>
        <v>22.5</v>
      </c>
      <c r="L20" s="82">
        <f>jar_information!G6</f>
        <v>1130.5555555555557</v>
      </c>
      <c r="M20" s="81">
        <f t="shared" si="8"/>
        <v>13.35732366086634</v>
      </c>
      <c r="N20" s="81">
        <f t="shared" si="9"/>
        <v>24.443902299385403</v>
      </c>
      <c r="O20" s="83">
        <f t="shared" si="3"/>
        <v>6.666518808923291</v>
      </c>
      <c r="P20" s="84">
        <f t="shared" si="10"/>
        <v>1.742248109773056</v>
      </c>
      <c r="Q20" s="85">
        <v>511.05</v>
      </c>
      <c r="R20" s="85">
        <f t="shared" si="11"/>
        <v>1.6239275500476646</v>
      </c>
      <c r="S20" s="85">
        <f t="shared" si="15"/>
        <v>93.208742253087948</v>
      </c>
      <c r="T20" s="86">
        <f t="shared" si="12"/>
        <v>11814.831739341234</v>
      </c>
      <c r="U20" s="10">
        <f t="shared" si="13"/>
        <v>1.1814831739341234</v>
      </c>
      <c r="V20" s="102">
        <f t="shared" si="14"/>
        <v>0.29628972484103516</v>
      </c>
      <c r="W20" t="s">
        <v>156</v>
      </c>
    </row>
    <row r="21" spans="1:23" x14ac:dyDescent="0.25">
      <c r="A21" s="33" t="s">
        <v>142</v>
      </c>
      <c r="B21" s="76">
        <f t="shared" si="4"/>
        <v>43781.5</v>
      </c>
      <c r="C21" s="49">
        <v>0.4</v>
      </c>
      <c r="D21" s="89">
        <v>613.80999999999995</v>
      </c>
      <c r="E21" s="90">
        <v>177.25</v>
      </c>
      <c r="F21" s="79">
        <f t="shared" si="5"/>
        <v>1.3116995982797326E-2</v>
      </c>
      <c r="G21" s="79">
        <f t="shared" si="6"/>
        <v>1.330657478160977E-2</v>
      </c>
      <c r="H21" s="110">
        <v>0.5</v>
      </c>
      <c r="I21" s="80">
        <f>jar_information!L7</f>
        <v>43780.5625</v>
      </c>
      <c r="J21" s="81">
        <f t="shared" si="2"/>
        <v>0.9375</v>
      </c>
      <c r="K21" s="81">
        <f t="shared" si="7"/>
        <v>22.5</v>
      </c>
      <c r="L21" s="82">
        <f>jar_information!G7</f>
        <v>1110.1238286479252</v>
      </c>
      <c r="M21" s="81">
        <f t="shared" si="8"/>
        <v>14.561489800782422</v>
      </c>
      <c r="N21" s="81">
        <f t="shared" si="9"/>
        <v>26.647526335431834</v>
      </c>
      <c r="O21" s="83">
        <f t="shared" si="3"/>
        <v>7.2675071823904993</v>
      </c>
      <c r="P21" s="84">
        <f t="shared" si="10"/>
        <v>1.925009603721674</v>
      </c>
      <c r="Q21" s="85">
        <v>299</v>
      </c>
      <c r="R21" s="85">
        <f t="shared" si="11"/>
        <v>0.95011121703209411</v>
      </c>
      <c r="S21" s="85">
        <f t="shared" si="15"/>
        <v>49.356180623474188</v>
      </c>
      <c r="T21" s="86">
        <f t="shared" si="12"/>
        <v>13116.995982797325</v>
      </c>
      <c r="U21" s="10">
        <f t="shared" si="13"/>
        <v>1.3116995982797326</v>
      </c>
      <c r="V21" s="102">
        <f t="shared" si="14"/>
        <v>0.3230003192173555</v>
      </c>
      <c r="W21" t="s">
        <v>156</v>
      </c>
    </row>
    <row r="22" spans="1:23" x14ac:dyDescent="0.25">
      <c r="A22" s="33" t="s">
        <v>143</v>
      </c>
      <c r="B22" s="76">
        <f t="shared" si="4"/>
        <v>43781.5</v>
      </c>
      <c r="C22" s="49">
        <v>0.4</v>
      </c>
      <c r="D22" s="89">
        <v>527.41</v>
      </c>
      <c r="E22" s="90">
        <v>163.98</v>
      </c>
      <c r="F22" s="79">
        <f t="shared" si="5"/>
        <v>1.1206860318372768E-2</v>
      </c>
      <c r="G22" s="79">
        <f t="shared" si="6"/>
        <v>1.2218837319991439E-2</v>
      </c>
      <c r="H22" s="110">
        <v>0.5</v>
      </c>
      <c r="I22" s="80">
        <f>jar_information!L8</f>
        <v>43780.5625</v>
      </c>
      <c r="J22" s="81">
        <f t="shared" si="2"/>
        <v>0.9375</v>
      </c>
      <c r="K22" s="81">
        <f t="shared" si="7"/>
        <v>22.5</v>
      </c>
      <c r="L22" s="82">
        <f>jar_information!G8</f>
        <v>1115.2086475615888</v>
      </c>
      <c r="M22" s="81">
        <f t="shared" si="8"/>
        <v>12.497987539064132</v>
      </c>
      <c r="N22" s="81">
        <f t="shared" si="9"/>
        <v>22.871317196487364</v>
      </c>
      <c r="O22" s="83">
        <f t="shared" si="3"/>
        <v>6.2376319626783721</v>
      </c>
      <c r="P22" s="84">
        <f t="shared" si="10"/>
        <v>1.6466727464145707</v>
      </c>
      <c r="Q22" s="85">
        <v>354</v>
      </c>
      <c r="R22" s="85">
        <f t="shared" si="11"/>
        <v>1.1248808388941849</v>
      </c>
      <c r="S22" s="85">
        <f t="shared" si="15"/>
        <v>68.312349332523766</v>
      </c>
      <c r="T22" s="86">
        <f t="shared" si="12"/>
        <v>11206.860318372768</v>
      </c>
      <c r="U22" s="10">
        <f t="shared" si="13"/>
        <v>1.1206860318372769</v>
      </c>
      <c r="V22" s="102">
        <f t="shared" si="14"/>
        <v>0.27722808723014986</v>
      </c>
      <c r="W22" t="s">
        <v>156</v>
      </c>
    </row>
    <row r="23" spans="1:23" x14ac:dyDescent="0.25">
      <c r="A23" s="33" t="s">
        <v>144</v>
      </c>
      <c r="B23" s="76">
        <f t="shared" si="4"/>
        <v>43781.5</v>
      </c>
      <c r="C23" s="49">
        <v>0.4</v>
      </c>
      <c r="D23" s="89">
        <v>750.9</v>
      </c>
      <c r="E23" s="90">
        <v>206.52</v>
      </c>
      <c r="F23" s="79">
        <f t="shared" si="5"/>
        <v>1.6147788786454301E-2</v>
      </c>
      <c r="G23" s="79">
        <f t="shared" si="6"/>
        <v>1.5705826891750579E-2</v>
      </c>
      <c r="H23" s="110">
        <v>0.5</v>
      </c>
      <c r="I23" s="80">
        <f>jar_information!L9</f>
        <v>43780.5625</v>
      </c>
      <c r="J23" s="81">
        <f t="shared" si="2"/>
        <v>0.9375</v>
      </c>
      <c r="K23" s="81">
        <f t="shared" si="7"/>
        <v>22.5</v>
      </c>
      <c r="L23" s="82">
        <f>jar_information!G9</f>
        <v>1120.3088284659282</v>
      </c>
      <c r="M23" s="81">
        <f t="shared" si="8"/>
        <v>18.090510337667869</v>
      </c>
      <c r="N23" s="81">
        <f t="shared" si="9"/>
        <v>33.105633917932202</v>
      </c>
      <c r="O23" s="83">
        <f t="shared" si="3"/>
        <v>9.0288092503451463</v>
      </c>
      <c r="P23" s="84">
        <f t="shared" si="10"/>
        <v>2.3755197842153404</v>
      </c>
      <c r="Q23" s="85">
        <v>860.2</v>
      </c>
      <c r="R23" s="85">
        <f t="shared" si="11"/>
        <v>2.7333968859231015</v>
      </c>
      <c r="S23" s="85">
        <f t="shared" si="15"/>
        <v>115.06521242575009</v>
      </c>
      <c r="T23" s="86">
        <f t="shared" si="12"/>
        <v>16147.788786454301</v>
      </c>
      <c r="U23" s="10">
        <f t="shared" si="13"/>
        <v>1.61477887864543</v>
      </c>
      <c r="V23" s="102">
        <f t="shared" si="14"/>
        <v>0.40128041112645096</v>
      </c>
      <c r="W23" t="s">
        <v>156</v>
      </c>
    </row>
    <row r="24" spans="1:23" x14ac:dyDescent="0.25">
      <c r="A24" s="33" t="s">
        <v>145</v>
      </c>
      <c r="B24" s="76">
        <f t="shared" si="4"/>
        <v>43781.5</v>
      </c>
      <c r="C24" s="49">
        <v>0.4</v>
      </c>
      <c r="D24" s="89">
        <v>670.1</v>
      </c>
      <c r="E24" s="90">
        <v>181.29</v>
      </c>
      <c r="F24" s="79">
        <f t="shared" si="5"/>
        <v>1.4361458211390597E-2</v>
      </c>
      <c r="G24" s="79">
        <f t="shared" si="6"/>
        <v>1.3637732230361695E-2</v>
      </c>
      <c r="H24" s="110">
        <v>0.5</v>
      </c>
      <c r="I24" s="80">
        <f>jar_information!L10</f>
        <v>43780.5625</v>
      </c>
      <c r="J24" s="81">
        <f t="shared" si="2"/>
        <v>0.9375</v>
      </c>
      <c r="K24" s="81">
        <f t="shared" si="7"/>
        <v>22.5</v>
      </c>
      <c r="L24" s="82">
        <f>jar_information!G10</f>
        <v>1146.0426179604265</v>
      </c>
      <c r="M24" s="81">
        <f t="shared" si="8"/>
        <v>16.458843166311343</v>
      </c>
      <c r="N24" s="81">
        <f t="shared" si="9"/>
        <v>30.119682994349759</v>
      </c>
      <c r="O24" s="83">
        <f t="shared" si="3"/>
        <v>8.2144589984590244</v>
      </c>
      <c r="P24" s="84">
        <f t="shared" si="10"/>
        <v>2.1252865614521594</v>
      </c>
      <c r="Q24" s="85">
        <v>382</v>
      </c>
      <c r="R24" s="85">
        <f t="shared" si="11"/>
        <v>1.2138544645694314</v>
      </c>
      <c r="S24" s="85">
        <f t="shared" si="15"/>
        <v>57.114860959739588</v>
      </c>
      <c r="T24" s="86">
        <f t="shared" si="12"/>
        <v>14361.458211390596</v>
      </c>
      <c r="U24" s="10">
        <f t="shared" si="13"/>
        <v>1.4361458211390596</v>
      </c>
      <c r="V24" s="102">
        <f t="shared" si="14"/>
        <v>0.36508706659817886</v>
      </c>
      <c r="W24" t="s">
        <v>156</v>
      </c>
    </row>
    <row r="25" spans="1:23" x14ac:dyDescent="0.25">
      <c r="A25" s="33" t="s">
        <v>146</v>
      </c>
      <c r="B25" s="76">
        <f t="shared" si="4"/>
        <v>43781.5</v>
      </c>
      <c r="C25" s="49">
        <v>0.4</v>
      </c>
      <c r="D25" s="89">
        <v>415.59</v>
      </c>
      <c r="E25" s="90">
        <v>130.26</v>
      </c>
      <c r="F25" s="79">
        <f t="shared" si="5"/>
        <v>8.7347379804566336E-3</v>
      </c>
      <c r="G25" s="79">
        <f t="shared" si="6"/>
        <v>9.4548201982303185E-3</v>
      </c>
      <c r="H25" s="110">
        <v>0.5</v>
      </c>
      <c r="I25" s="80">
        <f>jar_information!L11</f>
        <v>43780.5625</v>
      </c>
      <c r="J25" s="81">
        <f t="shared" si="2"/>
        <v>0.9375</v>
      </c>
      <c r="K25" s="81">
        <f t="shared" si="7"/>
        <v>22.5</v>
      </c>
      <c r="L25" s="82">
        <f>jar_information!G11</f>
        <v>1130.5555555555557</v>
      </c>
      <c r="M25" s="81">
        <f t="shared" si="8"/>
        <v>9.8751065501273612</v>
      </c>
      <c r="N25" s="81">
        <f t="shared" si="9"/>
        <v>18.07144498673307</v>
      </c>
      <c r="O25" s="83">
        <f t="shared" si="3"/>
        <v>4.9285759054726554</v>
      </c>
      <c r="P25" s="84">
        <f t="shared" si="10"/>
        <v>1.2880488754774271</v>
      </c>
      <c r="Q25" s="85">
        <v>804.9</v>
      </c>
      <c r="R25" s="85">
        <f t="shared" si="11"/>
        <v>2.5576739752144899</v>
      </c>
      <c r="S25" s="85">
        <f t="shared" si="15"/>
        <v>198.56963690655488</v>
      </c>
      <c r="T25" s="86">
        <f t="shared" si="12"/>
        <v>8734.7379804566335</v>
      </c>
      <c r="U25" s="10">
        <f t="shared" si="13"/>
        <v>0.87347379804566339</v>
      </c>
      <c r="V25" s="102">
        <f t="shared" si="14"/>
        <v>0.2190478180210069</v>
      </c>
      <c r="W25" t="s">
        <v>156</v>
      </c>
    </row>
    <row r="26" spans="1:23" x14ac:dyDescent="0.25">
      <c r="A26" s="33" t="s">
        <v>147</v>
      </c>
      <c r="B26" s="76">
        <f t="shared" si="4"/>
        <v>43781.5</v>
      </c>
      <c r="C26" s="49">
        <v>0.4</v>
      </c>
      <c r="D26" s="89">
        <v>375.82</v>
      </c>
      <c r="E26" s="90">
        <v>109.85</v>
      </c>
      <c r="F26" s="79">
        <f t="shared" ref="F26" si="16">((I$9*D26)+I$10)/C26/1000</f>
        <v>7.8555007654778769E-3</v>
      </c>
      <c r="G26" s="79">
        <f t="shared" ref="G26" si="17">((I$12*E26)+I$13)/C26/1000</f>
        <v>7.7818193247088342E-3</v>
      </c>
      <c r="H26" s="110">
        <v>0.5</v>
      </c>
      <c r="I26" s="80">
        <f>jar_information!L12</f>
        <v>43780.5625</v>
      </c>
      <c r="J26" s="81">
        <f t="shared" si="2"/>
        <v>0.9375</v>
      </c>
      <c r="K26" s="81">
        <f t="shared" si="7"/>
        <v>22.5</v>
      </c>
      <c r="L26" s="82">
        <f>jar_information!G12</f>
        <v>1110.1238286479252</v>
      </c>
      <c r="M26" s="81">
        <f t="shared" ref="M26" si="18">F26*L26</f>
        <v>8.7205785857190072</v>
      </c>
      <c r="N26" s="81">
        <f t="shared" ref="N26" si="19">M26*1.83</f>
        <v>15.958658811865783</v>
      </c>
      <c r="O26" s="83">
        <f t="shared" ref="O26" si="20">N26*(12/(12+(16*2)))</f>
        <v>4.3523614941452129</v>
      </c>
      <c r="P26" s="84">
        <f t="shared" ref="P26" si="21">O26*(400/(400+L26))</f>
        <v>1.1528489019452286</v>
      </c>
      <c r="Q26" s="85">
        <v>700</v>
      </c>
      <c r="R26" s="85">
        <f t="shared" ref="R26" si="22">Q26/314.7</f>
        <v>2.2243406418811569</v>
      </c>
      <c r="S26" s="85">
        <f t="shared" ref="S26" si="23">R26/P26*100</f>
        <v>192.94294665397828</v>
      </c>
      <c r="T26" s="86">
        <f t="shared" ref="T26" si="24">F26*1000000</f>
        <v>7855.5007654778765</v>
      </c>
      <c r="U26" s="10">
        <f t="shared" ref="U26" si="25">M26/L26*100</f>
        <v>0.78555007654778763</v>
      </c>
      <c r="V26" s="102">
        <f t="shared" si="14"/>
        <v>0.19343828862867612</v>
      </c>
      <c r="W26" t="s">
        <v>156</v>
      </c>
    </row>
    <row r="27" spans="1:23" x14ac:dyDescent="0.25">
      <c r="A27" s="33" t="s">
        <v>148</v>
      </c>
      <c r="B27" s="76">
        <f t="shared" si="4"/>
        <v>43781.5</v>
      </c>
      <c r="C27" s="49">
        <v>0.4</v>
      </c>
      <c r="D27" s="89">
        <v>465.27</v>
      </c>
      <c r="E27" s="90">
        <v>138.97</v>
      </c>
      <c r="F27" s="79">
        <f t="shared" si="5"/>
        <v>9.833065987500755E-3</v>
      </c>
      <c r="G27" s="79">
        <f t="shared" si="6"/>
        <v>1.0168775985019744E-2</v>
      </c>
      <c r="H27" s="110">
        <v>0.5</v>
      </c>
      <c r="I27" s="80">
        <f>jar_information!L13</f>
        <v>43780.5625</v>
      </c>
      <c r="J27" s="81">
        <f t="shared" si="2"/>
        <v>0.9375</v>
      </c>
      <c r="K27" s="81">
        <f t="shared" si="7"/>
        <v>22.5</v>
      </c>
      <c r="L27" s="82">
        <f>jar_information!G13</f>
        <v>1110.1238286479252</v>
      </c>
      <c r="M27" s="81">
        <f t="shared" si="8"/>
        <v>10.91592086139203</v>
      </c>
      <c r="N27" s="81">
        <f t="shared" si="9"/>
        <v>19.976135176347416</v>
      </c>
      <c r="O27" s="83">
        <f t="shared" si="3"/>
        <v>5.4480368662765679</v>
      </c>
      <c r="P27" s="84">
        <f t="shared" si="10"/>
        <v>1.4430702338243122</v>
      </c>
      <c r="Q27" s="85">
        <v>925.7</v>
      </c>
      <c r="R27" s="85">
        <f t="shared" si="11"/>
        <v>2.9415316174134096</v>
      </c>
      <c r="S27" s="85">
        <f t="shared" si="15"/>
        <v>203.83842369321084</v>
      </c>
      <c r="T27" s="86">
        <f t="shared" si="12"/>
        <v>9833.065987500755</v>
      </c>
      <c r="U27" s="10">
        <f t="shared" si="13"/>
        <v>0.98330659875007553</v>
      </c>
      <c r="V27" s="102">
        <f t="shared" si="14"/>
        <v>0.24213497183451413</v>
      </c>
      <c r="W27" t="s">
        <v>156</v>
      </c>
    </row>
    <row r="28" spans="1:23" x14ac:dyDescent="0.25">
      <c r="A28" s="33" t="s">
        <v>149</v>
      </c>
      <c r="B28" s="76">
        <f t="shared" si="4"/>
        <v>43781.5</v>
      </c>
      <c r="C28" s="49">
        <v>0.4</v>
      </c>
      <c r="D28" s="89">
        <v>461.24</v>
      </c>
      <c r="E28" s="90">
        <v>150.13</v>
      </c>
      <c r="F28" s="79">
        <f t="shared" si="5"/>
        <v>9.7439705392642854E-3</v>
      </c>
      <c r="G28" s="79">
        <f t="shared" si="6"/>
        <v>1.1083557452364171E-2</v>
      </c>
      <c r="H28" s="110">
        <v>0.5</v>
      </c>
      <c r="I28" s="80">
        <f>jar_information!L14</f>
        <v>43780.5625</v>
      </c>
      <c r="J28" s="81">
        <f t="shared" si="2"/>
        <v>0.9375</v>
      </c>
      <c r="K28" s="81">
        <f t="shared" si="7"/>
        <v>22.5</v>
      </c>
      <c r="L28" s="82">
        <f>jar_information!G14</f>
        <v>1130.5555555555557</v>
      </c>
      <c r="M28" s="81">
        <f t="shared" si="8"/>
        <v>11.016100026334902</v>
      </c>
      <c r="N28" s="81">
        <f t="shared" si="9"/>
        <v>20.159463048192872</v>
      </c>
      <c r="O28" s="83">
        <f t="shared" si="3"/>
        <v>5.4980353767798738</v>
      </c>
      <c r="P28" s="84">
        <f t="shared" si="10"/>
        <v>1.4368731293217818</v>
      </c>
      <c r="Q28" s="85">
        <v>727</v>
      </c>
      <c r="R28" s="85">
        <f t="shared" si="11"/>
        <v>2.3101366380680015</v>
      </c>
      <c r="S28" s="85">
        <f t="shared" si="15"/>
        <v>160.77526894517183</v>
      </c>
      <c r="T28" s="86">
        <f t="shared" si="12"/>
        <v>9743.9705392642845</v>
      </c>
      <c r="U28" s="10">
        <f t="shared" si="13"/>
        <v>0.9743970539264285</v>
      </c>
      <c r="V28" s="102">
        <f t="shared" si="14"/>
        <v>0.24435712785688327</v>
      </c>
      <c r="W28" t="s">
        <v>156</v>
      </c>
    </row>
    <row r="29" spans="1:23" x14ac:dyDescent="0.25">
      <c r="A29" s="33" t="s">
        <v>150</v>
      </c>
      <c r="B29" s="76">
        <f t="shared" si="4"/>
        <v>43781.5</v>
      </c>
      <c r="C29" s="49">
        <v>0.4</v>
      </c>
      <c r="D29" s="89">
        <v>866.98</v>
      </c>
      <c r="E29" s="90">
        <v>229.53</v>
      </c>
      <c r="F29" s="79">
        <f t="shared" ref="F29:F34" si="26">((I$9*D29)+I$10)/C29/1000</f>
        <v>1.8714091424491368E-2</v>
      </c>
      <c r="G29" s="79">
        <f t="shared" ref="G29:G34" si="27">((I$12*E29)+I$13)/C29/1000</f>
        <v>1.7591948895656961E-2</v>
      </c>
      <c r="H29" s="110">
        <v>0.5</v>
      </c>
      <c r="I29" s="80">
        <f>jar_information!L15</f>
        <v>43780.5625</v>
      </c>
      <c r="J29" s="81">
        <f t="shared" ref="J29:J34" si="28">B29-I29</f>
        <v>0.9375</v>
      </c>
      <c r="K29" s="81">
        <f t="shared" ref="K29:K34" si="29">J29*24</f>
        <v>22.5</v>
      </c>
      <c r="L29" s="82">
        <f>jar_information!G15</f>
        <v>1110.1238286479252</v>
      </c>
      <c r="M29" s="81">
        <f t="shared" ref="M29:M34" si="30">F29*L29</f>
        <v>20.77495882182366</v>
      </c>
      <c r="N29" s="81">
        <f t="shared" ref="N29:N34" si="31">M29*1.83</f>
        <v>38.0181746439373</v>
      </c>
      <c r="O29" s="83">
        <f t="shared" ref="O29:O34" si="32">N29*(12/(12+(16*2)))</f>
        <v>10.368593084710172</v>
      </c>
      <c r="P29" s="84">
        <f t="shared" ref="P29:P34" si="33">O29*(400/(400+L29))</f>
        <v>2.7464219524285212</v>
      </c>
      <c r="Q29" s="85">
        <v>634.70000000000005</v>
      </c>
      <c r="R29" s="85">
        <f t="shared" ref="R29:R34" si="34">Q29/314.7</f>
        <v>2.0168414362885292</v>
      </c>
      <c r="S29" s="85">
        <f t="shared" ref="S29:S34" si="35">R29/P29*100</f>
        <v>73.435235780326437</v>
      </c>
      <c r="T29" s="86">
        <f t="shared" ref="T29:T34" si="36">F29*1000000</f>
        <v>18714.091424491369</v>
      </c>
      <c r="U29" s="10">
        <f t="shared" ref="U29:U34" si="37">M29/L29*100</f>
        <v>1.8714091424491368</v>
      </c>
      <c r="V29" s="102">
        <f t="shared" ref="V29:V34" si="38">O29/K29</f>
        <v>0.46082635932045207</v>
      </c>
      <c r="W29" t="s">
        <v>156</v>
      </c>
    </row>
    <row r="30" spans="1:23" x14ac:dyDescent="0.25">
      <c r="A30" s="33" t="s">
        <v>151</v>
      </c>
      <c r="B30" s="76">
        <f t="shared" si="4"/>
        <v>43781.5</v>
      </c>
      <c r="C30" s="49">
        <v>0.4</v>
      </c>
      <c r="D30" s="89">
        <v>726.18</v>
      </c>
      <c r="E30" s="90">
        <v>205.43</v>
      </c>
      <c r="F30" s="79">
        <f t="shared" si="26"/>
        <v>1.5601277749132829E-2</v>
      </c>
      <c r="G30" s="79">
        <f t="shared" si="27"/>
        <v>1.5616479956319982E-2</v>
      </c>
      <c r="H30" s="110">
        <v>0.5</v>
      </c>
      <c r="I30" s="80">
        <f>jar_information!L16</f>
        <v>43780.5625</v>
      </c>
      <c r="J30" s="81">
        <f t="shared" si="28"/>
        <v>0.9375</v>
      </c>
      <c r="K30" s="81">
        <f t="shared" si="29"/>
        <v>22.5</v>
      </c>
      <c r="L30" s="82">
        <f>jar_information!G16</f>
        <v>1130.5555555555557</v>
      </c>
      <c r="M30" s="81">
        <f t="shared" si="30"/>
        <v>17.638111233047393</v>
      </c>
      <c r="N30" s="81">
        <f t="shared" si="31"/>
        <v>32.277743556476729</v>
      </c>
      <c r="O30" s="83">
        <f t="shared" si="32"/>
        <v>8.8030209699481983</v>
      </c>
      <c r="P30" s="84">
        <f t="shared" si="33"/>
        <v>2.3006080211842841</v>
      </c>
      <c r="Q30" s="85">
        <v>596.4</v>
      </c>
      <c r="R30" s="85">
        <f t="shared" si="34"/>
        <v>1.8951382268827455</v>
      </c>
      <c r="S30" s="85">
        <f t="shared" si="35"/>
        <v>82.375537659265618</v>
      </c>
      <c r="T30" s="86">
        <f t="shared" si="36"/>
        <v>15601.277749132829</v>
      </c>
      <c r="U30" s="10">
        <f t="shared" si="37"/>
        <v>1.5601277749132829</v>
      </c>
      <c r="V30" s="102">
        <f t="shared" si="38"/>
        <v>0.39124537644214213</v>
      </c>
      <c r="W30" t="s">
        <v>156</v>
      </c>
    </row>
    <row r="31" spans="1:23" x14ac:dyDescent="0.25">
      <c r="A31" s="33" t="s">
        <v>152</v>
      </c>
      <c r="B31" s="76">
        <f t="shared" si="4"/>
        <v>43781.5</v>
      </c>
      <c r="C31" s="49">
        <v>0.4</v>
      </c>
      <c r="D31" s="89">
        <v>583.33000000000004</v>
      </c>
      <c r="E31" s="90">
        <v>179.58</v>
      </c>
      <c r="F31" s="79">
        <f t="shared" si="26"/>
        <v>1.2443142567847554E-2</v>
      </c>
      <c r="G31" s="79">
        <f t="shared" si="27"/>
        <v>1.3497564102300857E-2</v>
      </c>
      <c r="H31" s="110">
        <v>0.5</v>
      </c>
      <c r="I31" s="80">
        <f>jar_information!L17</f>
        <v>43780.5625</v>
      </c>
      <c r="J31" s="81">
        <f t="shared" si="28"/>
        <v>0.9375</v>
      </c>
      <c r="K31" s="81">
        <f t="shared" si="29"/>
        <v>22.5</v>
      </c>
      <c r="L31" s="82">
        <f>jar_information!G17</f>
        <v>1110.1238286479252</v>
      </c>
      <c r="M31" s="81">
        <f t="shared" si="30"/>
        <v>13.813429067830903</v>
      </c>
      <c r="N31" s="81">
        <f t="shared" si="31"/>
        <v>25.278575194130553</v>
      </c>
      <c r="O31" s="83">
        <f t="shared" si="32"/>
        <v>6.8941568711265138</v>
      </c>
      <c r="P31" s="84">
        <f t="shared" si="33"/>
        <v>1.826116968778416</v>
      </c>
      <c r="Q31" s="85"/>
      <c r="R31" s="85">
        <f t="shared" si="34"/>
        <v>0</v>
      </c>
      <c r="S31" s="85">
        <f t="shared" si="35"/>
        <v>0</v>
      </c>
      <c r="T31" s="86">
        <f t="shared" si="36"/>
        <v>12443.142567847555</v>
      </c>
      <c r="U31" s="10">
        <f t="shared" si="37"/>
        <v>1.2443142567847554</v>
      </c>
      <c r="V31" s="102">
        <f t="shared" si="38"/>
        <v>0.30640697205006728</v>
      </c>
      <c r="W31" t="s">
        <v>156</v>
      </c>
    </row>
    <row r="32" spans="1:23" x14ac:dyDescent="0.25">
      <c r="A32" s="33" t="s">
        <v>153</v>
      </c>
      <c r="B32" s="76">
        <f t="shared" si="4"/>
        <v>43781.5</v>
      </c>
      <c r="C32" s="49">
        <v>0.4</v>
      </c>
      <c r="D32" s="89">
        <v>695.14</v>
      </c>
      <c r="E32" s="90">
        <v>197.69</v>
      </c>
      <c r="F32" s="79">
        <f t="shared" si="26"/>
        <v>1.4915043825246973E-2</v>
      </c>
      <c r="G32" s="79">
        <f t="shared" si="27"/>
        <v>1.4982034745097234E-2</v>
      </c>
      <c r="H32" s="110">
        <v>0.5</v>
      </c>
      <c r="I32" s="80">
        <f>jar_information!L18</f>
        <v>43780.5625</v>
      </c>
      <c r="J32" s="81">
        <f t="shared" si="28"/>
        <v>0.9375</v>
      </c>
      <c r="K32" s="81">
        <f t="shared" si="29"/>
        <v>22.5</v>
      </c>
      <c r="L32" s="82">
        <f>jar_information!G18</f>
        <v>1115.2086475615888</v>
      </c>
      <c r="M32" s="81">
        <f t="shared" si="30"/>
        <v>16.633385852675502</v>
      </c>
      <c r="N32" s="81">
        <f t="shared" si="31"/>
        <v>30.439096110396171</v>
      </c>
      <c r="O32" s="83">
        <f t="shared" si="32"/>
        <v>8.3015716664716823</v>
      </c>
      <c r="P32" s="84">
        <f t="shared" si="33"/>
        <v>2.1915322829846104</v>
      </c>
      <c r="Q32" s="85"/>
      <c r="R32" s="85">
        <f t="shared" si="34"/>
        <v>0</v>
      </c>
      <c r="S32" s="85">
        <f t="shared" si="35"/>
        <v>0</v>
      </c>
      <c r="T32" s="86">
        <f t="shared" si="36"/>
        <v>14915.043825246972</v>
      </c>
      <c r="U32" s="10">
        <f t="shared" si="37"/>
        <v>1.4915043825246972</v>
      </c>
      <c r="V32" s="102">
        <f t="shared" si="38"/>
        <v>0.3689587407320748</v>
      </c>
      <c r="W32" t="s">
        <v>156</v>
      </c>
    </row>
    <row r="33" spans="1:23" x14ac:dyDescent="0.25">
      <c r="A33" s="33" t="s">
        <v>154</v>
      </c>
      <c r="B33" s="76">
        <f t="shared" si="4"/>
        <v>43781.5</v>
      </c>
      <c r="C33" s="49">
        <v>0.4</v>
      </c>
      <c r="D33" s="89">
        <v>294.97000000000003</v>
      </c>
      <c r="E33" s="90">
        <v>92.05</v>
      </c>
      <c r="F33" s="79">
        <f t="shared" si="26"/>
        <v>6.0680647878305922E-3</v>
      </c>
      <c r="G33" s="79">
        <f t="shared" si="27"/>
        <v>6.3227592782275788E-3</v>
      </c>
      <c r="H33" s="110">
        <v>0.5</v>
      </c>
      <c r="I33" s="80">
        <f>jar_information!L19</f>
        <v>43780.5625</v>
      </c>
      <c r="J33" s="81">
        <f t="shared" si="28"/>
        <v>0.9375</v>
      </c>
      <c r="K33" s="81">
        <f t="shared" si="29"/>
        <v>22.5</v>
      </c>
      <c r="L33" s="82">
        <f>jar_information!G19</f>
        <v>1115.2086475615888</v>
      </c>
      <c r="M33" s="81">
        <f t="shared" si="30"/>
        <v>6.7671583253526544</v>
      </c>
      <c r="N33" s="81">
        <f t="shared" si="31"/>
        <v>12.383899735395358</v>
      </c>
      <c r="O33" s="83">
        <f t="shared" si="32"/>
        <v>3.3774272005623702</v>
      </c>
      <c r="P33" s="84">
        <f t="shared" si="33"/>
        <v>0.89160716076894952</v>
      </c>
      <c r="Q33" s="85"/>
      <c r="R33" s="85">
        <f t="shared" si="34"/>
        <v>0</v>
      </c>
      <c r="S33" s="85">
        <f t="shared" si="35"/>
        <v>0</v>
      </c>
      <c r="T33" s="86">
        <f t="shared" si="36"/>
        <v>6068.0647878305917</v>
      </c>
      <c r="U33" s="10">
        <f t="shared" si="37"/>
        <v>0.60680647878305927</v>
      </c>
      <c r="V33" s="102">
        <f t="shared" si="38"/>
        <v>0.15010787558054978</v>
      </c>
      <c r="W33" t="s">
        <v>156</v>
      </c>
    </row>
    <row r="34" spans="1:23" x14ac:dyDescent="0.25">
      <c r="A34" s="33" t="s">
        <v>155</v>
      </c>
      <c r="B34" s="76">
        <f t="shared" si="4"/>
        <v>43781.5</v>
      </c>
      <c r="C34" s="49">
        <v>0.4</v>
      </c>
      <c r="D34" s="89">
        <v>365.36</v>
      </c>
      <c r="E34" s="90">
        <v>105.51</v>
      </c>
      <c r="F34" s="79">
        <f t="shared" si="26"/>
        <v>7.6242505449931452E-3</v>
      </c>
      <c r="G34" s="79">
        <f t="shared" si="27"/>
        <v>7.4260709762971142E-3</v>
      </c>
      <c r="H34" s="110">
        <v>0.5</v>
      </c>
      <c r="I34" s="80">
        <f>jar_information!L20</f>
        <v>43780.5625</v>
      </c>
      <c r="J34" s="81">
        <f t="shared" si="28"/>
        <v>0.9375</v>
      </c>
      <c r="K34" s="81">
        <f t="shared" si="29"/>
        <v>22.5</v>
      </c>
      <c r="L34" s="82">
        <f>jar_information!G20</f>
        <v>1110.1238286479252</v>
      </c>
      <c r="M34" s="81">
        <f t="shared" si="30"/>
        <v>8.4638622055788204</v>
      </c>
      <c r="N34" s="81">
        <f t="shared" si="31"/>
        <v>15.488867836209241</v>
      </c>
      <c r="O34" s="83">
        <f t="shared" si="32"/>
        <v>4.2242366826025197</v>
      </c>
      <c r="P34" s="84">
        <f t="shared" si="33"/>
        <v>1.1189113375913415</v>
      </c>
      <c r="Q34" s="85"/>
      <c r="R34" s="85">
        <f t="shared" si="34"/>
        <v>0</v>
      </c>
      <c r="S34" s="85">
        <f t="shared" si="35"/>
        <v>0</v>
      </c>
      <c r="T34" s="86">
        <f t="shared" si="36"/>
        <v>7624.250544993145</v>
      </c>
      <c r="U34" s="10">
        <f t="shared" si="37"/>
        <v>0.76242505449931453</v>
      </c>
      <c r="V34" s="102">
        <f t="shared" si="38"/>
        <v>0.187743852560112</v>
      </c>
      <c r="W34" t="s">
        <v>156</v>
      </c>
    </row>
    <row r="35" spans="1:23" x14ac:dyDescent="0.25">
      <c r="A35" s="23"/>
      <c r="B35" s="76"/>
      <c r="C35" s="54"/>
      <c r="D35" s="54"/>
      <c r="E35" s="54"/>
      <c r="F35" s="99"/>
      <c r="G35" s="99"/>
      <c r="H35" s="100"/>
      <c r="I35" s="76"/>
      <c r="J35" s="81"/>
      <c r="K35" s="81"/>
      <c r="L35" s="82"/>
      <c r="M35" s="81"/>
      <c r="N35" s="81"/>
      <c r="O35" s="83"/>
      <c r="P35" s="84"/>
      <c r="Q35" s="85"/>
      <c r="R35" s="85"/>
      <c r="S35" s="85"/>
      <c r="T35" s="86"/>
      <c r="U35" s="10"/>
    </row>
    <row r="36" spans="1:23" x14ac:dyDescent="0.25">
      <c r="A36" s="23" t="str">
        <f>CONCATENATE(A17,B36)</f>
        <v>1_GRrf-L_1_12112019</v>
      </c>
      <c r="B36" s="57" t="s">
        <v>157</v>
      </c>
      <c r="C36" s="54"/>
      <c r="D36" s="54"/>
      <c r="E36" s="54"/>
      <c r="F36" s="99"/>
      <c r="G36" s="99"/>
      <c r="H36" s="100"/>
      <c r="I36" s="76"/>
      <c r="J36" s="81"/>
      <c r="K36" s="81"/>
      <c r="L36" s="82"/>
      <c r="M36" s="81"/>
      <c r="N36" s="81"/>
      <c r="O36" s="83"/>
      <c r="P36" s="84"/>
      <c r="Q36" s="85"/>
      <c r="R36" s="85"/>
      <c r="S36" s="85"/>
      <c r="T36" s="86"/>
      <c r="U36" s="10"/>
    </row>
    <row r="37" spans="1:23" x14ac:dyDescent="0.25">
      <c r="A37" s="23" t="str">
        <f t="shared" ref="A37:A53" si="39">CONCATENATE(A18,B37)</f>
        <v>2_GRrf-L_2_12112019</v>
      </c>
      <c r="B37" s="57" t="s">
        <v>157</v>
      </c>
      <c r="C37" s="54"/>
      <c r="D37" s="54"/>
      <c r="E37" s="54"/>
      <c r="F37" s="99"/>
      <c r="G37" s="99"/>
      <c r="H37" s="100"/>
      <c r="I37" s="76"/>
      <c r="J37" s="81"/>
      <c r="K37" s="81"/>
      <c r="L37" s="82"/>
      <c r="M37" s="81"/>
      <c r="N37" s="81"/>
      <c r="O37" s="83"/>
      <c r="P37" s="84"/>
      <c r="Q37" s="85"/>
      <c r="R37" s="85"/>
      <c r="S37" s="85"/>
      <c r="T37" s="86"/>
      <c r="U37" s="10"/>
    </row>
    <row r="38" spans="1:23" x14ac:dyDescent="0.25">
      <c r="A38" s="23" t="str">
        <f t="shared" si="39"/>
        <v>3_GRwf-L_1_12112019</v>
      </c>
      <c r="B38" s="57" t="s">
        <v>157</v>
      </c>
      <c r="C38" s="54"/>
      <c r="D38" s="54"/>
      <c r="E38" s="54"/>
      <c r="F38" s="99"/>
      <c r="G38" s="99"/>
      <c r="H38" s="100"/>
      <c r="I38" s="76"/>
      <c r="J38" s="81"/>
      <c r="K38" s="81"/>
      <c r="L38" s="82"/>
      <c r="M38" s="81"/>
      <c r="N38" s="81"/>
      <c r="O38" s="83"/>
      <c r="P38" s="84"/>
      <c r="Q38" s="85"/>
      <c r="R38" s="85"/>
      <c r="S38" s="85"/>
      <c r="T38" s="86"/>
      <c r="U38" s="10"/>
    </row>
    <row r="39" spans="1:23" x14ac:dyDescent="0.25">
      <c r="A39" s="23" t="str">
        <f t="shared" si="39"/>
        <v>4_GRwf-L_2_12112019</v>
      </c>
      <c r="B39" s="57" t="s">
        <v>157</v>
      </c>
      <c r="C39" s="54"/>
      <c r="D39" s="54"/>
      <c r="E39" s="54"/>
      <c r="F39" s="99"/>
      <c r="G39" s="99"/>
      <c r="H39" s="100"/>
      <c r="I39" s="76"/>
      <c r="J39" s="81"/>
      <c r="K39" s="81"/>
      <c r="L39" s="82"/>
      <c r="M39" s="81"/>
      <c r="N39" s="81"/>
      <c r="O39" s="83"/>
      <c r="P39" s="84"/>
      <c r="Q39" s="85"/>
      <c r="R39" s="85"/>
      <c r="S39" s="85"/>
      <c r="T39" s="86"/>
      <c r="U39" s="10"/>
    </row>
    <row r="40" spans="1:23" x14ac:dyDescent="0.25">
      <c r="A40" s="23" t="str">
        <f t="shared" si="39"/>
        <v>5_GRpp-L_1_12112019</v>
      </c>
      <c r="B40" s="57" t="s">
        <v>157</v>
      </c>
      <c r="C40" s="54"/>
      <c r="D40" s="54"/>
      <c r="E40" s="54"/>
      <c r="F40" s="99"/>
      <c r="G40" s="99"/>
      <c r="H40" s="100"/>
      <c r="I40" s="76"/>
      <c r="J40" s="81"/>
      <c r="K40" s="81"/>
      <c r="L40" s="82"/>
      <c r="M40" s="81"/>
      <c r="N40" s="81"/>
      <c r="O40" s="83"/>
      <c r="P40" s="84"/>
      <c r="Q40" s="85"/>
      <c r="R40" s="85"/>
      <c r="S40" s="85"/>
      <c r="T40" s="86"/>
      <c r="U40" s="10"/>
    </row>
    <row r="41" spans="1:23" x14ac:dyDescent="0.25">
      <c r="A41" s="23" t="str">
        <f t="shared" si="39"/>
        <v>6_GRpp-L_2_12112019</v>
      </c>
      <c r="B41" s="57" t="s">
        <v>157</v>
      </c>
      <c r="C41" s="54"/>
      <c r="D41" s="54"/>
      <c r="E41" s="54"/>
      <c r="F41" s="99"/>
      <c r="G41" s="99"/>
      <c r="H41" s="100"/>
      <c r="I41" s="76"/>
      <c r="J41" s="81"/>
      <c r="K41" s="81"/>
      <c r="L41" s="82"/>
      <c r="M41" s="81"/>
      <c r="N41" s="81"/>
      <c r="O41" s="83"/>
      <c r="P41" s="84"/>
      <c r="Q41" s="85"/>
      <c r="R41" s="85"/>
      <c r="S41" s="85"/>
      <c r="T41" s="86"/>
      <c r="U41" s="10"/>
    </row>
    <row r="42" spans="1:23" x14ac:dyDescent="0.25">
      <c r="A42" s="23" t="str">
        <f t="shared" si="39"/>
        <v>7_ANrf-L_1_12112019</v>
      </c>
      <c r="B42" s="57" t="s">
        <v>157</v>
      </c>
      <c r="C42" s="54"/>
      <c r="D42" s="54"/>
      <c r="E42" s="54"/>
      <c r="F42" s="99"/>
      <c r="G42" s="99"/>
      <c r="H42" s="100"/>
      <c r="I42" s="76"/>
      <c r="J42" s="81"/>
      <c r="K42" s="81"/>
      <c r="L42" s="82"/>
      <c r="M42" s="81"/>
      <c r="N42" s="81"/>
      <c r="O42" s="83"/>
      <c r="P42" s="84"/>
      <c r="Q42" s="85"/>
      <c r="R42" s="85"/>
      <c r="S42" s="85"/>
      <c r="T42" s="86"/>
      <c r="U42" s="10"/>
    </row>
    <row r="43" spans="1:23" x14ac:dyDescent="0.25">
      <c r="A43" s="23" t="str">
        <f t="shared" si="39"/>
        <v>8_ANrf-L_2_12112019</v>
      </c>
      <c r="B43" s="57" t="s">
        <v>157</v>
      </c>
      <c r="C43" s="101"/>
      <c r="D43" s="101"/>
      <c r="E43" s="101"/>
      <c r="F43" s="101"/>
      <c r="G43" s="101"/>
      <c r="H43" s="101"/>
      <c r="I43" s="101"/>
    </row>
    <row r="44" spans="1:23" x14ac:dyDescent="0.25">
      <c r="A44" s="23" t="str">
        <f t="shared" si="39"/>
        <v>9_ANwf-L_1_12112019</v>
      </c>
      <c r="B44" s="57" t="s">
        <v>157</v>
      </c>
      <c r="C44" s="101"/>
      <c r="D44" s="101"/>
      <c r="E44" s="101"/>
      <c r="F44" s="101"/>
      <c r="G44" s="101"/>
      <c r="H44" s="101"/>
      <c r="I44" s="101"/>
    </row>
    <row r="45" spans="1:23" x14ac:dyDescent="0.25">
      <c r="A45" s="23" t="str">
        <f t="shared" si="39"/>
        <v>10_ANwf-L_2_12112019</v>
      </c>
      <c r="B45" s="57" t="s">
        <v>157</v>
      </c>
      <c r="C45" s="101"/>
      <c r="D45" s="101"/>
      <c r="E45" s="101"/>
      <c r="F45" s="101"/>
      <c r="G45" s="101"/>
      <c r="H45" s="101"/>
      <c r="I45" s="101"/>
    </row>
    <row r="46" spans="1:23" x14ac:dyDescent="0.25">
      <c r="A46" s="23" t="str">
        <f t="shared" si="39"/>
        <v>11_ANpp-L_1_12112019</v>
      </c>
      <c r="B46" s="57" t="s">
        <v>157</v>
      </c>
    </row>
    <row r="47" spans="1:23" x14ac:dyDescent="0.25">
      <c r="A47" s="23" t="str">
        <f t="shared" si="39"/>
        <v>12_ANpp-L_2_12112019</v>
      </c>
      <c r="B47" s="57" t="s">
        <v>157</v>
      </c>
    </row>
    <row r="48" spans="1:23" x14ac:dyDescent="0.25">
      <c r="A48" s="23" t="str">
        <f t="shared" si="39"/>
        <v>13_BSrf-L_1_12112019</v>
      </c>
      <c r="B48" s="57" t="s">
        <v>157</v>
      </c>
    </row>
    <row r="49" spans="1:2" x14ac:dyDescent="0.25">
      <c r="A49" s="23" t="str">
        <f t="shared" si="39"/>
        <v>14_BSrf-L_2_12112019</v>
      </c>
      <c r="B49" s="57" t="s">
        <v>157</v>
      </c>
    </row>
    <row r="50" spans="1:2" x14ac:dyDescent="0.25">
      <c r="A50" s="23" t="str">
        <f t="shared" si="39"/>
        <v>15_BSwf-L_1_12112019</v>
      </c>
      <c r="B50" s="57" t="s">
        <v>157</v>
      </c>
    </row>
    <row r="51" spans="1:2" x14ac:dyDescent="0.25">
      <c r="A51" s="23" t="str">
        <f t="shared" si="39"/>
        <v>16_BSwf-L_2_12112019</v>
      </c>
      <c r="B51" s="57" t="s">
        <v>157</v>
      </c>
    </row>
    <row r="52" spans="1:2" x14ac:dyDescent="0.25">
      <c r="A52" s="23" t="str">
        <f t="shared" si="39"/>
        <v>17_BSpp-L_1_12112019</v>
      </c>
      <c r="B52" s="57" t="s">
        <v>157</v>
      </c>
    </row>
    <row r="53" spans="1:2" x14ac:dyDescent="0.25">
      <c r="A53" s="23" t="str">
        <f t="shared" si="39"/>
        <v>18_BSpp-L_2_12112019</v>
      </c>
      <c r="B53" s="57" t="s">
        <v>157</v>
      </c>
    </row>
  </sheetData>
  <conditionalFormatting sqref="O17:O42">
    <cfRule type="cellIs" dxfId="1" priority="1" operator="greaterThan">
      <formula>4</formula>
    </cfRule>
    <cfRule type="cellIs" dxfId="0" priority="2" operator="between">
      <formula>2</formula>
      <formula>3.9</formula>
    </cfRule>
  </conditionalFormatting>
  <pageMargins left="0.7" right="0.7" top="0.78740157499999996" bottom="0.78740157499999996" header="0.3" footer="0.3"/>
  <pageSetup paperSize="9" scale="5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Methods</vt:lpstr>
      <vt:lpstr>Sieving</vt:lpstr>
      <vt:lpstr>Dryweights</vt:lpstr>
      <vt:lpstr>WHC</vt:lpstr>
      <vt:lpstr>CO2 Template</vt:lpstr>
      <vt:lpstr>Leakage</vt:lpstr>
      <vt:lpstr>jar_information</vt:lpstr>
      <vt:lpstr>12.11.19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Rost</dc:creator>
  <cp:lastModifiedBy>mrost</cp:lastModifiedBy>
  <cp:lastPrinted>2019-09-06T07:44:16Z</cp:lastPrinted>
  <dcterms:created xsi:type="dcterms:W3CDTF">2018-06-07T19:49:10Z</dcterms:created>
  <dcterms:modified xsi:type="dcterms:W3CDTF">2019-11-21T13:52:38Z</dcterms:modified>
</cp:coreProperties>
</file>