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60" windowWidth="28800" windowHeight="16380" tabRatio="703" firstSheet="9" activeTab="16"/>
  </bookViews>
  <sheets>
    <sheet name="Methods" sheetId="9" r:id="rId1"/>
    <sheet name="Samples" sheetId="19" r:id="rId2"/>
    <sheet name="Dryweights" sheetId="2" r:id="rId3"/>
    <sheet name="WHC" sheetId="4" r:id="rId4"/>
    <sheet name="Leakage" sheetId="14" r:id="rId5"/>
    <sheet name="jar_information" sheetId="5" r:id="rId6"/>
    <sheet name="13C" sheetId="18" r:id="rId7"/>
    <sheet name="2001_Inc_01.12.20" sheetId="15" r:id="rId8"/>
    <sheet name="2001_Inc_02.12.20" sheetId="16" r:id="rId9"/>
    <sheet name="2001_Inc_04.12.20" sheetId="17" r:id="rId10"/>
    <sheet name="C development" sheetId="20" r:id="rId11"/>
    <sheet name="2001_Inc_07.12.20" sheetId="21" r:id="rId12"/>
    <sheet name="CO2 Template" sheetId="7" r:id="rId13"/>
    <sheet name="2001_Inc_08.12.20" sheetId="22" r:id="rId14"/>
    <sheet name="2001_Inc_11.12.20" sheetId="23" r:id="rId15"/>
    <sheet name="2001_Inc_14.12.20" sheetId="24" r:id="rId16"/>
    <sheet name="S01_2_flux" sheetId="32" r:id="rId17"/>
    <sheet name="14C" sheetId="25" r:id="rId18"/>
    <sheet name="Retrieval" sheetId="31" r:id="rId19"/>
  </sheets>
  <externalReferences>
    <externalReference r:id="rId20"/>
    <externalReference r:id="rId21"/>
  </externalReferences>
  <definedNames>
    <definedName name="MeasFrac">[1]Sheet2!$A$2:$A$8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32" l="1"/>
  <c r="D20" i="32"/>
  <c r="D21" i="32"/>
  <c r="D22" i="32"/>
  <c r="D23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L135" i="32"/>
  <c r="L134" i="32"/>
  <c r="E135" i="32"/>
  <c r="G135" i="32"/>
  <c r="H135" i="32"/>
  <c r="I135" i="32"/>
  <c r="J135" i="32"/>
  <c r="K135" i="32"/>
  <c r="M135" i="32"/>
  <c r="N135" i="32"/>
  <c r="O135" i="32"/>
  <c r="P135" i="32"/>
  <c r="Q135" i="32"/>
  <c r="L136" i="32"/>
  <c r="E136" i="32"/>
  <c r="G136" i="32"/>
  <c r="H136" i="32"/>
  <c r="I136" i="32"/>
  <c r="J136" i="32"/>
  <c r="K136" i="32"/>
  <c r="M136" i="32"/>
  <c r="N136" i="32"/>
  <c r="O136" i="32"/>
  <c r="P136" i="32"/>
  <c r="Q136" i="32"/>
  <c r="L137" i="32"/>
  <c r="E137" i="32"/>
  <c r="G137" i="32"/>
  <c r="H137" i="32"/>
  <c r="I137" i="32"/>
  <c r="J137" i="32"/>
  <c r="K137" i="32"/>
  <c r="M137" i="32"/>
  <c r="N137" i="32"/>
  <c r="O137" i="32"/>
  <c r="P137" i="32"/>
  <c r="Q137" i="32"/>
  <c r="L138" i="32"/>
  <c r="E138" i="32"/>
  <c r="G138" i="32"/>
  <c r="H138" i="32"/>
  <c r="I138" i="32"/>
  <c r="J138" i="32"/>
  <c r="K138" i="32"/>
  <c r="M138" i="32"/>
  <c r="N138" i="32"/>
  <c r="O138" i="32"/>
  <c r="P138" i="32"/>
  <c r="Q138" i="32"/>
  <c r="L139" i="32"/>
  <c r="E139" i="32"/>
  <c r="G139" i="32"/>
  <c r="H139" i="32"/>
  <c r="I139" i="32"/>
  <c r="J139" i="32"/>
  <c r="K139" i="32"/>
  <c r="M139" i="32"/>
  <c r="N139" i="32"/>
  <c r="O139" i="32"/>
  <c r="P139" i="32"/>
  <c r="Q139" i="32"/>
  <c r="L140" i="32"/>
  <c r="E140" i="32"/>
  <c r="G140" i="32"/>
  <c r="H140" i="32"/>
  <c r="I140" i="32"/>
  <c r="J140" i="32"/>
  <c r="K140" i="32"/>
  <c r="M140" i="32"/>
  <c r="N140" i="32"/>
  <c r="O140" i="32"/>
  <c r="P140" i="32"/>
  <c r="Q140" i="32"/>
  <c r="L141" i="32"/>
  <c r="E141" i="32"/>
  <c r="G141" i="32"/>
  <c r="H141" i="32"/>
  <c r="I141" i="32"/>
  <c r="J141" i="32"/>
  <c r="K141" i="32"/>
  <c r="M141" i="32"/>
  <c r="N141" i="32"/>
  <c r="O141" i="32"/>
  <c r="P141" i="32"/>
  <c r="Q141" i="32"/>
  <c r="L142" i="32"/>
  <c r="E142" i="32"/>
  <c r="G142" i="32"/>
  <c r="H142" i="32"/>
  <c r="I142" i="32"/>
  <c r="J142" i="32"/>
  <c r="K142" i="32"/>
  <c r="M142" i="32"/>
  <c r="N142" i="32"/>
  <c r="O142" i="32"/>
  <c r="P142" i="32"/>
  <c r="Q142" i="32"/>
  <c r="L143" i="32"/>
  <c r="E143" i="32"/>
  <c r="G143" i="32"/>
  <c r="H143" i="32"/>
  <c r="I143" i="32"/>
  <c r="J143" i="32"/>
  <c r="K143" i="32"/>
  <c r="M143" i="32"/>
  <c r="N143" i="32"/>
  <c r="O143" i="32"/>
  <c r="P143" i="32"/>
  <c r="Q143" i="32"/>
  <c r="L144" i="32"/>
  <c r="E144" i="32"/>
  <c r="G144" i="32"/>
  <c r="H144" i="32"/>
  <c r="I144" i="32"/>
  <c r="J144" i="32"/>
  <c r="K144" i="32"/>
  <c r="M144" i="32"/>
  <c r="N144" i="32"/>
  <c r="O144" i="32"/>
  <c r="P144" i="32"/>
  <c r="Q144" i="32"/>
  <c r="L145" i="32"/>
  <c r="E145" i="32"/>
  <c r="G145" i="32"/>
  <c r="H145" i="32"/>
  <c r="I145" i="32"/>
  <c r="J145" i="32"/>
  <c r="K145" i="32"/>
  <c r="M145" i="32"/>
  <c r="N145" i="32"/>
  <c r="O145" i="32"/>
  <c r="P145" i="32"/>
  <c r="Q145" i="32"/>
  <c r="L146" i="32"/>
  <c r="E146" i="32"/>
  <c r="G146" i="32"/>
  <c r="H146" i="32"/>
  <c r="I146" i="32"/>
  <c r="J146" i="32"/>
  <c r="K146" i="32"/>
  <c r="M146" i="32"/>
  <c r="N146" i="32"/>
  <c r="O146" i="32"/>
  <c r="P146" i="32"/>
  <c r="Q146" i="32"/>
  <c r="L147" i="32"/>
  <c r="E147" i="32"/>
  <c r="G147" i="32"/>
  <c r="H147" i="32"/>
  <c r="I147" i="32"/>
  <c r="J147" i="32"/>
  <c r="K147" i="32"/>
  <c r="M147" i="32"/>
  <c r="N147" i="32"/>
  <c r="O147" i="32"/>
  <c r="P147" i="32"/>
  <c r="Q147" i="32"/>
  <c r="L148" i="32"/>
  <c r="E148" i="32"/>
  <c r="G148" i="32"/>
  <c r="H148" i="32"/>
  <c r="I148" i="32"/>
  <c r="J148" i="32"/>
  <c r="K148" i="32"/>
  <c r="M148" i="32"/>
  <c r="N148" i="32"/>
  <c r="O148" i="32"/>
  <c r="P148" i="32"/>
  <c r="Q148" i="32"/>
  <c r="L149" i="32"/>
  <c r="E149" i="32"/>
  <c r="G149" i="32"/>
  <c r="H149" i="32"/>
  <c r="I149" i="32"/>
  <c r="J149" i="32"/>
  <c r="K149" i="32"/>
  <c r="M149" i="32"/>
  <c r="N149" i="32"/>
  <c r="O149" i="32"/>
  <c r="P149" i="32"/>
  <c r="Q149" i="32"/>
  <c r="L150" i="32"/>
  <c r="E150" i="32"/>
  <c r="G150" i="32"/>
  <c r="H150" i="32"/>
  <c r="I150" i="32"/>
  <c r="J150" i="32"/>
  <c r="K150" i="32"/>
  <c r="M150" i="32"/>
  <c r="N150" i="32"/>
  <c r="O150" i="32"/>
  <c r="P150" i="32"/>
  <c r="Q150" i="32"/>
  <c r="L151" i="32"/>
  <c r="E151" i="32"/>
  <c r="G151" i="32"/>
  <c r="H151" i="32"/>
  <c r="I151" i="32"/>
  <c r="J151" i="32"/>
  <c r="K151" i="32"/>
  <c r="M151" i="32"/>
  <c r="N151" i="32"/>
  <c r="O151" i="32"/>
  <c r="P151" i="32"/>
  <c r="Q151" i="32"/>
  <c r="L152" i="32"/>
  <c r="E152" i="32"/>
  <c r="G152" i="32"/>
  <c r="H152" i="32"/>
  <c r="I152" i="32"/>
  <c r="J152" i="32"/>
  <c r="K152" i="32"/>
  <c r="M152" i="32"/>
  <c r="N152" i="32"/>
  <c r="O152" i="32"/>
  <c r="P152" i="32"/>
  <c r="Q152" i="32"/>
  <c r="L153" i="32"/>
  <c r="E153" i="32"/>
  <c r="G153" i="32"/>
  <c r="H153" i="32"/>
  <c r="I153" i="32"/>
  <c r="J153" i="32"/>
  <c r="K153" i="32"/>
  <c r="M153" i="32"/>
  <c r="N153" i="32"/>
  <c r="O153" i="32"/>
  <c r="P153" i="32"/>
  <c r="Q153" i="32"/>
  <c r="L154" i="32"/>
  <c r="E154" i="32"/>
  <c r="G154" i="32"/>
  <c r="H154" i="32"/>
  <c r="I154" i="32"/>
  <c r="J154" i="32"/>
  <c r="K154" i="32"/>
  <c r="M154" i="32"/>
  <c r="N154" i="32"/>
  <c r="O154" i="32"/>
  <c r="P154" i="32"/>
  <c r="Q154" i="32"/>
  <c r="L155" i="32"/>
  <c r="E155" i="32"/>
  <c r="G155" i="32"/>
  <c r="H155" i="32"/>
  <c r="I155" i="32"/>
  <c r="J155" i="32"/>
  <c r="K155" i="32"/>
  <c r="M155" i="32"/>
  <c r="N155" i="32"/>
  <c r="O155" i="32"/>
  <c r="P155" i="32"/>
  <c r="Q155" i="32"/>
  <c r="Q134" i="32"/>
  <c r="L133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G134" i="32"/>
  <c r="H134" i="32"/>
  <c r="I134" i="32"/>
  <c r="J134" i="32"/>
  <c r="K134" i="32"/>
  <c r="M134" i="32"/>
  <c r="N134" i="32"/>
  <c r="O134" i="32"/>
  <c r="P134" i="32"/>
  <c r="B134" i="32"/>
  <c r="C134" i="32"/>
  <c r="B135" i="32"/>
  <c r="C135" i="32"/>
  <c r="B136" i="32"/>
  <c r="C136" i="32"/>
  <c r="B137" i="32"/>
  <c r="C137" i="32"/>
  <c r="B138" i="32"/>
  <c r="C138" i="32"/>
  <c r="B139" i="32"/>
  <c r="C139" i="32"/>
  <c r="B140" i="32"/>
  <c r="C140" i="32"/>
  <c r="B141" i="32"/>
  <c r="C141" i="32"/>
  <c r="B142" i="32"/>
  <c r="C142" i="32"/>
  <c r="B143" i="32"/>
  <c r="C143" i="32"/>
  <c r="B144" i="32"/>
  <c r="C144" i="32"/>
  <c r="B145" i="32"/>
  <c r="C145" i="32"/>
  <c r="B146" i="32"/>
  <c r="C146" i="32"/>
  <c r="B147" i="32"/>
  <c r="C147" i="32"/>
  <c r="B148" i="32"/>
  <c r="C148" i="32"/>
  <c r="B149" i="32"/>
  <c r="C149" i="32"/>
  <c r="B150" i="32"/>
  <c r="C150" i="32"/>
  <c r="B151" i="32"/>
  <c r="C151" i="32"/>
  <c r="B152" i="32"/>
  <c r="C152" i="32"/>
  <c r="B153" i="32"/>
  <c r="C153" i="32"/>
  <c r="B154" i="32"/>
  <c r="C154" i="32"/>
  <c r="B155" i="32"/>
  <c r="C155" i="32"/>
  <c r="L113" i="32"/>
  <c r="L112" i="32"/>
  <c r="G113" i="32"/>
  <c r="H113" i="32"/>
  <c r="I113" i="32"/>
  <c r="J113" i="32"/>
  <c r="K113" i="32"/>
  <c r="M113" i="32"/>
  <c r="N113" i="32"/>
  <c r="O113" i="32"/>
  <c r="P113" i="32"/>
  <c r="Q113" i="32"/>
  <c r="L114" i="32"/>
  <c r="G114" i="32"/>
  <c r="H114" i="32"/>
  <c r="I114" i="32"/>
  <c r="J114" i="32"/>
  <c r="K114" i="32"/>
  <c r="M114" i="32"/>
  <c r="N114" i="32"/>
  <c r="O114" i="32"/>
  <c r="P114" i="32"/>
  <c r="Q114" i="32"/>
  <c r="L115" i="32"/>
  <c r="G115" i="32"/>
  <c r="H115" i="32"/>
  <c r="I115" i="32"/>
  <c r="J115" i="32"/>
  <c r="K115" i="32"/>
  <c r="M115" i="32"/>
  <c r="N115" i="32"/>
  <c r="O115" i="32"/>
  <c r="P115" i="32"/>
  <c r="Q115" i="32"/>
  <c r="L116" i="32"/>
  <c r="G116" i="32"/>
  <c r="H116" i="32"/>
  <c r="I116" i="32"/>
  <c r="J116" i="32"/>
  <c r="K116" i="32"/>
  <c r="M116" i="32"/>
  <c r="N116" i="32"/>
  <c r="O116" i="32"/>
  <c r="P116" i="32"/>
  <c r="Q116" i="32"/>
  <c r="L117" i="32"/>
  <c r="G117" i="32"/>
  <c r="H117" i="32"/>
  <c r="I117" i="32"/>
  <c r="J117" i="32"/>
  <c r="K117" i="32"/>
  <c r="M117" i="32"/>
  <c r="N117" i="32"/>
  <c r="O117" i="32"/>
  <c r="P117" i="32"/>
  <c r="Q117" i="32"/>
  <c r="L118" i="32"/>
  <c r="G118" i="32"/>
  <c r="H118" i="32"/>
  <c r="I118" i="32"/>
  <c r="J118" i="32"/>
  <c r="K118" i="32"/>
  <c r="M118" i="32"/>
  <c r="N118" i="32"/>
  <c r="O118" i="32"/>
  <c r="P118" i="32"/>
  <c r="Q118" i="32"/>
  <c r="L119" i="32"/>
  <c r="G119" i="32"/>
  <c r="H119" i="32"/>
  <c r="I119" i="32"/>
  <c r="J119" i="32"/>
  <c r="K119" i="32"/>
  <c r="M119" i="32"/>
  <c r="N119" i="32"/>
  <c r="O119" i="32"/>
  <c r="P119" i="32"/>
  <c r="Q119" i="32"/>
  <c r="L120" i="32"/>
  <c r="G120" i="32"/>
  <c r="H120" i="32"/>
  <c r="I120" i="32"/>
  <c r="J120" i="32"/>
  <c r="K120" i="32"/>
  <c r="M120" i="32"/>
  <c r="N120" i="32"/>
  <c r="O120" i="32"/>
  <c r="P120" i="32"/>
  <c r="Q120" i="32"/>
  <c r="L121" i="32"/>
  <c r="G121" i="32"/>
  <c r="H121" i="32"/>
  <c r="I121" i="32"/>
  <c r="J121" i="32"/>
  <c r="K121" i="32"/>
  <c r="M121" i="32"/>
  <c r="N121" i="32"/>
  <c r="O121" i="32"/>
  <c r="P121" i="32"/>
  <c r="Q121" i="32"/>
  <c r="L122" i="32"/>
  <c r="G122" i="32"/>
  <c r="H122" i="32"/>
  <c r="I122" i="32"/>
  <c r="J122" i="32"/>
  <c r="K122" i="32"/>
  <c r="M122" i="32"/>
  <c r="N122" i="32"/>
  <c r="O122" i="32"/>
  <c r="P122" i="32"/>
  <c r="Q122" i="32"/>
  <c r="L123" i="32"/>
  <c r="G123" i="32"/>
  <c r="H123" i="32"/>
  <c r="I123" i="32"/>
  <c r="J123" i="32"/>
  <c r="K123" i="32"/>
  <c r="M123" i="32"/>
  <c r="N123" i="32"/>
  <c r="O123" i="32"/>
  <c r="P123" i="32"/>
  <c r="Q123" i="32"/>
  <c r="L124" i="32"/>
  <c r="G124" i="32"/>
  <c r="H124" i="32"/>
  <c r="I124" i="32"/>
  <c r="J124" i="32"/>
  <c r="K124" i="32"/>
  <c r="M124" i="32"/>
  <c r="N124" i="32"/>
  <c r="O124" i="32"/>
  <c r="P124" i="32"/>
  <c r="Q124" i="32"/>
  <c r="L125" i="32"/>
  <c r="G125" i="32"/>
  <c r="H125" i="32"/>
  <c r="I125" i="32"/>
  <c r="J125" i="32"/>
  <c r="K125" i="32"/>
  <c r="M125" i="32"/>
  <c r="N125" i="32"/>
  <c r="O125" i="32"/>
  <c r="P125" i="32"/>
  <c r="Q125" i="32"/>
  <c r="L126" i="32"/>
  <c r="G126" i="32"/>
  <c r="H126" i="32"/>
  <c r="I126" i="32"/>
  <c r="J126" i="32"/>
  <c r="K126" i="32"/>
  <c r="M126" i="32"/>
  <c r="N126" i="32"/>
  <c r="O126" i="32"/>
  <c r="P126" i="32"/>
  <c r="Q126" i="32"/>
  <c r="L127" i="32"/>
  <c r="G127" i="32"/>
  <c r="H127" i="32"/>
  <c r="I127" i="32"/>
  <c r="J127" i="32"/>
  <c r="K127" i="32"/>
  <c r="M127" i="32"/>
  <c r="N127" i="32"/>
  <c r="O127" i="32"/>
  <c r="P127" i="32"/>
  <c r="Q127" i="32"/>
  <c r="L128" i="32"/>
  <c r="G128" i="32"/>
  <c r="H128" i="32"/>
  <c r="I128" i="32"/>
  <c r="J128" i="32"/>
  <c r="K128" i="32"/>
  <c r="M128" i="32"/>
  <c r="N128" i="32"/>
  <c r="O128" i="32"/>
  <c r="P128" i="32"/>
  <c r="Q128" i="32"/>
  <c r="L129" i="32"/>
  <c r="G129" i="32"/>
  <c r="H129" i="32"/>
  <c r="I129" i="32"/>
  <c r="J129" i="32"/>
  <c r="K129" i="32"/>
  <c r="M129" i="32"/>
  <c r="N129" i="32"/>
  <c r="O129" i="32"/>
  <c r="P129" i="32"/>
  <c r="Q129" i="32"/>
  <c r="L130" i="32"/>
  <c r="G130" i="32"/>
  <c r="H130" i="32"/>
  <c r="I130" i="32"/>
  <c r="J130" i="32"/>
  <c r="K130" i="32"/>
  <c r="M130" i="32"/>
  <c r="N130" i="32"/>
  <c r="O130" i="32"/>
  <c r="P130" i="32"/>
  <c r="Q130" i="32"/>
  <c r="L131" i="32"/>
  <c r="G131" i="32"/>
  <c r="H131" i="32"/>
  <c r="I131" i="32"/>
  <c r="J131" i="32"/>
  <c r="K131" i="32"/>
  <c r="M131" i="32"/>
  <c r="N131" i="32"/>
  <c r="O131" i="32"/>
  <c r="P131" i="32"/>
  <c r="Q131" i="32"/>
  <c r="L132" i="32"/>
  <c r="G132" i="32"/>
  <c r="H132" i="32"/>
  <c r="I132" i="32"/>
  <c r="J132" i="32"/>
  <c r="K132" i="32"/>
  <c r="M132" i="32"/>
  <c r="N132" i="32"/>
  <c r="O132" i="32"/>
  <c r="P132" i="32"/>
  <c r="Q132" i="32"/>
  <c r="G133" i="32"/>
  <c r="H133" i="32"/>
  <c r="I133" i="32"/>
  <c r="J133" i="32"/>
  <c r="K133" i="32"/>
  <c r="M133" i="32"/>
  <c r="N133" i="32"/>
  <c r="O133" i="32"/>
  <c r="P133" i="32"/>
  <c r="Q133" i="32"/>
  <c r="Q112" i="32"/>
  <c r="L111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G112" i="32"/>
  <c r="B18" i="23"/>
  <c r="H112" i="32"/>
  <c r="I112" i="32"/>
  <c r="J112" i="32"/>
  <c r="K112" i="32"/>
  <c r="M112" i="32"/>
  <c r="N112" i="32"/>
  <c r="O112" i="32"/>
  <c r="P112" i="32"/>
  <c r="B112" i="32"/>
  <c r="C112" i="32"/>
  <c r="B113" i="32"/>
  <c r="C113" i="32"/>
  <c r="B114" i="32"/>
  <c r="C114" i="32"/>
  <c r="B115" i="32"/>
  <c r="C115" i="32"/>
  <c r="B116" i="32"/>
  <c r="C116" i="32"/>
  <c r="B117" i="32"/>
  <c r="C117" i="32"/>
  <c r="B118" i="32"/>
  <c r="C118" i="32"/>
  <c r="B119" i="32"/>
  <c r="C119" i="32"/>
  <c r="B120" i="32"/>
  <c r="C120" i="32"/>
  <c r="B121" i="32"/>
  <c r="C121" i="32"/>
  <c r="B122" i="32"/>
  <c r="C122" i="32"/>
  <c r="B123" i="32"/>
  <c r="C123" i="32"/>
  <c r="B124" i="32"/>
  <c r="C124" i="32"/>
  <c r="B125" i="32"/>
  <c r="C125" i="32"/>
  <c r="B126" i="32"/>
  <c r="C126" i="32"/>
  <c r="B127" i="32"/>
  <c r="C127" i="32"/>
  <c r="B128" i="32"/>
  <c r="C128" i="32"/>
  <c r="B129" i="32"/>
  <c r="C129" i="32"/>
  <c r="B130" i="32"/>
  <c r="C130" i="32"/>
  <c r="B131" i="32"/>
  <c r="C131" i="32"/>
  <c r="B132" i="32"/>
  <c r="C132" i="32"/>
  <c r="B133" i="32"/>
  <c r="C133" i="32"/>
  <c r="L91" i="32"/>
  <c r="L90" i="32"/>
  <c r="G91" i="32"/>
  <c r="H91" i="32"/>
  <c r="I91" i="32"/>
  <c r="J91" i="32"/>
  <c r="K91" i="32"/>
  <c r="M91" i="32"/>
  <c r="N91" i="32"/>
  <c r="O91" i="32"/>
  <c r="P91" i="32"/>
  <c r="Q91" i="32"/>
  <c r="L92" i="32"/>
  <c r="G92" i="32"/>
  <c r="H92" i="32"/>
  <c r="I92" i="32"/>
  <c r="J92" i="32"/>
  <c r="K92" i="32"/>
  <c r="M92" i="32"/>
  <c r="N92" i="32"/>
  <c r="O92" i="32"/>
  <c r="P92" i="32"/>
  <c r="Q92" i="32"/>
  <c r="L93" i="32"/>
  <c r="G93" i="32"/>
  <c r="H93" i="32"/>
  <c r="I93" i="32"/>
  <c r="J93" i="32"/>
  <c r="K93" i="32"/>
  <c r="M93" i="32"/>
  <c r="N93" i="32"/>
  <c r="O93" i="32"/>
  <c r="P93" i="32"/>
  <c r="Q93" i="32"/>
  <c r="L94" i="32"/>
  <c r="G94" i="32"/>
  <c r="H94" i="32"/>
  <c r="I94" i="32"/>
  <c r="J94" i="32"/>
  <c r="K94" i="32"/>
  <c r="M94" i="32"/>
  <c r="N94" i="32"/>
  <c r="O94" i="32"/>
  <c r="P94" i="32"/>
  <c r="Q94" i="32"/>
  <c r="L95" i="32"/>
  <c r="G95" i="32"/>
  <c r="H95" i="32"/>
  <c r="I95" i="32"/>
  <c r="J95" i="32"/>
  <c r="K95" i="32"/>
  <c r="M95" i="32"/>
  <c r="N95" i="32"/>
  <c r="O95" i="32"/>
  <c r="P95" i="32"/>
  <c r="Q95" i="32"/>
  <c r="L96" i="32"/>
  <c r="G96" i="32"/>
  <c r="H96" i="32"/>
  <c r="I96" i="32"/>
  <c r="J96" i="32"/>
  <c r="K96" i="32"/>
  <c r="M96" i="32"/>
  <c r="N96" i="32"/>
  <c r="O96" i="32"/>
  <c r="P96" i="32"/>
  <c r="Q96" i="32"/>
  <c r="L97" i="32"/>
  <c r="G97" i="32"/>
  <c r="H97" i="32"/>
  <c r="I97" i="32"/>
  <c r="J97" i="32"/>
  <c r="K97" i="32"/>
  <c r="M97" i="32"/>
  <c r="N97" i="32"/>
  <c r="O97" i="32"/>
  <c r="P97" i="32"/>
  <c r="Q97" i="32"/>
  <c r="L98" i="32"/>
  <c r="G98" i="32"/>
  <c r="H98" i="32"/>
  <c r="I98" i="32"/>
  <c r="J98" i="32"/>
  <c r="K98" i="32"/>
  <c r="M98" i="32"/>
  <c r="N98" i="32"/>
  <c r="O98" i="32"/>
  <c r="P98" i="32"/>
  <c r="Q98" i="32"/>
  <c r="L99" i="32"/>
  <c r="G99" i="32"/>
  <c r="H99" i="32"/>
  <c r="I99" i="32"/>
  <c r="J99" i="32"/>
  <c r="K99" i="32"/>
  <c r="M99" i="32"/>
  <c r="N99" i="32"/>
  <c r="O99" i="32"/>
  <c r="P99" i="32"/>
  <c r="Q99" i="32"/>
  <c r="L100" i="32"/>
  <c r="G100" i="32"/>
  <c r="H100" i="32"/>
  <c r="I100" i="32"/>
  <c r="J100" i="32"/>
  <c r="K100" i="32"/>
  <c r="M100" i="32"/>
  <c r="N100" i="32"/>
  <c r="O100" i="32"/>
  <c r="P100" i="32"/>
  <c r="Q100" i="32"/>
  <c r="L101" i="32"/>
  <c r="G101" i="32"/>
  <c r="H101" i="32"/>
  <c r="I101" i="32"/>
  <c r="J101" i="32"/>
  <c r="K101" i="32"/>
  <c r="M101" i="32"/>
  <c r="N101" i="32"/>
  <c r="O101" i="32"/>
  <c r="P101" i="32"/>
  <c r="Q101" i="32"/>
  <c r="L102" i="32"/>
  <c r="G102" i="32"/>
  <c r="H102" i="32"/>
  <c r="I102" i="32"/>
  <c r="J102" i="32"/>
  <c r="K102" i="32"/>
  <c r="M102" i="32"/>
  <c r="N102" i="32"/>
  <c r="O102" i="32"/>
  <c r="P102" i="32"/>
  <c r="Q102" i="32"/>
  <c r="L103" i="32"/>
  <c r="G103" i="32"/>
  <c r="H103" i="32"/>
  <c r="I103" i="32"/>
  <c r="J103" i="32"/>
  <c r="K103" i="32"/>
  <c r="M103" i="32"/>
  <c r="N103" i="32"/>
  <c r="O103" i="32"/>
  <c r="P103" i="32"/>
  <c r="Q103" i="32"/>
  <c r="L104" i="32"/>
  <c r="G104" i="32"/>
  <c r="H104" i="32"/>
  <c r="I104" i="32"/>
  <c r="J104" i="32"/>
  <c r="K104" i="32"/>
  <c r="M104" i="32"/>
  <c r="N104" i="32"/>
  <c r="O104" i="32"/>
  <c r="P104" i="32"/>
  <c r="Q104" i="32"/>
  <c r="L105" i="32"/>
  <c r="G105" i="32"/>
  <c r="H105" i="32"/>
  <c r="I105" i="32"/>
  <c r="J105" i="32"/>
  <c r="K105" i="32"/>
  <c r="M105" i="32"/>
  <c r="N105" i="32"/>
  <c r="O105" i="32"/>
  <c r="P105" i="32"/>
  <c r="Q105" i="32"/>
  <c r="L106" i="32"/>
  <c r="G106" i="32"/>
  <c r="H106" i="32"/>
  <c r="I106" i="32"/>
  <c r="J106" i="32"/>
  <c r="K106" i="32"/>
  <c r="M106" i="32"/>
  <c r="N106" i="32"/>
  <c r="O106" i="32"/>
  <c r="P106" i="32"/>
  <c r="Q106" i="32"/>
  <c r="L107" i="32"/>
  <c r="G107" i="32"/>
  <c r="H107" i="32"/>
  <c r="I107" i="32"/>
  <c r="J107" i="32"/>
  <c r="K107" i="32"/>
  <c r="M107" i="32"/>
  <c r="N107" i="32"/>
  <c r="O107" i="32"/>
  <c r="P107" i="32"/>
  <c r="Q107" i="32"/>
  <c r="L108" i="32"/>
  <c r="G108" i="32"/>
  <c r="H108" i="32"/>
  <c r="I108" i="32"/>
  <c r="J108" i="32"/>
  <c r="K108" i="32"/>
  <c r="M108" i="32"/>
  <c r="N108" i="32"/>
  <c r="O108" i="32"/>
  <c r="P108" i="32"/>
  <c r="Q108" i="32"/>
  <c r="L109" i="32"/>
  <c r="G109" i="32"/>
  <c r="H109" i="32"/>
  <c r="I109" i="32"/>
  <c r="J109" i="32"/>
  <c r="K109" i="32"/>
  <c r="M109" i="32"/>
  <c r="N109" i="32"/>
  <c r="O109" i="32"/>
  <c r="P109" i="32"/>
  <c r="Q109" i="32"/>
  <c r="L110" i="32"/>
  <c r="G110" i="32"/>
  <c r="H110" i="32"/>
  <c r="I110" i="32"/>
  <c r="J110" i="32"/>
  <c r="K110" i="32"/>
  <c r="M110" i="32"/>
  <c r="N110" i="32"/>
  <c r="O110" i="32"/>
  <c r="P110" i="32"/>
  <c r="Q110" i="32"/>
  <c r="G111" i="32"/>
  <c r="H111" i="32"/>
  <c r="I111" i="32"/>
  <c r="J111" i="32"/>
  <c r="K111" i="32"/>
  <c r="M111" i="32"/>
  <c r="N111" i="32"/>
  <c r="O111" i="32"/>
  <c r="P111" i="32"/>
  <c r="Q111" i="32"/>
  <c r="Q90" i="32"/>
  <c r="H90" i="32"/>
  <c r="L89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G90" i="32"/>
  <c r="I90" i="32"/>
  <c r="J90" i="32"/>
  <c r="K90" i="32"/>
  <c r="M90" i="32"/>
  <c r="N90" i="32"/>
  <c r="O90" i="32"/>
  <c r="P90" i="32"/>
  <c r="B90" i="32"/>
  <c r="C90" i="32"/>
  <c r="B91" i="32"/>
  <c r="C91" i="32"/>
  <c r="B92" i="32"/>
  <c r="C92" i="32"/>
  <c r="B93" i="32"/>
  <c r="C93" i="32"/>
  <c r="B94" i="32"/>
  <c r="C94" i="32"/>
  <c r="B95" i="32"/>
  <c r="C95" i="32"/>
  <c r="B96" i="32"/>
  <c r="C96" i="32"/>
  <c r="B97" i="32"/>
  <c r="C97" i="32"/>
  <c r="B98" i="32"/>
  <c r="C98" i="32"/>
  <c r="B99" i="32"/>
  <c r="C99" i="32"/>
  <c r="B100" i="32"/>
  <c r="C100" i="32"/>
  <c r="B101" i="32"/>
  <c r="C101" i="32"/>
  <c r="B102" i="32"/>
  <c r="C102" i="32"/>
  <c r="B103" i="32"/>
  <c r="C103" i="32"/>
  <c r="B104" i="32"/>
  <c r="C104" i="32"/>
  <c r="B105" i="32"/>
  <c r="C105" i="32"/>
  <c r="B106" i="32"/>
  <c r="C106" i="32"/>
  <c r="B107" i="32"/>
  <c r="C107" i="32"/>
  <c r="B108" i="32"/>
  <c r="C108" i="32"/>
  <c r="B109" i="32"/>
  <c r="C109" i="32"/>
  <c r="B110" i="32"/>
  <c r="C110" i="32"/>
  <c r="B111" i="32"/>
  <c r="C111" i="32"/>
  <c r="L69" i="32"/>
  <c r="L68" i="32"/>
  <c r="G69" i="32"/>
  <c r="H69" i="32"/>
  <c r="I69" i="32"/>
  <c r="J69" i="32"/>
  <c r="K69" i="32"/>
  <c r="M69" i="32"/>
  <c r="N69" i="32"/>
  <c r="O69" i="32"/>
  <c r="P69" i="32"/>
  <c r="Q69" i="32"/>
  <c r="L70" i="32"/>
  <c r="G70" i="32"/>
  <c r="H70" i="32"/>
  <c r="I70" i="32"/>
  <c r="J70" i="32"/>
  <c r="K70" i="32"/>
  <c r="M70" i="32"/>
  <c r="N70" i="32"/>
  <c r="O70" i="32"/>
  <c r="P70" i="32"/>
  <c r="Q70" i="32"/>
  <c r="L71" i="32"/>
  <c r="G71" i="32"/>
  <c r="H71" i="32"/>
  <c r="I71" i="32"/>
  <c r="J71" i="32"/>
  <c r="K71" i="32"/>
  <c r="M71" i="32"/>
  <c r="N71" i="32"/>
  <c r="O71" i="32"/>
  <c r="P71" i="32"/>
  <c r="Q71" i="32"/>
  <c r="L72" i="32"/>
  <c r="G72" i="32"/>
  <c r="H72" i="32"/>
  <c r="I72" i="32"/>
  <c r="J72" i="32"/>
  <c r="K72" i="32"/>
  <c r="M72" i="32"/>
  <c r="N72" i="32"/>
  <c r="O72" i="32"/>
  <c r="P72" i="32"/>
  <c r="Q72" i="32"/>
  <c r="L73" i="32"/>
  <c r="G73" i="32"/>
  <c r="H73" i="32"/>
  <c r="I73" i="32"/>
  <c r="J73" i="32"/>
  <c r="K73" i="32"/>
  <c r="M73" i="32"/>
  <c r="N73" i="32"/>
  <c r="O73" i="32"/>
  <c r="P73" i="32"/>
  <c r="Q73" i="32"/>
  <c r="L74" i="32"/>
  <c r="G74" i="32"/>
  <c r="H74" i="32"/>
  <c r="I74" i="32"/>
  <c r="J74" i="32"/>
  <c r="K74" i="32"/>
  <c r="M74" i="32"/>
  <c r="N74" i="32"/>
  <c r="O74" i="32"/>
  <c r="P74" i="32"/>
  <c r="Q74" i="32"/>
  <c r="L75" i="32"/>
  <c r="G75" i="32"/>
  <c r="H75" i="32"/>
  <c r="I75" i="32"/>
  <c r="J75" i="32"/>
  <c r="K75" i="32"/>
  <c r="M75" i="32"/>
  <c r="N75" i="32"/>
  <c r="O75" i="32"/>
  <c r="P75" i="32"/>
  <c r="Q75" i="32"/>
  <c r="L76" i="32"/>
  <c r="G76" i="32"/>
  <c r="H76" i="32"/>
  <c r="I76" i="32"/>
  <c r="J76" i="32"/>
  <c r="K76" i="32"/>
  <c r="M76" i="32"/>
  <c r="N76" i="32"/>
  <c r="O76" i="32"/>
  <c r="P76" i="32"/>
  <c r="Q76" i="32"/>
  <c r="L77" i="32"/>
  <c r="G77" i="32"/>
  <c r="H77" i="32"/>
  <c r="I77" i="32"/>
  <c r="J77" i="32"/>
  <c r="K77" i="32"/>
  <c r="M77" i="32"/>
  <c r="N77" i="32"/>
  <c r="O77" i="32"/>
  <c r="P77" i="32"/>
  <c r="Q77" i="32"/>
  <c r="L78" i="32"/>
  <c r="G78" i="32"/>
  <c r="H78" i="32"/>
  <c r="I78" i="32"/>
  <c r="J78" i="32"/>
  <c r="K78" i="32"/>
  <c r="M78" i="32"/>
  <c r="N78" i="32"/>
  <c r="O78" i="32"/>
  <c r="P78" i="32"/>
  <c r="Q78" i="32"/>
  <c r="L79" i="32"/>
  <c r="G79" i="32"/>
  <c r="H79" i="32"/>
  <c r="I79" i="32"/>
  <c r="J79" i="32"/>
  <c r="K79" i="32"/>
  <c r="M79" i="32"/>
  <c r="N79" i="32"/>
  <c r="O79" i="32"/>
  <c r="P79" i="32"/>
  <c r="Q79" i="32"/>
  <c r="L80" i="32"/>
  <c r="G80" i="32"/>
  <c r="H80" i="32"/>
  <c r="I80" i="32"/>
  <c r="J80" i="32"/>
  <c r="K80" i="32"/>
  <c r="M80" i="32"/>
  <c r="N80" i="32"/>
  <c r="O80" i="32"/>
  <c r="P80" i="32"/>
  <c r="Q80" i="32"/>
  <c r="L81" i="32"/>
  <c r="G81" i="32"/>
  <c r="H81" i="32"/>
  <c r="I81" i="32"/>
  <c r="J81" i="32"/>
  <c r="K81" i="32"/>
  <c r="M81" i="32"/>
  <c r="N81" i="32"/>
  <c r="O81" i="32"/>
  <c r="P81" i="32"/>
  <c r="Q81" i="32"/>
  <c r="L82" i="32"/>
  <c r="G82" i="32"/>
  <c r="H82" i="32"/>
  <c r="I82" i="32"/>
  <c r="J82" i="32"/>
  <c r="K82" i="32"/>
  <c r="M82" i="32"/>
  <c r="N82" i="32"/>
  <c r="O82" i="32"/>
  <c r="P82" i="32"/>
  <c r="Q82" i="32"/>
  <c r="L83" i="32"/>
  <c r="G83" i="32"/>
  <c r="H83" i="32"/>
  <c r="I83" i="32"/>
  <c r="J83" i="32"/>
  <c r="K83" i="32"/>
  <c r="M83" i="32"/>
  <c r="N83" i="32"/>
  <c r="O83" i="32"/>
  <c r="P83" i="32"/>
  <c r="Q83" i="32"/>
  <c r="L84" i="32"/>
  <c r="G84" i="32"/>
  <c r="H84" i="32"/>
  <c r="I84" i="32"/>
  <c r="J84" i="32"/>
  <c r="K84" i="32"/>
  <c r="M84" i="32"/>
  <c r="N84" i="32"/>
  <c r="O84" i="32"/>
  <c r="P84" i="32"/>
  <c r="Q84" i="32"/>
  <c r="L85" i="32"/>
  <c r="G85" i="32"/>
  <c r="H85" i="32"/>
  <c r="I85" i="32"/>
  <c r="J85" i="32"/>
  <c r="K85" i="32"/>
  <c r="M85" i="32"/>
  <c r="N85" i="32"/>
  <c r="O85" i="32"/>
  <c r="P85" i="32"/>
  <c r="Q85" i="32"/>
  <c r="L86" i="32"/>
  <c r="G86" i="32"/>
  <c r="H86" i="32"/>
  <c r="I86" i="32"/>
  <c r="J86" i="32"/>
  <c r="K86" i="32"/>
  <c r="M86" i="32"/>
  <c r="N86" i="32"/>
  <c r="O86" i="32"/>
  <c r="P86" i="32"/>
  <c r="Q86" i="32"/>
  <c r="L87" i="32"/>
  <c r="G87" i="32"/>
  <c r="H87" i="32"/>
  <c r="I87" i="32"/>
  <c r="J87" i="32"/>
  <c r="K87" i="32"/>
  <c r="M87" i="32"/>
  <c r="N87" i="32"/>
  <c r="O87" i="32"/>
  <c r="P87" i="32"/>
  <c r="Q87" i="32"/>
  <c r="L88" i="32"/>
  <c r="G88" i="32"/>
  <c r="H88" i="32"/>
  <c r="I88" i="32"/>
  <c r="J88" i="32"/>
  <c r="K88" i="32"/>
  <c r="M88" i="32"/>
  <c r="N88" i="32"/>
  <c r="O88" i="32"/>
  <c r="P88" i="32"/>
  <c r="Q88" i="32"/>
  <c r="G89" i="32"/>
  <c r="H89" i="32"/>
  <c r="I89" i="32"/>
  <c r="J89" i="32"/>
  <c r="K89" i="32"/>
  <c r="M89" i="32"/>
  <c r="N89" i="32"/>
  <c r="O89" i="32"/>
  <c r="P89" i="32"/>
  <c r="Q89" i="32"/>
  <c r="Q68" i="32"/>
  <c r="L67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G68" i="32"/>
  <c r="H68" i="32"/>
  <c r="I68" i="32"/>
  <c r="J68" i="32"/>
  <c r="K68" i="32"/>
  <c r="M68" i="32"/>
  <c r="N68" i="32"/>
  <c r="O68" i="32"/>
  <c r="P68" i="32"/>
  <c r="B68" i="32"/>
  <c r="C68" i="32"/>
  <c r="B69" i="32"/>
  <c r="C69" i="32"/>
  <c r="B70" i="32"/>
  <c r="C70" i="32"/>
  <c r="B71" i="32"/>
  <c r="C71" i="32"/>
  <c r="B72" i="32"/>
  <c r="C72" i="32"/>
  <c r="B73" i="32"/>
  <c r="C73" i="32"/>
  <c r="B74" i="32"/>
  <c r="C74" i="32"/>
  <c r="B75" i="32"/>
  <c r="C75" i="32"/>
  <c r="B76" i="32"/>
  <c r="C76" i="32"/>
  <c r="B77" i="32"/>
  <c r="C77" i="32"/>
  <c r="B78" i="32"/>
  <c r="C78" i="32"/>
  <c r="B79" i="32"/>
  <c r="C79" i="32"/>
  <c r="B80" i="32"/>
  <c r="C80" i="32"/>
  <c r="B81" i="32"/>
  <c r="C81" i="32"/>
  <c r="B82" i="32"/>
  <c r="C82" i="32"/>
  <c r="B83" i="32"/>
  <c r="C83" i="32"/>
  <c r="B84" i="32"/>
  <c r="C84" i="32"/>
  <c r="B85" i="32"/>
  <c r="C85" i="32"/>
  <c r="B86" i="32"/>
  <c r="C86" i="32"/>
  <c r="B87" i="32"/>
  <c r="C87" i="32"/>
  <c r="B88" i="32"/>
  <c r="C88" i="32"/>
  <c r="B89" i="32"/>
  <c r="C89" i="32"/>
  <c r="L47" i="32"/>
  <c r="L46" i="32"/>
  <c r="G47" i="32"/>
  <c r="H47" i="32"/>
  <c r="I47" i="32"/>
  <c r="J47" i="32"/>
  <c r="K47" i="32"/>
  <c r="M47" i="32"/>
  <c r="N47" i="32"/>
  <c r="O47" i="32"/>
  <c r="P47" i="32"/>
  <c r="Q47" i="32"/>
  <c r="L48" i="32"/>
  <c r="G48" i="32"/>
  <c r="H48" i="32"/>
  <c r="I48" i="32"/>
  <c r="J48" i="32"/>
  <c r="K48" i="32"/>
  <c r="M48" i="32"/>
  <c r="N48" i="32"/>
  <c r="O48" i="32"/>
  <c r="P48" i="32"/>
  <c r="Q48" i="32"/>
  <c r="L49" i="32"/>
  <c r="G49" i="32"/>
  <c r="H49" i="32"/>
  <c r="I49" i="32"/>
  <c r="J49" i="32"/>
  <c r="K49" i="32"/>
  <c r="M49" i="32"/>
  <c r="N49" i="32"/>
  <c r="O49" i="32"/>
  <c r="P49" i="32"/>
  <c r="Q49" i="32"/>
  <c r="L50" i="32"/>
  <c r="G50" i="32"/>
  <c r="H50" i="32"/>
  <c r="I50" i="32"/>
  <c r="J50" i="32"/>
  <c r="K50" i="32"/>
  <c r="M50" i="32"/>
  <c r="N50" i="32"/>
  <c r="O50" i="32"/>
  <c r="P50" i="32"/>
  <c r="Q50" i="32"/>
  <c r="L51" i="32"/>
  <c r="G51" i="32"/>
  <c r="H51" i="32"/>
  <c r="I51" i="32"/>
  <c r="J51" i="32"/>
  <c r="K51" i="32"/>
  <c r="M51" i="32"/>
  <c r="N51" i="32"/>
  <c r="O51" i="32"/>
  <c r="P51" i="32"/>
  <c r="Q51" i="32"/>
  <c r="L52" i="32"/>
  <c r="G52" i="32"/>
  <c r="H52" i="32"/>
  <c r="I52" i="32"/>
  <c r="J52" i="32"/>
  <c r="K52" i="32"/>
  <c r="M52" i="32"/>
  <c r="N52" i="32"/>
  <c r="O52" i="32"/>
  <c r="P52" i="32"/>
  <c r="Q52" i="32"/>
  <c r="L53" i="32"/>
  <c r="G53" i="32"/>
  <c r="H53" i="32"/>
  <c r="I53" i="32"/>
  <c r="J53" i="32"/>
  <c r="K53" i="32"/>
  <c r="M53" i="32"/>
  <c r="N53" i="32"/>
  <c r="O53" i="32"/>
  <c r="P53" i="32"/>
  <c r="Q53" i="32"/>
  <c r="L54" i="32"/>
  <c r="G54" i="32"/>
  <c r="H54" i="32"/>
  <c r="I54" i="32"/>
  <c r="J54" i="32"/>
  <c r="K54" i="32"/>
  <c r="M54" i="32"/>
  <c r="N54" i="32"/>
  <c r="O54" i="32"/>
  <c r="P54" i="32"/>
  <c r="Q54" i="32"/>
  <c r="L55" i="32"/>
  <c r="G55" i="32"/>
  <c r="H55" i="32"/>
  <c r="I55" i="32"/>
  <c r="J55" i="32"/>
  <c r="K55" i="32"/>
  <c r="M55" i="32"/>
  <c r="N55" i="32"/>
  <c r="O55" i="32"/>
  <c r="P55" i="32"/>
  <c r="Q55" i="32"/>
  <c r="L56" i="32"/>
  <c r="G56" i="32"/>
  <c r="H56" i="32"/>
  <c r="I56" i="32"/>
  <c r="J56" i="32"/>
  <c r="K56" i="32"/>
  <c r="M56" i="32"/>
  <c r="N56" i="32"/>
  <c r="O56" i="32"/>
  <c r="P56" i="32"/>
  <c r="Q56" i="32"/>
  <c r="L57" i="32"/>
  <c r="G57" i="32"/>
  <c r="H57" i="32"/>
  <c r="I57" i="32"/>
  <c r="J57" i="32"/>
  <c r="K57" i="32"/>
  <c r="M57" i="32"/>
  <c r="N57" i="32"/>
  <c r="O57" i="32"/>
  <c r="P57" i="32"/>
  <c r="Q57" i="32"/>
  <c r="L58" i="32"/>
  <c r="G58" i="32"/>
  <c r="H58" i="32"/>
  <c r="I58" i="32"/>
  <c r="J58" i="32"/>
  <c r="K58" i="32"/>
  <c r="M58" i="32"/>
  <c r="N58" i="32"/>
  <c r="O58" i="32"/>
  <c r="P58" i="32"/>
  <c r="Q58" i="32"/>
  <c r="L59" i="32"/>
  <c r="G59" i="32"/>
  <c r="H59" i="32"/>
  <c r="I59" i="32"/>
  <c r="J59" i="32"/>
  <c r="K59" i="32"/>
  <c r="M59" i="32"/>
  <c r="N59" i="32"/>
  <c r="O59" i="32"/>
  <c r="P59" i="32"/>
  <c r="Q59" i="32"/>
  <c r="L60" i="32"/>
  <c r="G60" i="32"/>
  <c r="H60" i="32"/>
  <c r="I60" i="32"/>
  <c r="J60" i="32"/>
  <c r="K60" i="32"/>
  <c r="M60" i="32"/>
  <c r="N60" i="32"/>
  <c r="O60" i="32"/>
  <c r="P60" i="32"/>
  <c r="Q60" i="32"/>
  <c r="L61" i="32"/>
  <c r="G61" i="32"/>
  <c r="H61" i="32"/>
  <c r="I61" i="32"/>
  <c r="J61" i="32"/>
  <c r="K61" i="32"/>
  <c r="M61" i="32"/>
  <c r="N61" i="32"/>
  <c r="O61" i="32"/>
  <c r="P61" i="32"/>
  <c r="Q61" i="32"/>
  <c r="L62" i="32"/>
  <c r="G62" i="32"/>
  <c r="H62" i="32"/>
  <c r="I62" i="32"/>
  <c r="J62" i="32"/>
  <c r="K62" i="32"/>
  <c r="M62" i="32"/>
  <c r="N62" i="32"/>
  <c r="O62" i="32"/>
  <c r="P62" i="32"/>
  <c r="Q62" i="32"/>
  <c r="L63" i="32"/>
  <c r="G63" i="32"/>
  <c r="H63" i="32"/>
  <c r="I63" i="32"/>
  <c r="J63" i="32"/>
  <c r="K63" i="32"/>
  <c r="M63" i="32"/>
  <c r="N63" i="32"/>
  <c r="O63" i="32"/>
  <c r="P63" i="32"/>
  <c r="Q63" i="32"/>
  <c r="L64" i="32"/>
  <c r="G64" i="32"/>
  <c r="H64" i="32"/>
  <c r="I64" i="32"/>
  <c r="J64" i="32"/>
  <c r="K64" i="32"/>
  <c r="M64" i="32"/>
  <c r="N64" i="32"/>
  <c r="O64" i="32"/>
  <c r="P64" i="32"/>
  <c r="Q64" i="32"/>
  <c r="L65" i="32"/>
  <c r="G65" i="32"/>
  <c r="H65" i="32"/>
  <c r="I65" i="32"/>
  <c r="J65" i="32"/>
  <c r="K65" i="32"/>
  <c r="M65" i="32"/>
  <c r="N65" i="32"/>
  <c r="O65" i="32"/>
  <c r="P65" i="32"/>
  <c r="Q65" i="32"/>
  <c r="L66" i="32"/>
  <c r="G66" i="32"/>
  <c r="H66" i="32"/>
  <c r="I66" i="32"/>
  <c r="J66" i="32"/>
  <c r="K66" i="32"/>
  <c r="M66" i="32"/>
  <c r="N66" i="32"/>
  <c r="O66" i="32"/>
  <c r="P66" i="32"/>
  <c r="Q66" i="32"/>
  <c r="G67" i="32"/>
  <c r="H67" i="32"/>
  <c r="I67" i="32"/>
  <c r="J67" i="32"/>
  <c r="K67" i="32"/>
  <c r="M67" i="32"/>
  <c r="N67" i="32"/>
  <c r="O67" i="32"/>
  <c r="P67" i="32"/>
  <c r="Q67" i="32"/>
  <c r="Q46" i="32"/>
  <c r="L45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G46" i="32"/>
  <c r="H46" i="32"/>
  <c r="I46" i="32"/>
  <c r="J46" i="32"/>
  <c r="K46" i="32"/>
  <c r="M46" i="32"/>
  <c r="N46" i="32"/>
  <c r="O46" i="32"/>
  <c r="P46" i="32"/>
  <c r="B46" i="32"/>
  <c r="C46" i="32"/>
  <c r="B47" i="32"/>
  <c r="C47" i="32"/>
  <c r="B48" i="32"/>
  <c r="C48" i="32"/>
  <c r="B49" i="32"/>
  <c r="C49" i="32"/>
  <c r="B50" i="32"/>
  <c r="C50" i="32"/>
  <c r="B51" i="32"/>
  <c r="C51" i="32"/>
  <c r="B52" i="32"/>
  <c r="C52" i="32"/>
  <c r="B53" i="32"/>
  <c r="C53" i="32"/>
  <c r="B54" i="32"/>
  <c r="C54" i="32"/>
  <c r="B55" i="32"/>
  <c r="C55" i="32"/>
  <c r="B56" i="32"/>
  <c r="C56" i="32"/>
  <c r="B57" i="32"/>
  <c r="C57" i="32"/>
  <c r="B58" i="32"/>
  <c r="C58" i="32"/>
  <c r="B59" i="32"/>
  <c r="C59" i="32"/>
  <c r="B60" i="32"/>
  <c r="C60" i="32"/>
  <c r="B61" i="32"/>
  <c r="C61" i="32"/>
  <c r="B62" i="32"/>
  <c r="C62" i="32"/>
  <c r="B63" i="32"/>
  <c r="C63" i="32"/>
  <c r="B64" i="32"/>
  <c r="C64" i="32"/>
  <c r="B65" i="32"/>
  <c r="C65" i="32"/>
  <c r="B66" i="32"/>
  <c r="C66" i="32"/>
  <c r="B67" i="32"/>
  <c r="C67" i="32"/>
  <c r="L25" i="32"/>
  <c r="M25" i="32"/>
  <c r="N25" i="32"/>
  <c r="O25" i="32"/>
  <c r="H25" i="32"/>
  <c r="P25" i="32"/>
  <c r="Q25" i="32"/>
  <c r="L26" i="32"/>
  <c r="M26" i="32"/>
  <c r="N26" i="32"/>
  <c r="O26" i="32"/>
  <c r="H26" i="32"/>
  <c r="P26" i="32"/>
  <c r="Q26" i="32"/>
  <c r="L27" i="32"/>
  <c r="M27" i="32"/>
  <c r="N27" i="32"/>
  <c r="O27" i="32"/>
  <c r="H27" i="32"/>
  <c r="P27" i="32"/>
  <c r="Q27" i="32"/>
  <c r="L28" i="32"/>
  <c r="M28" i="32"/>
  <c r="N28" i="32"/>
  <c r="O28" i="32"/>
  <c r="H28" i="32"/>
  <c r="P28" i="32"/>
  <c r="Q28" i="32"/>
  <c r="L29" i="32"/>
  <c r="M29" i="32"/>
  <c r="N29" i="32"/>
  <c r="O29" i="32"/>
  <c r="H29" i="32"/>
  <c r="P29" i="32"/>
  <c r="Q29" i="32"/>
  <c r="L30" i="32"/>
  <c r="M30" i="32"/>
  <c r="N30" i="32"/>
  <c r="O30" i="32"/>
  <c r="H30" i="32"/>
  <c r="P30" i="32"/>
  <c r="Q30" i="32"/>
  <c r="L31" i="32"/>
  <c r="M31" i="32"/>
  <c r="N31" i="32"/>
  <c r="O31" i="32"/>
  <c r="H31" i="32"/>
  <c r="P31" i="32"/>
  <c r="Q31" i="32"/>
  <c r="L32" i="32"/>
  <c r="M32" i="32"/>
  <c r="N32" i="32"/>
  <c r="O32" i="32"/>
  <c r="H32" i="32"/>
  <c r="P32" i="32"/>
  <c r="Q32" i="32"/>
  <c r="L33" i="32"/>
  <c r="M33" i="32"/>
  <c r="N33" i="32"/>
  <c r="O33" i="32"/>
  <c r="H33" i="32"/>
  <c r="P33" i="32"/>
  <c r="Q33" i="32"/>
  <c r="L34" i="32"/>
  <c r="M34" i="32"/>
  <c r="N34" i="32"/>
  <c r="O34" i="32"/>
  <c r="H34" i="32"/>
  <c r="P34" i="32"/>
  <c r="Q34" i="32"/>
  <c r="L35" i="32"/>
  <c r="M35" i="32"/>
  <c r="N35" i="32"/>
  <c r="O35" i="32"/>
  <c r="H35" i="32"/>
  <c r="P35" i="32"/>
  <c r="Q35" i="32"/>
  <c r="L36" i="32"/>
  <c r="M36" i="32"/>
  <c r="N36" i="32"/>
  <c r="O36" i="32"/>
  <c r="H36" i="32"/>
  <c r="P36" i="32"/>
  <c r="Q36" i="32"/>
  <c r="L37" i="32"/>
  <c r="M37" i="32"/>
  <c r="N37" i="32"/>
  <c r="O37" i="32"/>
  <c r="H37" i="32"/>
  <c r="P37" i="32"/>
  <c r="Q37" i="32"/>
  <c r="L38" i="32"/>
  <c r="M38" i="32"/>
  <c r="N38" i="32"/>
  <c r="O38" i="32"/>
  <c r="H38" i="32"/>
  <c r="P38" i="32"/>
  <c r="Q38" i="32"/>
  <c r="L39" i="32"/>
  <c r="M39" i="32"/>
  <c r="N39" i="32"/>
  <c r="O39" i="32"/>
  <c r="H39" i="32"/>
  <c r="P39" i="32"/>
  <c r="Q39" i="32"/>
  <c r="L40" i="32"/>
  <c r="M40" i="32"/>
  <c r="N40" i="32"/>
  <c r="O40" i="32"/>
  <c r="H40" i="32"/>
  <c r="P40" i="32"/>
  <c r="Q40" i="32"/>
  <c r="L41" i="32"/>
  <c r="M41" i="32"/>
  <c r="N41" i="32"/>
  <c r="O41" i="32"/>
  <c r="H41" i="32"/>
  <c r="P41" i="32"/>
  <c r="Q41" i="32"/>
  <c r="L42" i="32"/>
  <c r="M42" i="32"/>
  <c r="N42" i="32"/>
  <c r="O42" i="32"/>
  <c r="H42" i="32"/>
  <c r="P42" i="32"/>
  <c r="Q42" i="32"/>
  <c r="L43" i="32"/>
  <c r="M43" i="32"/>
  <c r="N43" i="32"/>
  <c r="O43" i="32"/>
  <c r="H43" i="32"/>
  <c r="P43" i="32"/>
  <c r="Q43" i="32"/>
  <c r="L44" i="32"/>
  <c r="M44" i="32"/>
  <c r="N44" i="32"/>
  <c r="O44" i="32"/>
  <c r="H44" i="32"/>
  <c r="P44" i="32"/>
  <c r="Q44" i="32"/>
  <c r="M45" i="32"/>
  <c r="N45" i="32"/>
  <c r="O45" i="32"/>
  <c r="H45" i="32"/>
  <c r="P45" i="32"/>
  <c r="Q45" i="32"/>
  <c r="Q24" i="32"/>
  <c r="L24" i="32"/>
  <c r="A23" i="32"/>
  <c r="L23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G24" i="32"/>
  <c r="H24" i="32"/>
  <c r="I24" i="32"/>
  <c r="J24" i="32"/>
  <c r="K24" i="32"/>
  <c r="M24" i="32"/>
  <c r="N24" i="32"/>
  <c r="O24" i="32"/>
  <c r="P24" i="32"/>
  <c r="G25" i="32"/>
  <c r="I25" i="32"/>
  <c r="J25" i="32"/>
  <c r="K25" i="32"/>
  <c r="G26" i="32"/>
  <c r="I26" i="32"/>
  <c r="J26" i="32"/>
  <c r="K26" i="32"/>
  <c r="G27" i="32"/>
  <c r="I27" i="32"/>
  <c r="J27" i="32"/>
  <c r="K27" i="32"/>
  <c r="G28" i="32"/>
  <c r="I28" i="32"/>
  <c r="J28" i="32"/>
  <c r="K28" i="32"/>
  <c r="G29" i="32"/>
  <c r="I29" i="32"/>
  <c r="J29" i="32"/>
  <c r="K29" i="32"/>
  <c r="G30" i="32"/>
  <c r="I30" i="32"/>
  <c r="J30" i="32"/>
  <c r="K30" i="32"/>
  <c r="G31" i="32"/>
  <c r="I31" i="32"/>
  <c r="J31" i="32"/>
  <c r="K31" i="32"/>
  <c r="G32" i="32"/>
  <c r="I32" i="32"/>
  <c r="J32" i="32"/>
  <c r="K32" i="32"/>
  <c r="G33" i="32"/>
  <c r="I33" i="32"/>
  <c r="J33" i="32"/>
  <c r="K33" i="32"/>
  <c r="G34" i="32"/>
  <c r="I34" i="32"/>
  <c r="J34" i="32"/>
  <c r="K34" i="32"/>
  <c r="G35" i="32"/>
  <c r="I35" i="32"/>
  <c r="J35" i="32"/>
  <c r="K35" i="32"/>
  <c r="G36" i="32"/>
  <c r="I36" i="32"/>
  <c r="J36" i="32"/>
  <c r="K36" i="32"/>
  <c r="G37" i="32"/>
  <c r="I37" i="32"/>
  <c r="J37" i="32"/>
  <c r="K37" i="32"/>
  <c r="G38" i="32"/>
  <c r="I38" i="32"/>
  <c r="J38" i="32"/>
  <c r="K38" i="32"/>
  <c r="G39" i="32"/>
  <c r="I39" i="32"/>
  <c r="J39" i="32"/>
  <c r="K39" i="32"/>
  <c r="G40" i="32"/>
  <c r="I40" i="32"/>
  <c r="J40" i="32"/>
  <c r="K40" i="32"/>
  <c r="G41" i="32"/>
  <c r="I41" i="32"/>
  <c r="J41" i="32"/>
  <c r="K41" i="32"/>
  <c r="G42" i="32"/>
  <c r="I42" i="32"/>
  <c r="J42" i="32"/>
  <c r="K42" i="32"/>
  <c r="G43" i="32"/>
  <c r="I43" i="32"/>
  <c r="J43" i="32"/>
  <c r="K43" i="32"/>
  <c r="G44" i="32"/>
  <c r="I44" i="32"/>
  <c r="J44" i="32"/>
  <c r="K44" i="32"/>
  <c r="G45" i="32"/>
  <c r="I45" i="32"/>
  <c r="J45" i="32"/>
  <c r="K45" i="32"/>
  <c r="B24" i="32"/>
  <c r="C24" i="32"/>
  <c r="B25" i="32"/>
  <c r="C25" i="32"/>
  <c r="B26" i="32"/>
  <c r="C26" i="32"/>
  <c r="B27" i="32"/>
  <c r="C27" i="32"/>
  <c r="B28" i="32"/>
  <c r="C28" i="32"/>
  <c r="B29" i="32"/>
  <c r="C29" i="32"/>
  <c r="B30" i="32"/>
  <c r="C30" i="32"/>
  <c r="B31" i="32"/>
  <c r="C31" i="32"/>
  <c r="B32" i="32"/>
  <c r="C32" i="32"/>
  <c r="B33" i="32"/>
  <c r="C33" i="32"/>
  <c r="B34" i="32"/>
  <c r="C34" i="32"/>
  <c r="B35" i="32"/>
  <c r="C35" i="32"/>
  <c r="B36" i="32"/>
  <c r="C36" i="32"/>
  <c r="B37" i="32"/>
  <c r="C37" i="32"/>
  <c r="B38" i="32"/>
  <c r="C38" i="32"/>
  <c r="B39" i="32"/>
  <c r="C39" i="32"/>
  <c r="B40" i="32"/>
  <c r="C40" i="32"/>
  <c r="B41" i="32"/>
  <c r="C41" i="32"/>
  <c r="B42" i="32"/>
  <c r="C42" i="32"/>
  <c r="B43" i="32"/>
  <c r="C43" i="32"/>
  <c r="B44" i="32"/>
  <c r="C44" i="32"/>
  <c r="B45" i="32"/>
  <c r="C45" i="32"/>
  <c r="A3" i="32"/>
  <c r="L3" i="32"/>
  <c r="A2" i="32"/>
  <c r="L2" i="32"/>
  <c r="G3" i="32"/>
  <c r="H3" i="32"/>
  <c r="I3" i="32"/>
  <c r="J3" i="32"/>
  <c r="K3" i="32"/>
  <c r="M3" i="32"/>
  <c r="N3" i="32"/>
  <c r="O3" i="32"/>
  <c r="P3" i="32"/>
  <c r="Q3" i="32"/>
  <c r="A4" i="32"/>
  <c r="L4" i="32"/>
  <c r="G4" i="32"/>
  <c r="H4" i="32"/>
  <c r="I4" i="32"/>
  <c r="J4" i="32"/>
  <c r="K4" i="32"/>
  <c r="M4" i="32"/>
  <c r="N4" i="32"/>
  <c r="O4" i="32"/>
  <c r="P4" i="32"/>
  <c r="Q4" i="32"/>
  <c r="A5" i="32"/>
  <c r="L5" i="32"/>
  <c r="G5" i="32"/>
  <c r="H5" i="32"/>
  <c r="I5" i="32"/>
  <c r="J5" i="32"/>
  <c r="K5" i="32"/>
  <c r="M5" i="32"/>
  <c r="N5" i="32"/>
  <c r="O5" i="32"/>
  <c r="P5" i="32"/>
  <c r="Q5" i="32"/>
  <c r="A6" i="32"/>
  <c r="L6" i="32"/>
  <c r="G6" i="32"/>
  <c r="H6" i="32"/>
  <c r="I6" i="32"/>
  <c r="J6" i="32"/>
  <c r="K6" i="32"/>
  <c r="M6" i="32"/>
  <c r="N6" i="32"/>
  <c r="O6" i="32"/>
  <c r="P6" i="32"/>
  <c r="Q6" i="32"/>
  <c r="A7" i="32"/>
  <c r="L7" i="32"/>
  <c r="G7" i="32"/>
  <c r="H7" i="32"/>
  <c r="I7" i="32"/>
  <c r="J7" i="32"/>
  <c r="K7" i="32"/>
  <c r="M7" i="32"/>
  <c r="N7" i="32"/>
  <c r="O7" i="32"/>
  <c r="P7" i="32"/>
  <c r="Q7" i="32"/>
  <c r="A8" i="32"/>
  <c r="L8" i="32"/>
  <c r="G8" i="32"/>
  <c r="H8" i="32"/>
  <c r="I8" i="32"/>
  <c r="J8" i="32"/>
  <c r="K8" i="32"/>
  <c r="M8" i="32"/>
  <c r="N8" i="32"/>
  <c r="O8" i="32"/>
  <c r="P8" i="32"/>
  <c r="Q8" i="32"/>
  <c r="A9" i="32"/>
  <c r="L9" i="32"/>
  <c r="G9" i="32"/>
  <c r="H9" i="32"/>
  <c r="I9" i="32"/>
  <c r="J9" i="32"/>
  <c r="K9" i="32"/>
  <c r="M9" i="32"/>
  <c r="N9" i="32"/>
  <c r="O9" i="32"/>
  <c r="P9" i="32"/>
  <c r="Q9" i="32"/>
  <c r="A10" i="32"/>
  <c r="L10" i="32"/>
  <c r="G10" i="32"/>
  <c r="H10" i="32"/>
  <c r="I10" i="32"/>
  <c r="J10" i="32"/>
  <c r="K10" i="32"/>
  <c r="M10" i="32"/>
  <c r="N10" i="32"/>
  <c r="O10" i="32"/>
  <c r="P10" i="32"/>
  <c r="Q10" i="32"/>
  <c r="A11" i="32"/>
  <c r="L11" i="32"/>
  <c r="G11" i="32"/>
  <c r="H11" i="32"/>
  <c r="I11" i="32"/>
  <c r="J11" i="32"/>
  <c r="K11" i="32"/>
  <c r="M11" i="32"/>
  <c r="N11" i="32"/>
  <c r="O11" i="32"/>
  <c r="P11" i="32"/>
  <c r="Q11" i="32"/>
  <c r="A12" i="32"/>
  <c r="L12" i="32"/>
  <c r="G12" i="32"/>
  <c r="H12" i="32"/>
  <c r="I12" i="32"/>
  <c r="J12" i="32"/>
  <c r="K12" i="32"/>
  <c r="M12" i="32"/>
  <c r="N12" i="32"/>
  <c r="O12" i="32"/>
  <c r="P12" i="32"/>
  <c r="Q12" i="32"/>
  <c r="A13" i="32"/>
  <c r="L13" i="32"/>
  <c r="G13" i="32"/>
  <c r="H13" i="32"/>
  <c r="I13" i="32"/>
  <c r="J13" i="32"/>
  <c r="K13" i="32"/>
  <c r="M13" i="32"/>
  <c r="N13" i="32"/>
  <c r="O13" i="32"/>
  <c r="P13" i="32"/>
  <c r="Q13" i="32"/>
  <c r="A14" i="32"/>
  <c r="L14" i="32"/>
  <c r="G14" i="32"/>
  <c r="H14" i="32"/>
  <c r="I14" i="32"/>
  <c r="J14" i="32"/>
  <c r="K14" i="32"/>
  <c r="M14" i="32"/>
  <c r="N14" i="32"/>
  <c r="O14" i="32"/>
  <c r="P14" i="32"/>
  <c r="Q14" i="32"/>
  <c r="A15" i="32"/>
  <c r="L15" i="32"/>
  <c r="G15" i="32"/>
  <c r="H15" i="32"/>
  <c r="I15" i="32"/>
  <c r="J15" i="32"/>
  <c r="K15" i="32"/>
  <c r="M15" i="32"/>
  <c r="N15" i="32"/>
  <c r="O15" i="32"/>
  <c r="P15" i="32"/>
  <c r="Q15" i="32"/>
  <c r="A16" i="32"/>
  <c r="L16" i="32"/>
  <c r="G16" i="32"/>
  <c r="H16" i="32"/>
  <c r="I16" i="32"/>
  <c r="J16" i="32"/>
  <c r="K16" i="32"/>
  <c r="M16" i="32"/>
  <c r="N16" i="32"/>
  <c r="O16" i="32"/>
  <c r="P16" i="32"/>
  <c r="Q16" i="32"/>
  <c r="A17" i="32"/>
  <c r="L17" i="32"/>
  <c r="G17" i="32"/>
  <c r="H17" i="32"/>
  <c r="I17" i="32"/>
  <c r="J17" i="32"/>
  <c r="K17" i="32"/>
  <c r="M17" i="32"/>
  <c r="N17" i="32"/>
  <c r="O17" i="32"/>
  <c r="P17" i="32"/>
  <c r="Q17" i="32"/>
  <c r="A18" i="32"/>
  <c r="L18" i="32"/>
  <c r="G18" i="32"/>
  <c r="H18" i="32"/>
  <c r="I18" i="32"/>
  <c r="J18" i="32"/>
  <c r="K18" i="32"/>
  <c r="M18" i="32"/>
  <c r="N18" i="32"/>
  <c r="O18" i="32"/>
  <c r="P18" i="32"/>
  <c r="Q18" i="32"/>
  <c r="A19" i="32"/>
  <c r="L19" i="32"/>
  <c r="G19" i="32"/>
  <c r="H19" i="32"/>
  <c r="I19" i="32"/>
  <c r="J19" i="32"/>
  <c r="K19" i="32"/>
  <c r="M19" i="32"/>
  <c r="N19" i="32"/>
  <c r="O19" i="32"/>
  <c r="P19" i="32"/>
  <c r="Q19" i="32"/>
  <c r="A20" i="32"/>
  <c r="L20" i="32"/>
  <c r="G20" i="32"/>
  <c r="H20" i="32"/>
  <c r="I20" i="32"/>
  <c r="J20" i="32"/>
  <c r="K20" i="32"/>
  <c r="M20" i="32"/>
  <c r="N20" i="32"/>
  <c r="O20" i="32"/>
  <c r="P20" i="32"/>
  <c r="Q20" i="32"/>
  <c r="A21" i="32"/>
  <c r="L21" i="32"/>
  <c r="G21" i="32"/>
  <c r="H21" i="32"/>
  <c r="I21" i="32"/>
  <c r="J21" i="32"/>
  <c r="K21" i="32"/>
  <c r="M21" i="32"/>
  <c r="N21" i="32"/>
  <c r="O21" i="32"/>
  <c r="P21" i="32"/>
  <c r="Q21" i="32"/>
  <c r="A22" i="32"/>
  <c r="L22" i="32"/>
  <c r="G22" i="32"/>
  <c r="H22" i="32"/>
  <c r="I22" i="32"/>
  <c r="J22" i="32"/>
  <c r="K22" i="32"/>
  <c r="M22" i="32"/>
  <c r="N22" i="32"/>
  <c r="O22" i="32"/>
  <c r="P22" i="32"/>
  <c r="Q22" i="32"/>
  <c r="G23" i="32"/>
  <c r="H23" i="32"/>
  <c r="I23" i="32"/>
  <c r="J23" i="32"/>
  <c r="K23" i="32"/>
  <c r="M23" i="32"/>
  <c r="N23" i="32"/>
  <c r="O23" i="32"/>
  <c r="P23" i="32"/>
  <c r="Q23" i="32"/>
  <c r="Q2" i="32"/>
  <c r="H2" i="32"/>
  <c r="B3" i="32"/>
  <c r="C3" i="32"/>
  <c r="B4" i="32"/>
  <c r="C4" i="32"/>
  <c r="B5" i="32"/>
  <c r="C5" i="32"/>
  <c r="B6" i="32"/>
  <c r="C6" i="32"/>
  <c r="B7" i="32"/>
  <c r="C7" i="32"/>
  <c r="B8" i="32"/>
  <c r="C8" i="32"/>
  <c r="B9" i="32"/>
  <c r="C9" i="32"/>
  <c r="B10" i="32"/>
  <c r="C10" i="32"/>
  <c r="B11" i="32"/>
  <c r="C11" i="32"/>
  <c r="B12" i="32"/>
  <c r="C12" i="32"/>
  <c r="B13" i="32"/>
  <c r="C13" i="32"/>
  <c r="B14" i="32"/>
  <c r="C14" i="32"/>
  <c r="B15" i="32"/>
  <c r="C15" i="32"/>
  <c r="B16" i="32"/>
  <c r="C16" i="32"/>
  <c r="B17" i="32"/>
  <c r="C17" i="32"/>
  <c r="B18" i="32"/>
  <c r="C18" i="32"/>
  <c r="B19" i="32"/>
  <c r="C19" i="32"/>
  <c r="B20" i="32"/>
  <c r="C20" i="32"/>
  <c r="B21" i="32"/>
  <c r="C21" i="32"/>
  <c r="B22" i="32"/>
  <c r="C22" i="32"/>
  <c r="B23" i="32"/>
  <c r="C23" i="32"/>
  <c r="P2" i="32"/>
  <c r="O2" i="32"/>
  <c r="N2" i="32"/>
  <c r="M2" i="32"/>
  <c r="K2" i="32"/>
  <c r="J2" i="32"/>
  <c r="I2" i="32"/>
  <c r="G2" i="32"/>
  <c r="B2" i="32"/>
  <c r="C2" i="32"/>
  <c r="S37" i="17"/>
  <c r="J35" i="21"/>
  <c r="S23" i="24"/>
  <c r="S27" i="24"/>
  <c r="S39" i="24"/>
  <c r="S38" i="24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25" i="19"/>
  <c r="I9" i="24"/>
  <c r="I10" i="24"/>
  <c r="F39" i="24"/>
  <c r="M39" i="24"/>
  <c r="N39" i="24"/>
  <c r="O39" i="24"/>
  <c r="B39" i="24"/>
  <c r="J39" i="24"/>
  <c r="K39" i="24"/>
  <c r="V39" i="24"/>
  <c r="Z39" i="24"/>
  <c r="W39" i="24"/>
  <c r="X39" i="24"/>
  <c r="F38" i="24"/>
  <c r="M38" i="24"/>
  <c r="N38" i="24"/>
  <c r="O38" i="24"/>
  <c r="B38" i="24"/>
  <c r="J38" i="24"/>
  <c r="K38" i="24"/>
  <c r="V38" i="24"/>
  <c r="Z38" i="24"/>
  <c r="W38" i="24"/>
  <c r="X38" i="24"/>
  <c r="F37" i="24"/>
  <c r="M37" i="24"/>
  <c r="N37" i="24"/>
  <c r="O37" i="24"/>
  <c r="B37" i="24"/>
  <c r="J37" i="24"/>
  <c r="K37" i="24"/>
  <c r="V37" i="24"/>
  <c r="Z37" i="24"/>
  <c r="W37" i="24"/>
  <c r="X37" i="24"/>
  <c r="F36" i="24"/>
  <c r="M36" i="24"/>
  <c r="N36" i="24"/>
  <c r="O36" i="24"/>
  <c r="B36" i="24"/>
  <c r="J36" i="24"/>
  <c r="K36" i="24"/>
  <c r="V36" i="24"/>
  <c r="Z36" i="24"/>
  <c r="W36" i="24"/>
  <c r="X36" i="24"/>
  <c r="F35" i="24"/>
  <c r="M35" i="24"/>
  <c r="N35" i="24"/>
  <c r="O35" i="24"/>
  <c r="B35" i="24"/>
  <c r="J35" i="24"/>
  <c r="K35" i="24"/>
  <c r="V35" i="24"/>
  <c r="Z35" i="24"/>
  <c r="W35" i="24"/>
  <c r="X35" i="24"/>
  <c r="F34" i="24"/>
  <c r="M34" i="24"/>
  <c r="N34" i="24"/>
  <c r="O34" i="24"/>
  <c r="B34" i="24"/>
  <c r="J34" i="24"/>
  <c r="K34" i="24"/>
  <c r="V34" i="24"/>
  <c r="Z34" i="24"/>
  <c r="W34" i="24"/>
  <c r="X34" i="24"/>
  <c r="F33" i="24"/>
  <c r="M33" i="24"/>
  <c r="N33" i="24"/>
  <c r="O33" i="24"/>
  <c r="B33" i="24"/>
  <c r="J33" i="24"/>
  <c r="K33" i="24"/>
  <c r="V33" i="24"/>
  <c r="Z33" i="24"/>
  <c r="W33" i="24"/>
  <c r="X33" i="24"/>
  <c r="F32" i="24"/>
  <c r="M32" i="24"/>
  <c r="N32" i="24"/>
  <c r="O32" i="24"/>
  <c r="B32" i="24"/>
  <c r="J32" i="24"/>
  <c r="K32" i="24"/>
  <c r="V32" i="24"/>
  <c r="Z32" i="24"/>
  <c r="W32" i="24"/>
  <c r="X32" i="24"/>
  <c r="F31" i="24"/>
  <c r="M31" i="24"/>
  <c r="N31" i="24"/>
  <c r="O31" i="24"/>
  <c r="B31" i="24"/>
  <c r="J31" i="24"/>
  <c r="K31" i="24"/>
  <c r="V31" i="24"/>
  <c r="Z31" i="24"/>
  <c r="W31" i="24"/>
  <c r="X31" i="24"/>
  <c r="F30" i="24"/>
  <c r="M30" i="24"/>
  <c r="N30" i="24"/>
  <c r="O30" i="24"/>
  <c r="B30" i="24"/>
  <c r="J30" i="24"/>
  <c r="K30" i="24"/>
  <c r="V30" i="24"/>
  <c r="Z30" i="24"/>
  <c r="W30" i="24"/>
  <c r="X30" i="24"/>
  <c r="F29" i="24"/>
  <c r="M29" i="24"/>
  <c r="N29" i="24"/>
  <c r="O29" i="24"/>
  <c r="B29" i="24"/>
  <c r="J29" i="24"/>
  <c r="K29" i="24"/>
  <c r="V29" i="24"/>
  <c r="Z29" i="24"/>
  <c r="W29" i="24"/>
  <c r="X29" i="24"/>
  <c r="F28" i="24"/>
  <c r="M28" i="24"/>
  <c r="N28" i="24"/>
  <c r="O28" i="24"/>
  <c r="B28" i="24"/>
  <c r="J28" i="24"/>
  <c r="K28" i="24"/>
  <c r="V28" i="24"/>
  <c r="Z28" i="24"/>
  <c r="W28" i="24"/>
  <c r="X28" i="24"/>
  <c r="F27" i="24"/>
  <c r="M27" i="24"/>
  <c r="N27" i="24"/>
  <c r="O27" i="24"/>
  <c r="B27" i="24"/>
  <c r="J27" i="24"/>
  <c r="K27" i="24"/>
  <c r="V27" i="24"/>
  <c r="Z27" i="24"/>
  <c r="W27" i="24"/>
  <c r="X27" i="24"/>
  <c r="F26" i="24"/>
  <c r="M26" i="24"/>
  <c r="N26" i="24"/>
  <c r="O26" i="24"/>
  <c r="B26" i="24"/>
  <c r="J26" i="24"/>
  <c r="K26" i="24"/>
  <c r="V26" i="24"/>
  <c r="Z26" i="24"/>
  <c r="W26" i="24"/>
  <c r="X26" i="24"/>
  <c r="F25" i="24"/>
  <c r="M25" i="24"/>
  <c r="N25" i="24"/>
  <c r="O25" i="24"/>
  <c r="B25" i="24"/>
  <c r="J25" i="24"/>
  <c r="K25" i="24"/>
  <c r="V25" i="24"/>
  <c r="Z25" i="24"/>
  <c r="W25" i="24"/>
  <c r="X25" i="24"/>
  <c r="F24" i="24"/>
  <c r="M24" i="24"/>
  <c r="N24" i="24"/>
  <c r="O24" i="24"/>
  <c r="B24" i="24"/>
  <c r="J24" i="24"/>
  <c r="K24" i="24"/>
  <c r="V24" i="24"/>
  <c r="Z24" i="24"/>
  <c r="W24" i="24"/>
  <c r="X24" i="24"/>
  <c r="F23" i="24"/>
  <c r="M23" i="24"/>
  <c r="N23" i="24"/>
  <c r="O23" i="24"/>
  <c r="B23" i="24"/>
  <c r="J23" i="24"/>
  <c r="K23" i="24"/>
  <c r="V23" i="24"/>
  <c r="Z23" i="24"/>
  <c r="W23" i="24"/>
  <c r="X23" i="24"/>
  <c r="F22" i="24"/>
  <c r="M22" i="24"/>
  <c r="N22" i="24"/>
  <c r="O22" i="24"/>
  <c r="B22" i="24"/>
  <c r="J22" i="24"/>
  <c r="K22" i="24"/>
  <c r="V22" i="24"/>
  <c r="Z22" i="24"/>
  <c r="W22" i="24"/>
  <c r="X22" i="24"/>
  <c r="F21" i="24"/>
  <c r="M21" i="24"/>
  <c r="N21" i="24"/>
  <c r="O21" i="24"/>
  <c r="B21" i="24"/>
  <c r="J21" i="24"/>
  <c r="K21" i="24"/>
  <c r="V21" i="24"/>
  <c r="Z21" i="24"/>
  <c r="W21" i="24"/>
  <c r="X21" i="24"/>
  <c r="F20" i="24"/>
  <c r="M20" i="24"/>
  <c r="N20" i="24"/>
  <c r="O20" i="24"/>
  <c r="B20" i="24"/>
  <c r="J20" i="24"/>
  <c r="K20" i="24"/>
  <c r="V20" i="24"/>
  <c r="Z20" i="24"/>
  <c r="W20" i="24"/>
  <c r="X20" i="24"/>
  <c r="F19" i="24"/>
  <c r="M19" i="24"/>
  <c r="N19" i="24"/>
  <c r="O19" i="24"/>
  <c r="B19" i="24"/>
  <c r="J19" i="24"/>
  <c r="K19" i="24"/>
  <c r="V19" i="24"/>
  <c r="Z19" i="24"/>
  <c r="W19" i="24"/>
  <c r="X19" i="24"/>
  <c r="F18" i="24"/>
  <c r="M18" i="24"/>
  <c r="N18" i="24"/>
  <c r="O18" i="24"/>
  <c r="B18" i="24"/>
  <c r="J18" i="24"/>
  <c r="K18" i="24"/>
  <c r="V18" i="24"/>
  <c r="Z18" i="24"/>
  <c r="W18" i="24"/>
  <c r="X18" i="24"/>
  <c r="I9" i="23"/>
  <c r="I10" i="23"/>
  <c r="F39" i="23"/>
  <c r="M39" i="23"/>
  <c r="N39" i="23"/>
  <c r="O39" i="23"/>
  <c r="V39" i="23"/>
  <c r="Z39" i="23"/>
  <c r="W39" i="23"/>
  <c r="X39" i="23"/>
  <c r="F38" i="23"/>
  <c r="M38" i="23"/>
  <c r="N38" i="23"/>
  <c r="O38" i="23"/>
  <c r="V38" i="23"/>
  <c r="Z38" i="23"/>
  <c r="W38" i="23"/>
  <c r="X38" i="23"/>
  <c r="F37" i="23"/>
  <c r="M37" i="23"/>
  <c r="N37" i="23"/>
  <c r="O37" i="23"/>
  <c r="V37" i="23"/>
  <c r="Z37" i="23"/>
  <c r="W37" i="23"/>
  <c r="X37" i="23"/>
  <c r="F36" i="23"/>
  <c r="M36" i="23"/>
  <c r="N36" i="23"/>
  <c r="O36" i="23"/>
  <c r="V36" i="23"/>
  <c r="Z36" i="23"/>
  <c r="W36" i="23"/>
  <c r="X36" i="23"/>
  <c r="F35" i="23"/>
  <c r="M35" i="23"/>
  <c r="N35" i="23"/>
  <c r="O35" i="23"/>
  <c r="V35" i="23"/>
  <c r="Z35" i="23"/>
  <c r="W35" i="23"/>
  <c r="X35" i="23"/>
  <c r="F34" i="23"/>
  <c r="M34" i="23"/>
  <c r="N34" i="23"/>
  <c r="O34" i="23"/>
  <c r="V34" i="23"/>
  <c r="Z34" i="23"/>
  <c r="W34" i="23"/>
  <c r="X34" i="23"/>
  <c r="F33" i="23"/>
  <c r="M33" i="23"/>
  <c r="N33" i="23"/>
  <c r="O33" i="23"/>
  <c r="V33" i="23"/>
  <c r="Z33" i="23"/>
  <c r="W33" i="23"/>
  <c r="X33" i="23"/>
  <c r="F32" i="23"/>
  <c r="M32" i="23"/>
  <c r="N32" i="23"/>
  <c r="O32" i="23"/>
  <c r="V32" i="23"/>
  <c r="Z32" i="23"/>
  <c r="W32" i="23"/>
  <c r="X32" i="23"/>
  <c r="F31" i="23"/>
  <c r="M31" i="23"/>
  <c r="N31" i="23"/>
  <c r="O31" i="23"/>
  <c r="V31" i="23"/>
  <c r="Z31" i="23"/>
  <c r="W31" i="23"/>
  <c r="X31" i="23"/>
  <c r="F30" i="23"/>
  <c r="M30" i="23"/>
  <c r="N30" i="23"/>
  <c r="O30" i="23"/>
  <c r="V30" i="23"/>
  <c r="Z30" i="23"/>
  <c r="W30" i="23"/>
  <c r="X30" i="23"/>
  <c r="F29" i="23"/>
  <c r="M29" i="23"/>
  <c r="N29" i="23"/>
  <c r="O29" i="23"/>
  <c r="V29" i="23"/>
  <c r="Z29" i="23"/>
  <c r="W29" i="23"/>
  <c r="X29" i="23"/>
  <c r="F28" i="23"/>
  <c r="M28" i="23"/>
  <c r="N28" i="23"/>
  <c r="O28" i="23"/>
  <c r="V28" i="23"/>
  <c r="Z28" i="23"/>
  <c r="W28" i="23"/>
  <c r="X28" i="23"/>
  <c r="F27" i="23"/>
  <c r="M27" i="23"/>
  <c r="N27" i="23"/>
  <c r="O27" i="23"/>
  <c r="V27" i="23"/>
  <c r="Z27" i="23"/>
  <c r="W27" i="23"/>
  <c r="X27" i="23"/>
  <c r="F26" i="23"/>
  <c r="M26" i="23"/>
  <c r="N26" i="23"/>
  <c r="O26" i="23"/>
  <c r="V26" i="23"/>
  <c r="Z26" i="23"/>
  <c r="W26" i="23"/>
  <c r="X26" i="23"/>
  <c r="F25" i="23"/>
  <c r="M25" i="23"/>
  <c r="N25" i="23"/>
  <c r="O25" i="23"/>
  <c r="V25" i="23"/>
  <c r="Z25" i="23"/>
  <c r="W25" i="23"/>
  <c r="X25" i="23"/>
  <c r="F24" i="23"/>
  <c r="M24" i="23"/>
  <c r="N24" i="23"/>
  <c r="O24" i="23"/>
  <c r="V24" i="23"/>
  <c r="Z24" i="23"/>
  <c r="W24" i="23"/>
  <c r="X24" i="23"/>
  <c r="F23" i="23"/>
  <c r="M23" i="23"/>
  <c r="N23" i="23"/>
  <c r="O23" i="23"/>
  <c r="V23" i="23"/>
  <c r="Z23" i="23"/>
  <c r="W23" i="23"/>
  <c r="X23" i="23"/>
  <c r="F22" i="23"/>
  <c r="M22" i="23"/>
  <c r="N22" i="23"/>
  <c r="O22" i="23"/>
  <c r="V22" i="23"/>
  <c r="Z22" i="23"/>
  <c r="W22" i="23"/>
  <c r="X22" i="23"/>
  <c r="F21" i="23"/>
  <c r="M21" i="23"/>
  <c r="N21" i="23"/>
  <c r="O21" i="23"/>
  <c r="V21" i="23"/>
  <c r="Z21" i="23"/>
  <c r="W21" i="23"/>
  <c r="X21" i="23"/>
  <c r="F20" i="23"/>
  <c r="M20" i="23"/>
  <c r="N20" i="23"/>
  <c r="O20" i="23"/>
  <c r="V20" i="23"/>
  <c r="Z20" i="23"/>
  <c r="W20" i="23"/>
  <c r="X20" i="23"/>
  <c r="F19" i="23"/>
  <c r="M19" i="23"/>
  <c r="N19" i="23"/>
  <c r="O19" i="23"/>
  <c r="V19" i="23"/>
  <c r="Z19" i="23"/>
  <c r="W19" i="23"/>
  <c r="X19" i="23"/>
  <c r="F18" i="23"/>
  <c r="M18" i="23"/>
  <c r="N18" i="23"/>
  <c r="O18" i="23"/>
  <c r="V18" i="23"/>
  <c r="Z18" i="23"/>
  <c r="W18" i="23"/>
  <c r="X18" i="23"/>
  <c r="W18" i="22"/>
  <c r="X18" i="22"/>
  <c r="Z18" i="22"/>
  <c r="W19" i="22"/>
  <c r="X19" i="22"/>
  <c r="Z19" i="22"/>
  <c r="W20" i="22"/>
  <c r="X20" i="22"/>
  <c r="Z20" i="22"/>
  <c r="W21" i="22"/>
  <c r="X21" i="22"/>
  <c r="Z21" i="22"/>
  <c r="W22" i="22"/>
  <c r="X22" i="22"/>
  <c r="Z22" i="22"/>
  <c r="W23" i="22"/>
  <c r="F23" i="22"/>
  <c r="M23" i="22"/>
  <c r="N23" i="22"/>
  <c r="X23" i="22"/>
  <c r="O23" i="22"/>
  <c r="V23" i="22"/>
  <c r="Z23" i="22"/>
  <c r="W24" i="22"/>
  <c r="X24" i="22"/>
  <c r="Z24" i="22"/>
  <c r="W25" i="22"/>
  <c r="X25" i="22"/>
  <c r="Z25" i="22"/>
  <c r="W26" i="22"/>
  <c r="X26" i="22"/>
  <c r="Z26" i="22"/>
  <c r="W27" i="22"/>
  <c r="X27" i="22"/>
  <c r="Z27" i="22"/>
  <c r="W28" i="22"/>
  <c r="X28" i="22"/>
  <c r="Z28" i="22"/>
  <c r="W29" i="22"/>
  <c r="X29" i="22"/>
  <c r="Z29" i="22"/>
  <c r="W30" i="22"/>
  <c r="X30" i="22"/>
  <c r="Z30" i="22"/>
  <c r="W31" i="22"/>
  <c r="X31" i="22"/>
  <c r="Z31" i="22"/>
  <c r="W32" i="22"/>
  <c r="X32" i="22"/>
  <c r="Z32" i="22"/>
  <c r="W33" i="22"/>
  <c r="X33" i="22"/>
  <c r="Z33" i="22"/>
  <c r="W34" i="22"/>
  <c r="X34" i="22"/>
  <c r="Z34" i="22"/>
  <c r="W35" i="22"/>
  <c r="X35" i="22"/>
  <c r="Z35" i="22"/>
  <c r="W36" i="22"/>
  <c r="X36" i="22"/>
  <c r="Z36" i="22"/>
  <c r="W37" i="22"/>
  <c r="X37" i="22"/>
  <c r="Z37" i="22"/>
  <c r="W38" i="22"/>
  <c r="X38" i="22"/>
  <c r="Z38" i="22"/>
  <c r="W39" i="22"/>
  <c r="X39" i="22"/>
  <c r="Z39" i="22"/>
  <c r="I9" i="22"/>
  <c r="I10" i="22"/>
  <c r="F39" i="22"/>
  <c r="M39" i="22"/>
  <c r="N39" i="22"/>
  <c r="O39" i="22"/>
  <c r="V39" i="22"/>
  <c r="F38" i="22"/>
  <c r="M38" i="22"/>
  <c r="N38" i="22"/>
  <c r="O38" i="22"/>
  <c r="V38" i="22"/>
  <c r="F37" i="22"/>
  <c r="M37" i="22"/>
  <c r="N37" i="22"/>
  <c r="O37" i="22"/>
  <c r="V37" i="22"/>
  <c r="F36" i="22"/>
  <c r="M36" i="22"/>
  <c r="N36" i="22"/>
  <c r="O36" i="22"/>
  <c r="V36" i="22"/>
  <c r="F35" i="22"/>
  <c r="M35" i="22"/>
  <c r="N35" i="22"/>
  <c r="O35" i="22"/>
  <c r="V35" i="22"/>
  <c r="F34" i="22"/>
  <c r="M34" i="22"/>
  <c r="N34" i="22"/>
  <c r="O34" i="22"/>
  <c r="V34" i="22"/>
  <c r="F33" i="22"/>
  <c r="M33" i="22"/>
  <c r="N33" i="22"/>
  <c r="O33" i="22"/>
  <c r="V33" i="22"/>
  <c r="F32" i="22"/>
  <c r="M32" i="22"/>
  <c r="N32" i="22"/>
  <c r="O32" i="22"/>
  <c r="V32" i="22"/>
  <c r="F31" i="22"/>
  <c r="M31" i="22"/>
  <c r="N31" i="22"/>
  <c r="O31" i="22"/>
  <c r="V31" i="22"/>
  <c r="F30" i="22"/>
  <c r="M30" i="22"/>
  <c r="N30" i="22"/>
  <c r="O30" i="22"/>
  <c r="V30" i="22"/>
  <c r="F29" i="22"/>
  <c r="M29" i="22"/>
  <c r="N29" i="22"/>
  <c r="O29" i="22"/>
  <c r="V29" i="22"/>
  <c r="F28" i="22"/>
  <c r="M28" i="22"/>
  <c r="N28" i="22"/>
  <c r="O28" i="22"/>
  <c r="V28" i="22"/>
  <c r="F27" i="22"/>
  <c r="M27" i="22"/>
  <c r="N27" i="22"/>
  <c r="O27" i="22"/>
  <c r="V27" i="22"/>
  <c r="F26" i="22"/>
  <c r="M26" i="22"/>
  <c r="N26" i="22"/>
  <c r="O26" i="22"/>
  <c r="V26" i="22"/>
  <c r="F25" i="22"/>
  <c r="M25" i="22"/>
  <c r="N25" i="22"/>
  <c r="O25" i="22"/>
  <c r="V25" i="22"/>
  <c r="F24" i="22"/>
  <c r="M24" i="22"/>
  <c r="N24" i="22"/>
  <c r="O24" i="22"/>
  <c r="V24" i="22"/>
  <c r="F22" i="22"/>
  <c r="M22" i="22"/>
  <c r="N22" i="22"/>
  <c r="O22" i="22"/>
  <c r="V22" i="22"/>
  <c r="F21" i="22"/>
  <c r="M21" i="22"/>
  <c r="N21" i="22"/>
  <c r="O21" i="22"/>
  <c r="V21" i="22"/>
  <c r="F20" i="22"/>
  <c r="M20" i="22"/>
  <c r="N20" i="22"/>
  <c r="O20" i="22"/>
  <c r="V20" i="22"/>
  <c r="F19" i="22"/>
  <c r="M19" i="22"/>
  <c r="N19" i="22"/>
  <c r="O19" i="22"/>
  <c r="V19" i="22"/>
  <c r="F18" i="22"/>
  <c r="M18" i="22"/>
  <c r="N18" i="22"/>
  <c r="O18" i="22"/>
  <c r="V18" i="22"/>
  <c r="R39" i="22"/>
  <c r="R38" i="22"/>
  <c r="R37" i="22"/>
  <c r="R36" i="22"/>
  <c r="R35" i="22"/>
  <c r="R34" i="22"/>
  <c r="R33" i="22"/>
  <c r="R32" i="22"/>
  <c r="R31" i="22"/>
  <c r="R30" i="22"/>
  <c r="R29" i="22"/>
  <c r="R28" i="22"/>
  <c r="R27" i="22"/>
  <c r="R26" i="22"/>
  <c r="R25" i="22"/>
  <c r="R24" i="22"/>
  <c r="R23" i="22"/>
  <c r="R22" i="22"/>
  <c r="R21" i="22"/>
  <c r="R20" i="22"/>
  <c r="R19" i="22"/>
  <c r="R18" i="22"/>
  <c r="Z39" i="21"/>
  <c r="W39" i="21"/>
  <c r="X39" i="21"/>
  <c r="Z38" i="21"/>
  <c r="W38" i="21"/>
  <c r="X38" i="21"/>
  <c r="Z37" i="21"/>
  <c r="W37" i="21"/>
  <c r="X37" i="21"/>
  <c r="Z36" i="21"/>
  <c r="W36" i="21"/>
  <c r="X36" i="21"/>
  <c r="K35" i="21"/>
  <c r="V35" i="21"/>
  <c r="Z35" i="21"/>
  <c r="W35" i="21"/>
  <c r="X35" i="21"/>
  <c r="Z34" i="21"/>
  <c r="W34" i="21"/>
  <c r="X34" i="21"/>
  <c r="Z33" i="21"/>
  <c r="W33" i="21"/>
  <c r="X33" i="21"/>
  <c r="Z32" i="21"/>
  <c r="W32" i="21"/>
  <c r="X32" i="21"/>
  <c r="Z31" i="21"/>
  <c r="W31" i="21"/>
  <c r="X31" i="21"/>
  <c r="Z30" i="21"/>
  <c r="W30" i="21"/>
  <c r="X30" i="21"/>
  <c r="Z29" i="21"/>
  <c r="W29" i="21"/>
  <c r="X29" i="21"/>
  <c r="Z28" i="21"/>
  <c r="W28" i="21"/>
  <c r="X28" i="21"/>
  <c r="Z27" i="21"/>
  <c r="W27" i="21"/>
  <c r="X27" i="21"/>
  <c r="Z26" i="21"/>
  <c r="W26" i="21"/>
  <c r="X26" i="21"/>
  <c r="Z25" i="21"/>
  <c r="W25" i="21"/>
  <c r="X25" i="21"/>
  <c r="Z24" i="21"/>
  <c r="W24" i="21"/>
  <c r="X24" i="21"/>
  <c r="Z23" i="21"/>
  <c r="W23" i="21"/>
  <c r="X23" i="21"/>
  <c r="Z22" i="21"/>
  <c r="W22" i="21"/>
  <c r="X22" i="21"/>
  <c r="Z21" i="21"/>
  <c r="W21" i="21"/>
  <c r="X21" i="21"/>
  <c r="Z20" i="21"/>
  <c r="W20" i="21"/>
  <c r="X20" i="21"/>
  <c r="Z19" i="21"/>
  <c r="W19" i="21"/>
  <c r="X19" i="21"/>
  <c r="Z18" i="21"/>
  <c r="W18" i="21"/>
  <c r="X18" i="21"/>
  <c r="W39" i="17"/>
  <c r="W38" i="17"/>
  <c r="W37" i="17"/>
  <c r="W36" i="17"/>
  <c r="W35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20" i="17"/>
  <c r="W19" i="17"/>
  <c r="W18" i="17"/>
  <c r="AE19" i="16"/>
  <c r="AF19" i="16"/>
  <c r="AG19" i="16"/>
  <c r="AH19" i="16"/>
  <c r="AC19" i="16"/>
  <c r="AE20" i="16"/>
  <c r="AF20" i="16"/>
  <c r="AG20" i="16"/>
  <c r="AH20" i="16"/>
  <c r="AC20" i="16"/>
  <c r="AE21" i="16"/>
  <c r="AF21" i="16"/>
  <c r="AG21" i="16"/>
  <c r="AH21" i="16"/>
  <c r="AC21" i="16"/>
  <c r="AE22" i="16"/>
  <c r="AF22" i="16"/>
  <c r="AG22" i="16"/>
  <c r="AH22" i="16"/>
  <c r="AC22" i="16"/>
  <c r="AE23" i="16"/>
  <c r="AF23" i="16"/>
  <c r="AG23" i="16"/>
  <c r="AH23" i="16"/>
  <c r="AC23" i="16"/>
  <c r="AE24" i="16"/>
  <c r="AF24" i="16"/>
  <c r="AG24" i="16"/>
  <c r="AH24" i="16"/>
  <c r="AC24" i="16"/>
  <c r="AE25" i="16"/>
  <c r="AF25" i="16"/>
  <c r="AG25" i="16"/>
  <c r="AH25" i="16"/>
  <c r="AC25" i="16"/>
  <c r="AE26" i="16"/>
  <c r="AF26" i="16"/>
  <c r="AG26" i="16"/>
  <c r="AH26" i="16"/>
  <c r="AC26" i="16"/>
  <c r="AE27" i="16"/>
  <c r="AF27" i="16"/>
  <c r="AG27" i="16"/>
  <c r="AH27" i="16"/>
  <c r="AC27" i="16"/>
  <c r="AE28" i="16"/>
  <c r="AF28" i="16"/>
  <c r="AG28" i="16"/>
  <c r="AH28" i="16"/>
  <c r="AC28" i="16"/>
  <c r="AE29" i="16"/>
  <c r="AF29" i="16"/>
  <c r="AG29" i="16"/>
  <c r="AH29" i="16"/>
  <c r="AC29" i="16"/>
  <c r="AE30" i="16"/>
  <c r="AF30" i="16"/>
  <c r="AG30" i="16"/>
  <c r="AH30" i="16"/>
  <c r="AC30" i="16"/>
  <c r="AE31" i="16"/>
  <c r="AF31" i="16"/>
  <c r="AG31" i="16"/>
  <c r="AH31" i="16"/>
  <c r="AC31" i="16"/>
  <c r="AE32" i="16"/>
  <c r="AF32" i="16"/>
  <c r="AG32" i="16"/>
  <c r="AH32" i="16"/>
  <c r="AC32" i="16"/>
  <c r="AE33" i="16"/>
  <c r="AF33" i="16"/>
  <c r="AG33" i="16"/>
  <c r="AH33" i="16"/>
  <c r="AC33" i="16"/>
  <c r="AE34" i="16"/>
  <c r="AF34" i="16"/>
  <c r="AG34" i="16"/>
  <c r="AH34" i="16"/>
  <c r="AC34" i="16"/>
  <c r="AE35" i="16"/>
  <c r="AF35" i="16"/>
  <c r="AG35" i="16"/>
  <c r="AH35" i="16"/>
  <c r="AC35" i="16"/>
  <c r="AE36" i="16"/>
  <c r="AF36" i="16"/>
  <c r="AG36" i="16"/>
  <c r="AH36" i="16"/>
  <c r="AC36" i="16"/>
  <c r="AE37" i="16"/>
  <c r="AF37" i="16"/>
  <c r="AG37" i="16"/>
  <c r="AH37" i="16"/>
  <c r="AC37" i="16"/>
  <c r="AE38" i="16"/>
  <c r="AF38" i="16"/>
  <c r="AG38" i="16"/>
  <c r="AH38" i="16"/>
  <c r="AC38" i="16"/>
  <c r="AE39" i="16"/>
  <c r="AF39" i="16"/>
  <c r="AG39" i="16"/>
  <c r="AH39" i="16"/>
  <c r="AC39" i="16"/>
  <c r="AE18" i="16"/>
  <c r="AF18" i="16"/>
  <c r="AG18" i="16"/>
  <c r="AH18" i="16"/>
  <c r="AC18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E26" i="5"/>
  <c r="D26" i="5"/>
  <c r="L3" i="5"/>
  <c r="G3" i="5"/>
  <c r="H3" i="5"/>
  <c r="L4" i="5"/>
  <c r="G4" i="5"/>
  <c r="H4" i="5"/>
  <c r="L5" i="5"/>
  <c r="G5" i="5"/>
  <c r="H5" i="5"/>
  <c r="L6" i="5"/>
  <c r="G6" i="5"/>
  <c r="H6" i="5"/>
  <c r="L7" i="5"/>
  <c r="G7" i="5"/>
  <c r="H7" i="5"/>
  <c r="L8" i="5"/>
  <c r="G8" i="5"/>
  <c r="H8" i="5"/>
  <c r="L9" i="5"/>
  <c r="G9" i="5"/>
  <c r="H9" i="5"/>
  <c r="L10" i="5"/>
  <c r="G10" i="5"/>
  <c r="H10" i="5"/>
  <c r="L11" i="5"/>
  <c r="G11" i="5"/>
  <c r="H11" i="5"/>
  <c r="L12" i="5"/>
  <c r="G12" i="5"/>
  <c r="H12" i="5"/>
  <c r="L13" i="5"/>
  <c r="G13" i="5"/>
  <c r="H13" i="5"/>
  <c r="L14" i="5"/>
  <c r="G14" i="5"/>
  <c r="H14" i="5"/>
  <c r="L15" i="5"/>
  <c r="G15" i="5"/>
  <c r="H15" i="5"/>
  <c r="L16" i="5"/>
  <c r="G16" i="5"/>
  <c r="H16" i="5"/>
  <c r="L17" i="5"/>
  <c r="G17" i="5"/>
  <c r="H17" i="5"/>
  <c r="L18" i="5"/>
  <c r="G18" i="5"/>
  <c r="H18" i="5"/>
  <c r="L19" i="5"/>
  <c r="G19" i="5"/>
  <c r="H19" i="5"/>
  <c r="L20" i="5"/>
  <c r="G20" i="5"/>
  <c r="H20" i="5"/>
  <c r="L21" i="5"/>
  <c r="G21" i="5"/>
  <c r="H21" i="5"/>
  <c r="L22" i="5"/>
  <c r="G22" i="5"/>
  <c r="H22" i="5"/>
  <c r="L23" i="5"/>
  <c r="G23" i="5"/>
  <c r="H23" i="5"/>
  <c r="L24" i="5"/>
  <c r="G24" i="5"/>
  <c r="H24" i="5"/>
  <c r="H26" i="5"/>
  <c r="K2" i="20"/>
  <c r="R38" i="31"/>
  <c r="Q38" i="3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18" i="21"/>
  <c r="R20" i="21"/>
  <c r="R41" i="31"/>
  <c r="R40" i="31"/>
  <c r="R39" i="31"/>
  <c r="L39" i="22"/>
  <c r="Q41" i="31"/>
  <c r="Q40" i="31"/>
  <c r="Q39" i="31"/>
  <c r="R37" i="17"/>
  <c r="R37" i="31"/>
  <c r="L37" i="17"/>
  <c r="Q37" i="31"/>
  <c r="R36" i="31"/>
  <c r="Q36" i="31"/>
  <c r="R35" i="31"/>
  <c r="L35" i="21"/>
  <c r="R34" i="31"/>
  <c r="L34" i="21"/>
  <c r="Q35" i="31"/>
  <c r="Q34" i="31"/>
  <c r="R31" i="17"/>
  <c r="R31" i="31"/>
  <c r="L31" i="17"/>
  <c r="R30" i="17"/>
  <c r="R30" i="31"/>
  <c r="L30" i="17"/>
  <c r="Q31" i="31"/>
  <c r="Q30" i="31"/>
  <c r="R29" i="16"/>
  <c r="R29" i="31"/>
  <c r="L29" i="16"/>
  <c r="R28" i="16"/>
  <c r="R28" i="31"/>
  <c r="L28" i="16"/>
  <c r="Q29" i="31"/>
  <c r="Q28" i="31"/>
  <c r="R25" i="31"/>
  <c r="L25" i="22"/>
  <c r="Q25" i="31"/>
  <c r="R24" i="31"/>
  <c r="Q24" i="31"/>
  <c r="R23" i="16"/>
  <c r="R23" i="31"/>
  <c r="L23" i="16"/>
  <c r="Q23" i="31"/>
  <c r="R22" i="16"/>
  <c r="R22" i="31"/>
  <c r="L22" i="16"/>
  <c r="Q22" i="31"/>
  <c r="R19" i="21"/>
  <c r="R19" i="31"/>
  <c r="L19" i="21"/>
  <c r="Q19" i="31"/>
  <c r="Q20" i="31"/>
  <c r="R20" i="24"/>
  <c r="R20" i="31"/>
  <c r="L20" i="24"/>
  <c r="Q21" i="31"/>
  <c r="R21" i="24"/>
  <c r="R21" i="31"/>
  <c r="L21" i="24"/>
  <c r="Q26" i="31"/>
  <c r="R26" i="24"/>
  <c r="R26" i="31"/>
  <c r="L26" i="24"/>
  <c r="Q27" i="31"/>
  <c r="R27" i="24"/>
  <c r="R27" i="31"/>
  <c r="L27" i="24"/>
  <c r="Q32" i="31"/>
  <c r="R32" i="24"/>
  <c r="R32" i="31"/>
  <c r="L32" i="24"/>
  <c r="Q33" i="31"/>
  <c r="R33" i="24"/>
  <c r="R33" i="31"/>
  <c r="L33" i="24"/>
  <c r="L18" i="24"/>
  <c r="R18" i="24"/>
  <c r="R18" i="31"/>
  <c r="Q18" i="31"/>
  <c r="F41" i="31"/>
  <c r="T41" i="31"/>
  <c r="L41" i="31"/>
  <c r="M41" i="31"/>
  <c r="N41" i="31"/>
  <c r="O41" i="31"/>
  <c r="P41" i="31"/>
  <c r="B41" i="31"/>
  <c r="I41" i="31"/>
  <c r="J41" i="31"/>
  <c r="K41" i="31"/>
  <c r="G41" i="31"/>
  <c r="F40" i="31"/>
  <c r="T40" i="31"/>
  <c r="L40" i="31"/>
  <c r="M40" i="31"/>
  <c r="N40" i="31"/>
  <c r="O40" i="31"/>
  <c r="P40" i="31"/>
  <c r="B40" i="31"/>
  <c r="I40" i="31"/>
  <c r="J40" i="31"/>
  <c r="K40" i="31"/>
  <c r="G40" i="31"/>
  <c r="F39" i="31"/>
  <c r="T39" i="31"/>
  <c r="L39" i="31"/>
  <c r="M39" i="31"/>
  <c r="N39" i="31"/>
  <c r="O39" i="31"/>
  <c r="P39" i="31"/>
  <c r="B39" i="31"/>
  <c r="I39" i="31"/>
  <c r="J39" i="31"/>
  <c r="K39" i="31"/>
  <c r="G39" i="31"/>
  <c r="F38" i="31"/>
  <c r="T38" i="31"/>
  <c r="L38" i="31"/>
  <c r="M38" i="31"/>
  <c r="N38" i="31"/>
  <c r="O38" i="31"/>
  <c r="P38" i="31"/>
  <c r="B38" i="31"/>
  <c r="I38" i="31"/>
  <c r="J38" i="31"/>
  <c r="K38" i="31"/>
  <c r="G38" i="31"/>
  <c r="F37" i="31"/>
  <c r="T37" i="31"/>
  <c r="L37" i="31"/>
  <c r="M37" i="31"/>
  <c r="N37" i="31"/>
  <c r="O37" i="31"/>
  <c r="P37" i="31"/>
  <c r="B37" i="31"/>
  <c r="I37" i="31"/>
  <c r="J37" i="31"/>
  <c r="K37" i="31"/>
  <c r="G37" i="31"/>
  <c r="F36" i="31"/>
  <c r="T36" i="31"/>
  <c r="L36" i="31"/>
  <c r="M36" i="31"/>
  <c r="N36" i="31"/>
  <c r="O36" i="31"/>
  <c r="P36" i="31"/>
  <c r="B36" i="31"/>
  <c r="I36" i="31"/>
  <c r="J36" i="31"/>
  <c r="K36" i="31"/>
  <c r="G36" i="31"/>
  <c r="F35" i="31"/>
  <c r="T35" i="31"/>
  <c r="L35" i="31"/>
  <c r="M35" i="31"/>
  <c r="N35" i="31"/>
  <c r="O35" i="31"/>
  <c r="P35" i="31"/>
  <c r="B35" i="31"/>
  <c r="I35" i="31"/>
  <c r="J35" i="31"/>
  <c r="K35" i="31"/>
  <c r="G35" i="31"/>
  <c r="F34" i="31"/>
  <c r="T34" i="31"/>
  <c r="L34" i="31"/>
  <c r="M34" i="31"/>
  <c r="N34" i="31"/>
  <c r="O34" i="31"/>
  <c r="P34" i="31"/>
  <c r="B34" i="31"/>
  <c r="I34" i="31"/>
  <c r="J34" i="31"/>
  <c r="K34" i="31"/>
  <c r="G34" i="31"/>
  <c r="F33" i="31"/>
  <c r="T33" i="31"/>
  <c r="L33" i="31"/>
  <c r="M33" i="31"/>
  <c r="N33" i="31"/>
  <c r="O33" i="31"/>
  <c r="P33" i="31"/>
  <c r="B33" i="31"/>
  <c r="I33" i="31"/>
  <c r="J33" i="31"/>
  <c r="K33" i="31"/>
  <c r="G33" i="31"/>
  <c r="F32" i="31"/>
  <c r="T32" i="31"/>
  <c r="L32" i="31"/>
  <c r="M32" i="31"/>
  <c r="N32" i="31"/>
  <c r="O32" i="31"/>
  <c r="P32" i="31"/>
  <c r="B32" i="31"/>
  <c r="I32" i="31"/>
  <c r="J32" i="31"/>
  <c r="K32" i="31"/>
  <c r="G32" i="31"/>
  <c r="F31" i="31"/>
  <c r="T31" i="31"/>
  <c r="L31" i="31"/>
  <c r="M31" i="31"/>
  <c r="N31" i="31"/>
  <c r="O31" i="31"/>
  <c r="P31" i="31"/>
  <c r="B31" i="31"/>
  <c r="I31" i="31"/>
  <c r="J31" i="31"/>
  <c r="K31" i="31"/>
  <c r="G31" i="31"/>
  <c r="F30" i="31"/>
  <c r="T30" i="31"/>
  <c r="L30" i="31"/>
  <c r="M30" i="31"/>
  <c r="N30" i="31"/>
  <c r="O30" i="31"/>
  <c r="P30" i="31"/>
  <c r="B30" i="31"/>
  <c r="I30" i="31"/>
  <c r="J30" i="31"/>
  <c r="K30" i="31"/>
  <c r="G30" i="31"/>
  <c r="F29" i="31"/>
  <c r="T29" i="31"/>
  <c r="L29" i="31"/>
  <c r="M29" i="31"/>
  <c r="N29" i="31"/>
  <c r="O29" i="31"/>
  <c r="P29" i="31"/>
  <c r="B29" i="31"/>
  <c r="I29" i="31"/>
  <c r="J29" i="31"/>
  <c r="K29" i="31"/>
  <c r="G29" i="31"/>
  <c r="F28" i="31"/>
  <c r="T28" i="31"/>
  <c r="L28" i="31"/>
  <c r="M28" i="31"/>
  <c r="N28" i="31"/>
  <c r="O28" i="31"/>
  <c r="P28" i="31"/>
  <c r="B28" i="31"/>
  <c r="I28" i="31"/>
  <c r="J28" i="31"/>
  <c r="K28" i="31"/>
  <c r="G28" i="31"/>
  <c r="F27" i="31"/>
  <c r="T27" i="31"/>
  <c r="L27" i="31"/>
  <c r="M27" i="31"/>
  <c r="N27" i="31"/>
  <c r="O27" i="31"/>
  <c r="P27" i="31"/>
  <c r="B27" i="31"/>
  <c r="I27" i="31"/>
  <c r="J27" i="31"/>
  <c r="K27" i="31"/>
  <c r="G27" i="31"/>
  <c r="F26" i="31"/>
  <c r="T26" i="31"/>
  <c r="L26" i="31"/>
  <c r="M26" i="31"/>
  <c r="N26" i="31"/>
  <c r="O26" i="31"/>
  <c r="P26" i="31"/>
  <c r="B26" i="31"/>
  <c r="I26" i="31"/>
  <c r="J26" i="31"/>
  <c r="K26" i="31"/>
  <c r="G26" i="31"/>
  <c r="F25" i="31"/>
  <c r="T25" i="31"/>
  <c r="L25" i="31"/>
  <c r="M25" i="31"/>
  <c r="N25" i="31"/>
  <c r="O25" i="31"/>
  <c r="P25" i="31"/>
  <c r="B25" i="31"/>
  <c r="I25" i="31"/>
  <c r="J25" i="31"/>
  <c r="K25" i="31"/>
  <c r="G25" i="31"/>
  <c r="F24" i="31"/>
  <c r="T24" i="31"/>
  <c r="L24" i="31"/>
  <c r="M24" i="31"/>
  <c r="N24" i="31"/>
  <c r="O24" i="31"/>
  <c r="P24" i="31"/>
  <c r="B24" i="31"/>
  <c r="I24" i="31"/>
  <c r="J24" i="31"/>
  <c r="K24" i="31"/>
  <c r="G24" i="31"/>
  <c r="F23" i="31"/>
  <c r="T23" i="31"/>
  <c r="L23" i="31"/>
  <c r="M23" i="31"/>
  <c r="N23" i="31"/>
  <c r="O23" i="31"/>
  <c r="P23" i="31"/>
  <c r="B23" i="31"/>
  <c r="I23" i="31"/>
  <c r="J23" i="31"/>
  <c r="K23" i="31"/>
  <c r="G23" i="31"/>
  <c r="F22" i="31"/>
  <c r="T22" i="31"/>
  <c r="L22" i="31"/>
  <c r="M22" i="31"/>
  <c r="N22" i="31"/>
  <c r="O22" i="31"/>
  <c r="P22" i="31"/>
  <c r="B22" i="31"/>
  <c r="I22" i="31"/>
  <c r="J22" i="31"/>
  <c r="K22" i="31"/>
  <c r="G22" i="31"/>
  <c r="F21" i="31"/>
  <c r="T21" i="31"/>
  <c r="L21" i="31"/>
  <c r="M21" i="31"/>
  <c r="N21" i="31"/>
  <c r="O21" i="31"/>
  <c r="P21" i="31"/>
  <c r="B21" i="31"/>
  <c r="I21" i="31"/>
  <c r="J21" i="31"/>
  <c r="K21" i="31"/>
  <c r="G21" i="31"/>
  <c r="F20" i="31"/>
  <c r="T20" i="31"/>
  <c r="L20" i="31"/>
  <c r="M20" i="31"/>
  <c r="N20" i="31"/>
  <c r="O20" i="31"/>
  <c r="P20" i="31"/>
  <c r="B20" i="31"/>
  <c r="I20" i="31"/>
  <c r="J20" i="31"/>
  <c r="K20" i="31"/>
  <c r="G20" i="31"/>
  <c r="F19" i="31"/>
  <c r="T19" i="31"/>
  <c r="L19" i="31"/>
  <c r="M19" i="31"/>
  <c r="N19" i="31"/>
  <c r="O19" i="31"/>
  <c r="P19" i="31"/>
  <c r="B19" i="31"/>
  <c r="I19" i="31"/>
  <c r="J19" i="31"/>
  <c r="K19" i="31"/>
  <c r="G19" i="31"/>
  <c r="F18" i="31"/>
  <c r="T18" i="31"/>
  <c r="L18" i="31"/>
  <c r="M18" i="31"/>
  <c r="N18" i="31"/>
  <c r="O18" i="31"/>
  <c r="P18" i="31"/>
  <c r="B18" i="31"/>
  <c r="I18" i="31"/>
  <c r="J18" i="31"/>
  <c r="K18" i="31"/>
  <c r="G18" i="31"/>
  <c r="L36" i="17"/>
  <c r="R36" i="17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4" i="22"/>
  <c r="L23" i="22"/>
  <c r="L22" i="22"/>
  <c r="L21" i="22"/>
  <c r="L20" i="22"/>
  <c r="L19" i="22"/>
  <c r="L18" i="22"/>
  <c r="L18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6" i="21"/>
  <c r="L37" i="21"/>
  <c r="L38" i="21"/>
  <c r="L39" i="21"/>
  <c r="O5" i="4"/>
  <c r="D5" i="4"/>
  <c r="I5" i="4"/>
  <c r="M5" i="4"/>
  <c r="Q5" i="4"/>
  <c r="B18" i="21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18" i="15"/>
  <c r="P87" i="4"/>
  <c r="H87" i="4"/>
  <c r="I87" i="4"/>
  <c r="E87" i="4"/>
  <c r="J87" i="4"/>
  <c r="N87" i="4"/>
  <c r="P85" i="4"/>
  <c r="H85" i="4"/>
  <c r="I85" i="4"/>
  <c r="E85" i="4"/>
  <c r="J85" i="4"/>
  <c r="N85" i="4"/>
  <c r="P83" i="4"/>
  <c r="H83" i="4"/>
  <c r="I83" i="4"/>
  <c r="E83" i="4"/>
  <c r="J83" i="4"/>
  <c r="N83" i="4"/>
  <c r="P81" i="4"/>
  <c r="H81" i="4"/>
  <c r="I81" i="4"/>
  <c r="E81" i="4"/>
  <c r="J81" i="4"/>
  <c r="N81" i="4"/>
  <c r="P79" i="4"/>
  <c r="H79" i="4"/>
  <c r="I79" i="4"/>
  <c r="E79" i="4"/>
  <c r="J79" i="4"/>
  <c r="N79" i="4"/>
  <c r="P77" i="4"/>
  <c r="H77" i="4"/>
  <c r="I77" i="4"/>
  <c r="E77" i="4"/>
  <c r="J77" i="4"/>
  <c r="N77" i="4"/>
  <c r="P75" i="4"/>
  <c r="H75" i="4"/>
  <c r="I75" i="4"/>
  <c r="E75" i="4"/>
  <c r="J75" i="4"/>
  <c r="N75" i="4"/>
  <c r="P73" i="4"/>
  <c r="H73" i="4"/>
  <c r="I73" i="4"/>
  <c r="E73" i="4"/>
  <c r="J73" i="4"/>
  <c r="N73" i="4"/>
  <c r="P71" i="4"/>
  <c r="H71" i="4"/>
  <c r="I71" i="4"/>
  <c r="E71" i="4"/>
  <c r="J71" i="4"/>
  <c r="N71" i="4"/>
  <c r="P69" i="4"/>
  <c r="H69" i="4"/>
  <c r="I69" i="4"/>
  <c r="E69" i="4"/>
  <c r="J69" i="4"/>
  <c r="N69" i="4"/>
  <c r="P67" i="4"/>
  <c r="H67" i="4"/>
  <c r="I67" i="4"/>
  <c r="E67" i="4"/>
  <c r="J67" i="4"/>
  <c r="N67" i="4"/>
  <c r="P65" i="4"/>
  <c r="H65" i="4"/>
  <c r="I65" i="4"/>
  <c r="E65" i="4"/>
  <c r="J65" i="4"/>
  <c r="N65" i="4"/>
  <c r="P62" i="4"/>
  <c r="H62" i="4"/>
  <c r="I62" i="4"/>
  <c r="E62" i="4"/>
  <c r="J62" i="4"/>
  <c r="N62" i="4"/>
  <c r="P60" i="4"/>
  <c r="H60" i="4"/>
  <c r="I60" i="4"/>
  <c r="E60" i="4"/>
  <c r="J60" i="4"/>
  <c r="N60" i="4"/>
  <c r="P58" i="4"/>
  <c r="H58" i="4"/>
  <c r="I58" i="4"/>
  <c r="E58" i="4"/>
  <c r="J58" i="4"/>
  <c r="N58" i="4"/>
  <c r="P56" i="4"/>
  <c r="H56" i="4"/>
  <c r="I56" i="4"/>
  <c r="E56" i="4"/>
  <c r="J56" i="4"/>
  <c r="N56" i="4"/>
  <c r="P54" i="4"/>
  <c r="H54" i="4"/>
  <c r="I54" i="4"/>
  <c r="E54" i="4"/>
  <c r="J54" i="4"/>
  <c r="N54" i="4"/>
  <c r="P52" i="4"/>
  <c r="H52" i="4"/>
  <c r="I52" i="4"/>
  <c r="E52" i="4"/>
  <c r="J52" i="4"/>
  <c r="N52" i="4"/>
  <c r="P50" i="4"/>
  <c r="H50" i="4"/>
  <c r="I50" i="4"/>
  <c r="E50" i="4"/>
  <c r="J50" i="4"/>
  <c r="N50" i="4"/>
  <c r="P48" i="4"/>
  <c r="H48" i="4"/>
  <c r="I48" i="4"/>
  <c r="E48" i="4"/>
  <c r="J48" i="4"/>
  <c r="N48" i="4"/>
  <c r="P46" i="4"/>
  <c r="H46" i="4"/>
  <c r="I46" i="4"/>
  <c r="E46" i="4"/>
  <c r="J46" i="4"/>
  <c r="N46" i="4"/>
  <c r="P44" i="4"/>
  <c r="H44" i="4"/>
  <c r="I44" i="4"/>
  <c r="E44" i="4"/>
  <c r="J44" i="4"/>
  <c r="N44" i="4"/>
  <c r="P42" i="4"/>
  <c r="H42" i="4"/>
  <c r="I42" i="4"/>
  <c r="E42" i="4"/>
  <c r="J42" i="4"/>
  <c r="N42" i="4"/>
  <c r="P40" i="4"/>
  <c r="H40" i="4"/>
  <c r="I40" i="4"/>
  <c r="E40" i="4"/>
  <c r="J40" i="4"/>
  <c r="N40" i="4"/>
  <c r="P38" i="4"/>
  <c r="H38" i="4"/>
  <c r="I38" i="4"/>
  <c r="E38" i="4"/>
  <c r="J38" i="4"/>
  <c r="N38" i="4"/>
  <c r="P36" i="4"/>
  <c r="H36" i="4"/>
  <c r="I36" i="4"/>
  <c r="E36" i="4"/>
  <c r="J36" i="4"/>
  <c r="N36" i="4"/>
  <c r="P34" i="4"/>
  <c r="H34" i="4"/>
  <c r="I34" i="4"/>
  <c r="E34" i="4"/>
  <c r="J34" i="4"/>
  <c r="N34" i="4"/>
  <c r="Q48" i="4"/>
  <c r="Q42" i="4"/>
  <c r="Q65" i="4"/>
  <c r="Q40" i="4"/>
  <c r="Q58" i="4"/>
  <c r="Q75" i="4"/>
  <c r="Q83" i="4"/>
  <c r="Q34" i="4"/>
  <c r="Q50" i="4"/>
  <c r="Q56" i="4"/>
  <c r="R67" i="4"/>
  <c r="Q73" i="4"/>
  <c r="Q81" i="4"/>
  <c r="R73" i="4"/>
  <c r="R58" i="4"/>
  <c r="R34" i="4"/>
  <c r="R42" i="4"/>
  <c r="R50" i="4"/>
  <c r="Q67" i="4"/>
  <c r="Q44" i="4"/>
  <c r="R44" i="4"/>
  <c r="R79" i="4"/>
  <c r="Q79" i="4"/>
  <c r="Q38" i="4"/>
  <c r="R38" i="4"/>
  <c r="R46" i="4"/>
  <c r="Q46" i="4"/>
  <c r="R54" i="4"/>
  <c r="Q54" i="4"/>
  <c r="R65" i="4"/>
  <c r="R71" i="4"/>
  <c r="Q71" i="4"/>
  <c r="R85" i="4"/>
  <c r="Q85" i="4"/>
  <c r="R40" i="4"/>
  <c r="R48" i="4"/>
  <c r="R56" i="4"/>
  <c r="R62" i="4"/>
  <c r="Q62" i="4"/>
  <c r="R77" i="4"/>
  <c r="Q77" i="4"/>
  <c r="R83" i="4"/>
  <c r="R69" i="4"/>
  <c r="Q69" i="4"/>
  <c r="R75" i="4"/>
  <c r="R81" i="4"/>
  <c r="R87" i="4"/>
  <c r="Q87" i="4"/>
  <c r="Q36" i="4"/>
  <c r="R36" i="4"/>
  <c r="R52" i="4"/>
  <c r="Q52" i="4"/>
  <c r="R60" i="4"/>
  <c r="Q60" i="4"/>
  <c r="M2" i="20"/>
  <c r="L2" i="20"/>
  <c r="M1" i="20"/>
  <c r="L1" i="20"/>
  <c r="J2" i="20"/>
  <c r="I2" i="20"/>
  <c r="H2" i="20"/>
  <c r="G2" i="20"/>
  <c r="F2" i="20"/>
  <c r="E2" i="20"/>
  <c r="D2" i="20"/>
  <c r="C2" i="20"/>
  <c r="B2" i="20"/>
  <c r="K1" i="20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J1" i="20"/>
  <c r="R39" i="24"/>
  <c r="I39" i="24"/>
  <c r="R38" i="24"/>
  <c r="I38" i="24"/>
  <c r="R37" i="24"/>
  <c r="I37" i="24"/>
  <c r="R36" i="24"/>
  <c r="I36" i="24"/>
  <c r="R35" i="24"/>
  <c r="I35" i="24"/>
  <c r="R34" i="24"/>
  <c r="I34" i="24"/>
  <c r="I33" i="24"/>
  <c r="I32" i="24"/>
  <c r="R31" i="24"/>
  <c r="I31" i="24"/>
  <c r="R30" i="24"/>
  <c r="I30" i="24"/>
  <c r="R29" i="24"/>
  <c r="I29" i="24"/>
  <c r="R28" i="24"/>
  <c r="I28" i="24"/>
  <c r="I27" i="24"/>
  <c r="I26" i="24"/>
  <c r="R25" i="24"/>
  <c r="I25" i="24"/>
  <c r="R24" i="24"/>
  <c r="I24" i="24"/>
  <c r="R23" i="24"/>
  <c r="I23" i="24"/>
  <c r="R22" i="24"/>
  <c r="I22" i="24"/>
  <c r="I21" i="24"/>
  <c r="I20" i="24"/>
  <c r="R19" i="24"/>
  <c r="I19" i="24"/>
  <c r="I18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I13" i="24"/>
  <c r="I1" i="20"/>
  <c r="H1" i="20"/>
  <c r="I12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5" i="24"/>
  <c r="G23" i="24"/>
  <c r="G26" i="24"/>
  <c r="G22" i="24"/>
  <c r="G21" i="24"/>
  <c r="G20" i="24"/>
  <c r="G19" i="24"/>
  <c r="G18" i="24"/>
  <c r="G24" i="24"/>
  <c r="R39" i="23"/>
  <c r="I39" i="23"/>
  <c r="B39" i="23"/>
  <c r="R38" i="23"/>
  <c r="I38" i="23"/>
  <c r="B38" i="23"/>
  <c r="R37" i="23"/>
  <c r="I37" i="23"/>
  <c r="B37" i="23"/>
  <c r="R36" i="23"/>
  <c r="I36" i="23"/>
  <c r="B36" i="23"/>
  <c r="R35" i="23"/>
  <c r="I35" i="23"/>
  <c r="B35" i="23"/>
  <c r="R34" i="23"/>
  <c r="I34" i="23"/>
  <c r="B34" i="23"/>
  <c r="R33" i="23"/>
  <c r="I33" i="23"/>
  <c r="B33" i="23"/>
  <c r="R32" i="23"/>
  <c r="I32" i="23"/>
  <c r="B32" i="23"/>
  <c r="J32" i="23"/>
  <c r="K32" i="23"/>
  <c r="R31" i="23"/>
  <c r="I31" i="23"/>
  <c r="B31" i="23"/>
  <c r="R30" i="23"/>
  <c r="I30" i="23"/>
  <c r="B30" i="23"/>
  <c r="R29" i="23"/>
  <c r="I29" i="23"/>
  <c r="B29" i="23"/>
  <c r="R28" i="23"/>
  <c r="I28" i="23"/>
  <c r="B28" i="23"/>
  <c r="J28" i="23"/>
  <c r="K28" i="23"/>
  <c r="R27" i="23"/>
  <c r="I27" i="23"/>
  <c r="B27" i="23"/>
  <c r="R26" i="23"/>
  <c r="I26" i="23"/>
  <c r="B26" i="23"/>
  <c r="R25" i="23"/>
  <c r="I25" i="23"/>
  <c r="B25" i="23"/>
  <c r="R24" i="23"/>
  <c r="I24" i="23"/>
  <c r="B24" i="23"/>
  <c r="R23" i="23"/>
  <c r="I23" i="23"/>
  <c r="B23" i="23"/>
  <c r="R22" i="23"/>
  <c r="I22" i="23"/>
  <c r="B22" i="23"/>
  <c r="R21" i="23"/>
  <c r="I21" i="23"/>
  <c r="B21" i="23"/>
  <c r="R20" i="23"/>
  <c r="I20" i="23"/>
  <c r="B20" i="23"/>
  <c r="R19" i="23"/>
  <c r="I19" i="23"/>
  <c r="B19" i="23"/>
  <c r="R18" i="23"/>
  <c r="I18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I12" i="23"/>
  <c r="J20" i="23"/>
  <c r="K20" i="23"/>
  <c r="J36" i="23"/>
  <c r="K36" i="23"/>
  <c r="J19" i="23"/>
  <c r="K19" i="23"/>
  <c r="J27" i="23"/>
  <c r="K27" i="23"/>
  <c r="J31" i="23"/>
  <c r="K31" i="23"/>
  <c r="J35" i="23"/>
  <c r="K35" i="23"/>
  <c r="J39" i="23"/>
  <c r="K39" i="23"/>
  <c r="J18" i="23"/>
  <c r="K18" i="23"/>
  <c r="J22" i="23"/>
  <c r="K22" i="23"/>
  <c r="J26" i="23"/>
  <c r="K26" i="23"/>
  <c r="J30" i="23"/>
  <c r="K30" i="23"/>
  <c r="J34" i="23"/>
  <c r="K34" i="23"/>
  <c r="J38" i="23"/>
  <c r="K38" i="23"/>
  <c r="J21" i="23"/>
  <c r="K21" i="23"/>
  <c r="J25" i="23"/>
  <c r="K25" i="23"/>
  <c r="J29" i="23"/>
  <c r="K29" i="23"/>
  <c r="J33" i="23"/>
  <c r="K33" i="23"/>
  <c r="J37" i="23"/>
  <c r="K37" i="23"/>
  <c r="J23" i="23"/>
  <c r="K23" i="23"/>
  <c r="I13" i="23"/>
  <c r="G39" i="23"/>
  <c r="J24" i="23"/>
  <c r="K24" i="23"/>
  <c r="I39" i="22"/>
  <c r="B39" i="22"/>
  <c r="I38" i="22"/>
  <c r="B38" i="22"/>
  <c r="I37" i="22"/>
  <c r="B37" i="22"/>
  <c r="I36" i="22"/>
  <c r="B36" i="22"/>
  <c r="I35" i="22"/>
  <c r="B35" i="22"/>
  <c r="I34" i="22"/>
  <c r="B34" i="22"/>
  <c r="I33" i="22"/>
  <c r="B33" i="22"/>
  <c r="I32" i="22"/>
  <c r="B32" i="22"/>
  <c r="I31" i="22"/>
  <c r="B31" i="22"/>
  <c r="I30" i="22"/>
  <c r="B30" i="22"/>
  <c r="I29" i="22"/>
  <c r="B29" i="22"/>
  <c r="I28" i="22"/>
  <c r="B28" i="22"/>
  <c r="I27" i="22"/>
  <c r="B27" i="22"/>
  <c r="I26" i="22"/>
  <c r="B26" i="22"/>
  <c r="I25" i="22"/>
  <c r="B25" i="22"/>
  <c r="I24" i="22"/>
  <c r="B24" i="22"/>
  <c r="I23" i="22"/>
  <c r="B23" i="22"/>
  <c r="I22" i="22"/>
  <c r="B22" i="22"/>
  <c r="I21" i="22"/>
  <c r="B21" i="22"/>
  <c r="I20" i="22"/>
  <c r="B20" i="22"/>
  <c r="I19" i="22"/>
  <c r="B19" i="22"/>
  <c r="I18" i="22"/>
  <c r="B18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G1" i="20"/>
  <c r="G24" i="23"/>
  <c r="J18" i="22"/>
  <c r="K18" i="22"/>
  <c r="J19" i="22"/>
  <c r="K19" i="22"/>
  <c r="J20" i="22"/>
  <c r="K20" i="22"/>
  <c r="J21" i="22"/>
  <c r="K21" i="22"/>
  <c r="J22" i="22"/>
  <c r="K22" i="22"/>
  <c r="J23" i="22"/>
  <c r="K23" i="22"/>
  <c r="J24" i="22"/>
  <c r="K24" i="22"/>
  <c r="J25" i="22"/>
  <c r="K25" i="22"/>
  <c r="J26" i="22"/>
  <c r="K26" i="22"/>
  <c r="J27" i="22"/>
  <c r="K27" i="22"/>
  <c r="J28" i="22"/>
  <c r="K28" i="22"/>
  <c r="J29" i="22"/>
  <c r="K29" i="22"/>
  <c r="J30" i="22"/>
  <c r="K30" i="22"/>
  <c r="J31" i="22"/>
  <c r="K31" i="22"/>
  <c r="J32" i="22"/>
  <c r="K32" i="22"/>
  <c r="J33" i="22"/>
  <c r="K33" i="22"/>
  <c r="J34" i="22"/>
  <c r="K34" i="22"/>
  <c r="J35" i="22"/>
  <c r="K35" i="22"/>
  <c r="J36" i="22"/>
  <c r="K36" i="22"/>
  <c r="J37" i="22"/>
  <c r="K37" i="22"/>
  <c r="J38" i="22"/>
  <c r="K38" i="22"/>
  <c r="J39" i="22"/>
  <c r="K39" i="22"/>
  <c r="G32" i="23"/>
  <c r="G36" i="23"/>
  <c r="G21" i="23"/>
  <c r="G28" i="23"/>
  <c r="G26" i="23"/>
  <c r="G18" i="23"/>
  <c r="G22" i="23"/>
  <c r="G29" i="23"/>
  <c r="G33" i="23"/>
  <c r="G37" i="23"/>
  <c r="G23" i="23"/>
  <c r="G19" i="23"/>
  <c r="G25" i="23"/>
  <c r="G30" i="23"/>
  <c r="G34" i="23"/>
  <c r="G38" i="23"/>
  <c r="G20" i="23"/>
  <c r="G27" i="23"/>
  <c r="G31" i="23"/>
  <c r="G35" i="23"/>
  <c r="I13" i="22"/>
  <c r="I12" i="22"/>
  <c r="I39" i="21"/>
  <c r="B39" i="21"/>
  <c r="I38" i="21"/>
  <c r="B38" i="21"/>
  <c r="I37" i="21"/>
  <c r="B37" i="21"/>
  <c r="I36" i="21"/>
  <c r="B36" i="21"/>
  <c r="J36" i="21"/>
  <c r="K36" i="21"/>
  <c r="I35" i="21"/>
  <c r="B35" i="21"/>
  <c r="I34" i="21"/>
  <c r="B34" i="21"/>
  <c r="I33" i="21"/>
  <c r="B33" i="21"/>
  <c r="I32" i="21"/>
  <c r="B32" i="21"/>
  <c r="I31" i="21"/>
  <c r="B31" i="21"/>
  <c r="I30" i="21"/>
  <c r="B30" i="21"/>
  <c r="I29" i="21"/>
  <c r="B29" i="21"/>
  <c r="I28" i="21"/>
  <c r="B28" i="21"/>
  <c r="I27" i="21"/>
  <c r="B27" i="21"/>
  <c r="I26" i="21"/>
  <c r="B26" i="21"/>
  <c r="I25" i="21"/>
  <c r="B25" i="21"/>
  <c r="I24" i="21"/>
  <c r="B24" i="21"/>
  <c r="I23" i="21"/>
  <c r="B23" i="21"/>
  <c r="I22" i="21"/>
  <c r="B22" i="21"/>
  <c r="I21" i="21"/>
  <c r="B21" i="21"/>
  <c r="I20" i="21"/>
  <c r="B20" i="21"/>
  <c r="I19" i="21"/>
  <c r="B19" i="21"/>
  <c r="I18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I12" i="21"/>
  <c r="J23" i="21"/>
  <c r="K23" i="21"/>
  <c r="J20" i="21"/>
  <c r="K20" i="21"/>
  <c r="J24" i="21"/>
  <c r="K24" i="21"/>
  <c r="J28" i="21"/>
  <c r="K28" i="21"/>
  <c r="J32" i="21"/>
  <c r="K32" i="21"/>
  <c r="F1" i="20"/>
  <c r="J21" i="21"/>
  <c r="K21" i="21"/>
  <c r="J25" i="21"/>
  <c r="K25" i="21"/>
  <c r="J37" i="21"/>
  <c r="K37" i="21"/>
  <c r="J19" i="21"/>
  <c r="K19" i="21"/>
  <c r="J31" i="21"/>
  <c r="K31" i="21"/>
  <c r="J18" i="21"/>
  <c r="K18" i="21"/>
  <c r="J22" i="21"/>
  <c r="K22" i="21"/>
  <c r="J26" i="21"/>
  <c r="K26" i="21"/>
  <c r="J30" i="21"/>
  <c r="K30" i="21"/>
  <c r="J34" i="21"/>
  <c r="K34" i="21"/>
  <c r="J38" i="21"/>
  <c r="K38" i="21"/>
  <c r="J39" i="21"/>
  <c r="K39" i="21"/>
  <c r="T18" i="23"/>
  <c r="G27" i="20"/>
  <c r="T22" i="23"/>
  <c r="G31" i="20"/>
  <c r="T26" i="23"/>
  <c r="G35" i="20"/>
  <c r="T30" i="23"/>
  <c r="G39" i="20"/>
  <c r="T34" i="23"/>
  <c r="G43" i="20"/>
  <c r="T38" i="23"/>
  <c r="G47" i="20"/>
  <c r="T19" i="23"/>
  <c r="G28" i="20"/>
  <c r="T23" i="23"/>
  <c r="G32" i="20"/>
  <c r="T27" i="23"/>
  <c r="G36" i="20"/>
  <c r="T31" i="23"/>
  <c r="G40" i="20"/>
  <c r="T35" i="23"/>
  <c r="G44" i="20"/>
  <c r="T39" i="23"/>
  <c r="G48" i="20"/>
  <c r="T20" i="23"/>
  <c r="G29" i="20"/>
  <c r="T24" i="23"/>
  <c r="G33" i="20"/>
  <c r="T28" i="23"/>
  <c r="G37" i="20"/>
  <c r="T32" i="23"/>
  <c r="G41" i="20"/>
  <c r="T36" i="23"/>
  <c r="G45" i="20"/>
  <c r="G49" i="20"/>
  <c r="T21" i="23"/>
  <c r="G30" i="20"/>
  <c r="T25" i="23"/>
  <c r="G34" i="20"/>
  <c r="T29" i="23"/>
  <c r="G38" i="20"/>
  <c r="T33" i="23"/>
  <c r="G42" i="20"/>
  <c r="T37" i="23"/>
  <c r="G46" i="20"/>
  <c r="G50" i="20"/>
  <c r="J27" i="21"/>
  <c r="K27" i="21"/>
  <c r="J29" i="21"/>
  <c r="K29" i="21"/>
  <c r="J33" i="21"/>
  <c r="K33" i="21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4" i="22"/>
  <c r="G22" i="22"/>
  <c r="G21" i="22"/>
  <c r="G20" i="22"/>
  <c r="G19" i="22"/>
  <c r="G18" i="22"/>
  <c r="G25" i="22"/>
  <c r="G23" i="22"/>
  <c r="I10" i="21"/>
  <c r="I13" i="21"/>
  <c r="G22" i="21"/>
  <c r="E1" i="20"/>
  <c r="G19" i="21"/>
  <c r="G29" i="21"/>
  <c r="G18" i="21"/>
  <c r="G26" i="21"/>
  <c r="G30" i="21"/>
  <c r="G38" i="21"/>
  <c r="G21" i="21"/>
  <c r="G24" i="21"/>
  <c r="G27" i="21"/>
  <c r="G31" i="21"/>
  <c r="G35" i="21"/>
  <c r="G39" i="21"/>
  <c r="G20" i="21"/>
  <c r="G28" i="21"/>
  <c r="G32" i="21"/>
  <c r="G36" i="21"/>
  <c r="G25" i="21"/>
  <c r="G37" i="21"/>
  <c r="G34" i="21"/>
  <c r="G23" i="21"/>
  <c r="G33" i="21"/>
  <c r="R39" i="17"/>
  <c r="I39" i="17"/>
  <c r="B39" i="17"/>
  <c r="R38" i="17"/>
  <c r="I38" i="17"/>
  <c r="B38" i="17"/>
  <c r="I37" i="17"/>
  <c r="B37" i="17"/>
  <c r="I36" i="17"/>
  <c r="B36" i="17"/>
  <c r="R35" i="17"/>
  <c r="I35" i="17"/>
  <c r="B35" i="17"/>
  <c r="R34" i="17"/>
  <c r="I34" i="17"/>
  <c r="B34" i="17"/>
  <c r="R33" i="17"/>
  <c r="I33" i="17"/>
  <c r="B33" i="17"/>
  <c r="R32" i="17"/>
  <c r="I32" i="17"/>
  <c r="B32" i="17"/>
  <c r="I31" i="17"/>
  <c r="B31" i="17"/>
  <c r="I30" i="17"/>
  <c r="B30" i="17"/>
  <c r="R29" i="17"/>
  <c r="I29" i="17"/>
  <c r="B29" i="17"/>
  <c r="R28" i="17"/>
  <c r="I28" i="17"/>
  <c r="B28" i="17"/>
  <c r="R27" i="17"/>
  <c r="I27" i="17"/>
  <c r="B27" i="17"/>
  <c r="R26" i="17"/>
  <c r="I26" i="17"/>
  <c r="B26" i="17"/>
  <c r="R25" i="17"/>
  <c r="I25" i="17"/>
  <c r="B25" i="17"/>
  <c r="R24" i="17"/>
  <c r="I24" i="17"/>
  <c r="B24" i="17"/>
  <c r="R23" i="17"/>
  <c r="I23" i="17"/>
  <c r="B23" i="17"/>
  <c r="R22" i="17"/>
  <c r="I22" i="17"/>
  <c r="B22" i="17"/>
  <c r="R21" i="17"/>
  <c r="I21" i="17"/>
  <c r="B21" i="17"/>
  <c r="R20" i="17"/>
  <c r="I20" i="17"/>
  <c r="B20" i="17"/>
  <c r="R19" i="17"/>
  <c r="I19" i="17"/>
  <c r="B19" i="17"/>
  <c r="R18" i="17"/>
  <c r="I18" i="17"/>
  <c r="B18" i="17"/>
  <c r="F15" i="17"/>
  <c r="F14" i="17"/>
  <c r="F13" i="17"/>
  <c r="F12" i="17"/>
  <c r="F11" i="17"/>
  <c r="F10" i="17"/>
  <c r="F3" i="17"/>
  <c r="F4" i="17"/>
  <c r="F5" i="17"/>
  <c r="F6" i="17"/>
  <c r="F7" i="17"/>
  <c r="F8" i="17"/>
  <c r="F9" i="17"/>
  <c r="I10" i="17"/>
  <c r="J18" i="17"/>
  <c r="K18" i="17"/>
  <c r="J19" i="17"/>
  <c r="K19" i="17"/>
  <c r="J20" i="17"/>
  <c r="K20" i="17"/>
  <c r="J21" i="17"/>
  <c r="K21" i="17"/>
  <c r="J22" i="17"/>
  <c r="K22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I13" i="17"/>
  <c r="I12" i="17"/>
  <c r="J24" i="17"/>
  <c r="K24" i="17"/>
  <c r="J23" i="17"/>
  <c r="K23" i="17"/>
  <c r="R39" i="16"/>
  <c r="I39" i="16"/>
  <c r="B39" i="16"/>
  <c r="R38" i="16"/>
  <c r="I38" i="16"/>
  <c r="B38" i="16"/>
  <c r="R37" i="16"/>
  <c r="I37" i="16"/>
  <c r="B37" i="16"/>
  <c r="R36" i="16"/>
  <c r="I36" i="16"/>
  <c r="B36" i="16"/>
  <c r="R35" i="16"/>
  <c r="I35" i="16"/>
  <c r="B35" i="16"/>
  <c r="R34" i="16"/>
  <c r="I34" i="16"/>
  <c r="B34" i="16"/>
  <c r="R33" i="16"/>
  <c r="I33" i="16"/>
  <c r="B33" i="16"/>
  <c r="R32" i="16"/>
  <c r="I32" i="16"/>
  <c r="B32" i="16"/>
  <c r="R31" i="16"/>
  <c r="I31" i="16"/>
  <c r="B31" i="16"/>
  <c r="R30" i="16"/>
  <c r="I30" i="16"/>
  <c r="B30" i="16"/>
  <c r="I29" i="16"/>
  <c r="B29" i="16"/>
  <c r="I28" i="16"/>
  <c r="B28" i="16"/>
  <c r="R27" i="16"/>
  <c r="I27" i="16"/>
  <c r="B27" i="16"/>
  <c r="R26" i="16"/>
  <c r="I26" i="16"/>
  <c r="B26" i="16"/>
  <c r="R25" i="16"/>
  <c r="I25" i="16"/>
  <c r="B25" i="16"/>
  <c r="R24" i="16"/>
  <c r="I24" i="16"/>
  <c r="B24" i="16"/>
  <c r="I23" i="16"/>
  <c r="B23" i="16"/>
  <c r="I22" i="16"/>
  <c r="B22" i="16"/>
  <c r="R21" i="16"/>
  <c r="I21" i="16"/>
  <c r="B21" i="16"/>
  <c r="R20" i="16"/>
  <c r="I20" i="16"/>
  <c r="B20" i="16"/>
  <c r="R19" i="16"/>
  <c r="I19" i="16"/>
  <c r="B19" i="16"/>
  <c r="R18" i="16"/>
  <c r="I18" i="16"/>
  <c r="B18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I12" i="16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I18" i="15"/>
  <c r="R18" i="15"/>
  <c r="I19" i="15"/>
  <c r="R19" i="15"/>
  <c r="I20" i="15"/>
  <c r="R20" i="15"/>
  <c r="I21" i="15"/>
  <c r="R21" i="15"/>
  <c r="I22" i="15"/>
  <c r="J22" i="15"/>
  <c r="K22" i="15"/>
  <c r="R22" i="15"/>
  <c r="I23" i="15"/>
  <c r="R23" i="15"/>
  <c r="I24" i="15"/>
  <c r="R24" i="15"/>
  <c r="I25" i="15"/>
  <c r="R25" i="15"/>
  <c r="I26" i="15"/>
  <c r="J26" i="15"/>
  <c r="K26" i="15"/>
  <c r="R26" i="15"/>
  <c r="I27" i="15"/>
  <c r="R27" i="15"/>
  <c r="I28" i="15"/>
  <c r="R28" i="15"/>
  <c r="I29" i="15"/>
  <c r="R29" i="15"/>
  <c r="I30" i="15"/>
  <c r="R30" i="15"/>
  <c r="I31" i="15"/>
  <c r="R31" i="15"/>
  <c r="I32" i="15"/>
  <c r="R32" i="15"/>
  <c r="I33" i="15"/>
  <c r="R33" i="15"/>
  <c r="I34" i="15"/>
  <c r="R34" i="15"/>
  <c r="I35" i="15"/>
  <c r="R35" i="15"/>
  <c r="I36" i="15"/>
  <c r="R36" i="15"/>
  <c r="I37" i="15"/>
  <c r="R37" i="15"/>
  <c r="I38" i="15"/>
  <c r="R38" i="15"/>
  <c r="I39" i="15"/>
  <c r="R39" i="15"/>
  <c r="J32" i="15"/>
  <c r="K32" i="15"/>
  <c r="J28" i="15"/>
  <c r="K28" i="15"/>
  <c r="J24" i="15"/>
  <c r="K24" i="15"/>
  <c r="J20" i="15"/>
  <c r="K20" i="15"/>
  <c r="J18" i="15"/>
  <c r="K18" i="15"/>
  <c r="J28" i="16"/>
  <c r="K28" i="16"/>
  <c r="L39" i="16"/>
  <c r="L31" i="16"/>
  <c r="L33" i="16"/>
  <c r="L36" i="16"/>
  <c r="L32" i="16"/>
  <c r="L35" i="16"/>
  <c r="D1" i="20"/>
  <c r="L37" i="16"/>
  <c r="L29" i="15"/>
  <c r="C1" i="20"/>
  <c r="J37" i="15"/>
  <c r="K37" i="15"/>
  <c r="J21" i="15"/>
  <c r="K21" i="15"/>
  <c r="J24" i="16"/>
  <c r="K24" i="16"/>
  <c r="J23" i="16"/>
  <c r="K23" i="16"/>
  <c r="J27" i="16"/>
  <c r="K27" i="16"/>
  <c r="J26" i="16"/>
  <c r="K26" i="16"/>
  <c r="J25" i="16"/>
  <c r="K25" i="16"/>
  <c r="J35" i="15"/>
  <c r="K35" i="15"/>
  <c r="L30" i="24"/>
  <c r="L30" i="23"/>
  <c r="L30" i="15"/>
  <c r="L30" i="16"/>
  <c r="L38" i="24"/>
  <c r="L38" i="23"/>
  <c r="L38" i="17"/>
  <c r="L34" i="24"/>
  <c r="L34" i="23"/>
  <c r="L34" i="17"/>
  <c r="L36" i="15"/>
  <c r="L32" i="15"/>
  <c r="L28" i="15"/>
  <c r="L34" i="16"/>
  <c r="L38" i="16"/>
  <c r="L37" i="24"/>
  <c r="L37" i="23"/>
  <c r="L33" i="23"/>
  <c r="L33" i="17"/>
  <c r="L37" i="15"/>
  <c r="L33" i="15"/>
  <c r="L36" i="24"/>
  <c r="L36" i="23"/>
  <c r="L32" i="23"/>
  <c r="L32" i="17"/>
  <c r="L29" i="24"/>
  <c r="L29" i="23"/>
  <c r="L29" i="17"/>
  <c r="L38" i="15"/>
  <c r="L34" i="15"/>
  <c r="L39" i="24"/>
  <c r="L39" i="23"/>
  <c r="L39" i="17"/>
  <c r="L35" i="24"/>
  <c r="L35" i="23"/>
  <c r="L35" i="17"/>
  <c r="L31" i="24"/>
  <c r="L31" i="23"/>
  <c r="L28" i="24"/>
  <c r="L28" i="23"/>
  <c r="L28" i="17"/>
  <c r="L39" i="15"/>
  <c r="L35" i="15"/>
  <c r="L31" i="15"/>
  <c r="J18" i="16"/>
  <c r="K18" i="16"/>
  <c r="J19" i="16"/>
  <c r="K19" i="16"/>
  <c r="J20" i="16"/>
  <c r="K20" i="16"/>
  <c r="J21" i="16"/>
  <c r="K21" i="16"/>
  <c r="J22" i="16"/>
  <c r="K22" i="16"/>
  <c r="J33" i="15"/>
  <c r="K33" i="15"/>
  <c r="J29" i="15"/>
  <c r="K29" i="15"/>
  <c r="J34" i="16"/>
  <c r="K34" i="16"/>
  <c r="J35" i="16"/>
  <c r="K35" i="16"/>
  <c r="J36" i="16"/>
  <c r="K36" i="16"/>
  <c r="J37" i="16"/>
  <c r="K37" i="16"/>
  <c r="J38" i="16"/>
  <c r="K38" i="16"/>
  <c r="J39" i="16"/>
  <c r="K39" i="16"/>
  <c r="J29" i="16"/>
  <c r="K29" i="16"/>
  <c r="J32" i="16"/>
  <c r="K32" i="16"/>
  <c r="J33" i="16"/>
  <c r="K33" i="16"/>
  <c r="J38" i="15"/>
  <c r="K38" i="15"/>
  <c r="J30" i="16"/>
  <c r="K30" i="16"/>
  <c r="J31" i="16"/>
  <c r="K31" i="16"/>
  <c r="D49" i="20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2" i="17"/>
  <c r="G21" i="17"/>
  <c r="G20" i="17"/>
  <c r="G19" i="17"/>
  <c r="G18" i="17"/>
  <c r="G23" i="17"/>
  <c r="D50" i="20"/>
  <c r="I10" i="16"/>
  <c r="I13" i="16"/>
  <c r="G39" i="16"/>
  <c r="J25" i="15"/>
  <c r="K25" i="15"/>
  <c r="J39" i="15"/>
  <c r="K39" i="15"/>
  <c r="J27" i="15"/>
  <c r="K27" i="15"/>
  <c r="J19" i="15"/>
  <c r="K19" i="15"/>
  <c r="J23" i="15"/>
  <c r="K23" i="15"/>
  <c r="J34" i="15"/>
  <c r="K34" i="15"/>
  <c r="J30" i="15"/>
  <c r="K30" i="15"/>
  <c r="J36" i="15"/>
  <c r="K36" i="15"/>
  <c r="D17" i="4"/>
  <c r="I17" i="4"/>
  <c r="M17" i="4"/>
  <c r="O17" i="4"/>
  <c r="P17" i="4"/>
  <c r="G17" i="4"/>
  <c r="H17" i="4"/>
  <c r="D18" i="4"/>
  <c r="I18" i="4"/>
  <c r="M18" i="4"/>
  <c r="G18" i="4"/>
  <c r="H18" i="4"/>
  <c r="O18" i="4"/>
  <c r="D19" i="4"/>
  <c r="I19" i="4"/>
  <c r="M19" i="4"/>
  <c r="G19" i="4"/>
  <c r="H19" i="4"/>
  <c r="O19" i="4"/>
  <c r="D20" i="4"/>
  <c r="I20" i="4"/>
  <c r="M20" i="4"/>
  <c r="G20" i="4"/>
  <c r="H20" i="4"/>
  <c r="O20" i="4"/>
  <c r="D21" i="4"/>
  <c r="I21" i="4"/>
  <c r="M21" i="4"/>
  <c r="G21" i="4"/>
  <c r="H21" i="4"/>
  <c r="O21" i="4"/>
  <c r="D22" i="4"/>
  <c r="I22" i="4"/>
  <c r="M22" i="4"/>
  <c r="G22" i="4"/>
  <c r="H22" i="4"/>
  <c r="O22" i="4"/>
  <c r="D23" i="4"/>
  <c r="I23" i="4"/>
  <c r="M23" i="4"/>
  <c r="G23" i="4"/>
  <c r="H23" i="4"/>
  <c r="O23" i="4"/>
  <c r="D24" i="4"/>
  <c r="I24" i="4"/>
  <c r="M24" i="4"/>
  <c r="G24" i="4"/>
  <c r="H24" i="4"/>
  <c r="O24" i="4"/>
  <c r="D25" i="4"/>
  <c r="I25" i="4"/>
  <c r="M25" i="4"/>
  <c r="G25" i="4"/>
  <c r="H25" i="4"/>
  <c r="O25" i="4"/>
  <c r="D26" i="4"/>
  <c r="I26" i="4"/>
  <c r="M26" i="4"/>
  <c r="G26" i="4"/>
  <c r="H26" i="4"/>
  <c r="O26" i="4"/>
  <c r="D27" i="4"/>
  <c r="I27" i="4"/>
  <c r="M27" i="4"/>
  <c r="G27" i="4"/>
  <c r="H27" i="4"/>
  <c r="O27" i="4"/>
  <c r="D28" i="4"/>
  <c r="I28" i="4"/>
  <c r="M28" i="4"/>
  <c r="G28" i="4"/>
  <c r="H28" i="4"/>
  <c r="O28" i="4"/>
  <c r="D29" i="4"/>
  <c r="I29" i="4"/>
  <c r="M29" i="4"/>
  <c r="G29" i="4"/>
  <c r="H29" i="4"/>
  <c r="O29" i="4"/>
  <c r="D30" i="4"/>
  <c r="I30" i="4"/>
  <c r="M30" i="4"/>
  <c r="G30" i="4"/>
  <c r="H30" i="4"/>
  <c r="O30" i="4"/>
  <c r="D31" i="4"/>
  <c r="I31" i="4"/>
  <c r="M31" i="4"/>
  <c r="G31" i="4"/>
  <c r="H31" i="4"/>
  <c r="O31" i="4"/>
  <c r="E21" i="2"/>
  <c r="I21" i="2"/>
  <c r="G21" i="2"/>
  <c r="H21" i="2"/>
  <c r="Q21" i="2"/>
  <c r="R21" i="2"/>
  <c r="L21" i="2"/>
  <c r="M21" i="2"/>
  <c r="E22" i="2"/>
  <c r="G22" i="2"/>
  <c r="H22" i="2"/>
  <c r="Q22" i="2"/>
  <c r="R22" i="2"/>
  <c r="I22" i="2"/>
  <c r="L22" i="2"/>
  <c r="M22" i="2"/>
  <c r="N22" i="2"/>
  <c r="O22" i="2"/>
  <c r="S22" i="2"/>
  <c r="E23" i="2"/>
  <c r="I23" i="2"/>
  <c r="G23" i="2"/>
  <c r="H23" i="2"/>
  <c r="L23" i="2"/>
  <c r="M23" i="2"/>
  <c r="N23" i="2"/>
  <c r="O23" i="2"/>
  <c r="Q23" i="2"/>
  <c r="R23" i="2"/>
  <c r="E24" i="2"/>
  <c r="I24" i="2"/>
  <c r="G24" i="2"/>
  <c r="H24" i="2"/>
  <c r="Q24" i="2"/>
  <c r="R24" i="2"/>
  <c r="L24" i="2"/>
  <c r="M24" i="2"/>
  <c r="N24" i="2"/>
  <c r="O24" i="2"/>
  <c r="S24" i="2"/>
  <c r="E25" i="2"/>
  <c r="I25" i="2"/>
  <c r="G25" i="2"/>
  <c r="H25" i="2"/>
  <c r="Q25" i="2"/>
  <c r="R25" i="2"/>
  <c r="L25" i="2"/>
  <c r="M25" i="2"/>
  <c r="N25" i="2"/>
  <c r="O25" i="2"/>
  <c r="E26" i="2"/>
  <c r="G26" i="2"/>
  <c r="H26" i="2"/>
  <c r="M26" i="2"/>
  <c r="N26" i="2"/>
  <c r="O26" i="2"/>
  <c r="I26" i="2"/>
  <c r="L26" i="2"/>
  <c r="E27" i="2"/>
  <c r="I27" i="2"/>
  <c r="G27" i="2"/>
  <c r="H27" i="2"/>
  <c r="L27" i="2"/>
  <c r="M27" i="2"/>
  <c r="N27" i="2"/>
  <c r="O27" i="2"/>
  <c r="Q27" i="2"/>
  <c r="R27" i="2"/>
  <c r="E28" i="2"/>
  <c r="I28" i="2"/>
  <c r="G28" i="2"/>
  <c r="H28" i="2"/>
  <c r="Q28" i="2"/>
  <c r="R28" i="2"/>
  <c r="L28" i="2"/>
  <c r="M28" i="2"/>
  <c r="N28" i="2"/>
  <c r="O28" i="2"/>
  <c r="S28" i="2"/>
  <c r="Q30" i="4"/>
  <c r="T30" i="4"/>
  <c r="U30" i="23"/>
  <c r="U28" i="23"/>
  <c r="U31" i="23"/>
  <c r="U35" i="23"/>
  <c r="U39" i="23"/>
  <c r="U33" i="23"/>
  <c r="U37" i="23"/>
  <c r="U34" i="23"/>
  <c r="U38" i="23"/>
  <c r="U29" i="23"/>
  <c r="U32" i="23"/>
  <c r="U36" i="23"/>
  <c r="G33" i="16"/>
  <c r="G25" i="16"/>
  <c r="G32" i="16"/>
  <c r="G38" i="16"/>
  <c r="G20" i="16"/>
  <c r="G21" i="16"/>
  <c r="G28" i="16"/>
  <c r="G36" i="16"/>
  <c r="G26" i="16"/>
  <c r="G22" i="16"/>
  <c r="G30" i="16"/>
  <c r="G37" i="16"/>
  <c r="G18" i="16"/>
  <c r="G24" i="16"/>
  <c r="G29" i="16"/>
  <c r="G34" i="16"/>
  <c r="G19" i="16"/>
  <c r="G23" i="16"/>
  <c r="G27" i="16"/>
  <c r="G31" i="16"/>
  <c r="G35" i="16"/>
  <c r="P21" i="4"/>
  <c r="P18" i="4"/>
  <c r="Q26" i="4"/>
  <c r="T26" i="4"/>
  <c r="Q25" i="4"/>
  <c r="T25" i="4"/>
  <c r="P30" i="4"/>
  <c r="P29" i="4"/>
  <c r="P26" i="4"/>
  <c r="P25" i="4"/>
  <c r="Q22" i="4"/>
  <c r="T22" i="4"/>
  <c r="P22" i="4"/>
  <c r="Q18" i="4"/>
  <c r="T18" i="4"/>
  <c r="Q29" i="4"/>
  <c r="T29" i="4"/>
  <c r="Q21" i="4"/>
  <c r="T21" i="4"/>
  <c r="Q17" i="4"/>
  <c r="T17" i="4"/>
  <c r="Q31" i="4"/>
  <c r="T31" i="4"/>
  <c r="P31" i="4"/>
  <c r="P27" i="4"/>
  <c r="Q27" i="4"/>
  <c r="T27" i="4"/>
  <c r="Q23" i="4"/>
  <c r="T23" i="4"/>
  <c r="P23" i="4"/>
  <c r="P19" i="4"/>
  <c r="Q19" i="4"/>
  <c r="T19" i="4"/>
  <c r="P28" i="4"/>
  <c r="Q28" i="4"/>
  <c r="T28" i="4"/>
  <c r="P24" i="4"/>
  <c r="Q24" i="4"/>
  <c r="T24" i="4"/>
  <c r="Q20" i="4"/>
  <c r="T20" i="4"/>
  <c r="P20" i="4"/>
  <c r="S27" i="2"/>
  <c r="S23" i="2"/>
  <c r="S25" i="2"/>
  <c r="N21" i="2"/>
  <c r="O21" i="2"/>
  <c r="S21" i="2"/>
  <c r="Q26" i="2"/>
  <c r="R26" i="2"/>
  <c r="S26" i="2"/>
  <c r="L15" i="20"/>
  <c r="L18" i="20"/>
  <c r="L21" i="20"/>
  <c r="L13" i="20"/>
  <c r="L14" i="20"/>
  <c r="M16" i="20"/>
  <c r="M19" i="20"/>
  <c r="L16" i="20"/>
  <c r="M18" i="20"/>
  <c r="M21" i="20"/>
  <c r="M13" i="20"/>
  <c r="M22" i="20"/>
  <c r="M15" i="20"/>
  <c r="M23" i="20"/>
  <c r="L17" i="20"/>
  <c r="L20" i="20"/>
  <c r="L22" i="20"/>
  <c r="M24" i="20"/>
  <c r="L23" i="20"/>
  <c r="L24" i="20"/>
  <c r="L19" i="20"/>
  <c r="M17" i="20"/>
  <c r="M20" i="20"/>
  <c r="M14" i="20"/>
  <c r="G17" i="20"/>
  <c r="P32" i="23"/>
  <c r="S32" i="23"/>
  <c r="G23" i="20"/>
  <c r="P38" i="23"/>
  <c r="S38" i="23"/>
  <c r="G18" i="20"/>
  <c r="P33" i="23"/>
  <c r="S33" i="23"/>
  <c r="G20" i="20"/>
  <c r="P35" i="23"/>
  <c r="S35" i="23"/>
  <c r="G13" i="20"/>
  <c r="P28" i="23"/>
  <c r="S28" i="23"/>
  <c r="G21" i="20"/>
  <c r="P36" i="23"/>
  <c r="S36" i="23"/>
  <c r="G14" i="20"/>
  <c r="P29" i="23"/>
  <c r="S29" i="23"/>
  <c r="G19" i="20"/>
  <c r="P34" i="23"/>
  <c r="S34" i="23"/>
  <c r="G22" i="20"/>
  <c r="P37" i="23"/>
  <c r="S37" i="23"/>
  <c r="G24" i="20"/>
  <c r="P39" i="23"/>
  <c r="S39" i="23"/>
  <c r="G16" i="20"/>
  <c r="P31" i="23"/>
  <c r="S31" i="23"/>
  <c r="G15" i="20"/>
  <c r="P30" i="23"/>
  <c r="S30" i="23"/>
  <c r="F15" i="15"/>
  <c r="J31" i="15"/>
  <c r="K31" i="15"/>
  <c r="F14" i="15"/>
  <c r="F13" i="15"/>
  <c r="F12" i="15"/>
  <c r="F11" i="15"/>
  <c r="F10" i="15"/>
  <c r="F9" i="15"/>
  <c r="F8" i="15"/>
  <c r="F7" i="15"/>
  <c r="F6" i="15"/>
  <c r="F5" i="15"/>
  <c r="F4" i="15"/>
  <c r="F3" i="15"/>
  <c r="D6" i="4"/>
  <c r="I6" i="4"/>
  <c r="D7" i="4"/>
  <c r="I7" i="4"/>
  <c r="D8" i="4"/>
  <c r="I8" i="4"/>
  <c r="D9" i="4"/>
  <c r="I9" i="4"/>
  <c r="D10" i="4"/>
  <c r="I10" i="4"/>
  <c r="D11" i="4"/>
  <c r="I11" i="4"/>
  <c r="M11" i="4"/>
  <c r="D12" i="4"/>
  <c r="I12" i="4"/>
  <c r="M12" i="4"/>
  <c r="D13" i="4"/>
  <c r="I13" i="4"/>
  <c r="M13" i="4"/>
  <c r="D14" i="4"/>
  <c r="I14" i="4"/>
  <c r="M14" i="4"/>
  <c r="D15" i="4"/>
  <c r="I15" i="4"/>
  <c r="M15" i="4"/>
  <c r="D16" i="4"/>
  <c r="I16" i="4"/>
  <c r="M16" i="4"/>
  <c r="X4" i="4"/>
  <c r="G5" i="4"/>
  <c r="H5" i="4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5" i="2"/>
  <c r="I8" i="2"/>
  <c r="I9" i="2"/>
  <c r="I12" i="2"/>
  <c r="I16" i="2"/>
  <c r="I20" i="2"/>
  <c r="G9" i="4"/>
  <c r="H9" i="4"/>
  <c r="G10" i="4"/>
  <c r="H10" i="4"/>
  <c r="G12" i="4"/>
  <c r="H12" i="4"/>
  <c r="G16" i="4"/>
  <c r="H16" i="4"/>
  <c r="O16" i="4"/>
  <c r="O15" i="4"/>
  <c r="O14" i="4"/>
  <c r="O13" i="4"/>
  <c r="O12" i="4"/>
  <c r="O11" i="4"/>
  <c r="G11" i="4"/>
  <c r="H11" i="4"/>
  <c r="O10" i="4"/>
  <c r="O9" i="4"/>
  <c r="O8" i="4"/>
  <c r="O7" i="4"/>
  <c r="O6" i="4"/>
  <c r="G7" i="4"/>
  <c r="H7" i="4"/>
  <c r="G13" i="4"/>
  <c r="H13" i="4"/>
  <c r="G14" i="4"/>
  <c r="H14" i="4"/>
  <c r="G6" i="4"/>
  <c r="H6" i="4"/>
  <c r="G8" i="4"/>
  <c r="H8" i="4"/>
  <c r="G15" i="4"/>
  <c r="H15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L20" i="23"/>
  <c r="L20" i="17"/>
  <c r="L20" i="16"/>
  <c r="L20" i="15"/>
  <c r="L24" i="24"/>
  <c r="L24" i="23"/>
  <c r="L24" i="17"/>
  <c r="L24" i="16"/>
  <c r="L24" i="15"/>
  <c r="L27" i="23"/>
  <c r="L27" i="17"/>
  <c r="L27" i="16"/>
  <c r="L27" i="15"/>
  <c r="L21" i="23"/>
  <c r="L21" i="17"/>
  <c r="L21" i="16"/>
  <c r="L21" i="15"/>
  <c r="L18" i="23"/>
  <c r="L18" i="17"/>
  <c r="L18" i="16"/>
  <c r="L18" i="15"/>
  <c r="L22" i="24"/>
  <c r="L22" i="23"/>
  <c r="L22" i="17"/>
  <c r="L22" i="15"/>
  <c r="L26" i="23"/>
  <c r="L26" i="17"/>
  <c r="L26" i="16"/>
  <c r="L26" i="15"/>
  <c r="L19" i="24"/>
  <c r="L19" i="23"/>
  <c r="L19" i="17"/>
  <c r="L19" i="16"/>
  <c r="L19" i="15"/>
  <c r="L23" i="24"/>
  <c r="L23" i="23"/>
  <c r="L23" i="17"/>
  <c r="L23" i="15"/>
  <c r="L25" i="24"/>
  <c r="L25" i="23"/>
  <c r="L25" i="17"/>
  <c r="L25" i="16"/>
  <c r="L25" i="15"/>
  <c r="I10" i="15"/>
  <c r="I13" i="15"/>
  <c r="I12" i="15"/>
  <c r="X6" i="4"/>
  <c r="M7" i="4"/>
  <c r="M10" i="4"/>
  <c r="X9" i="4"/>
  <c r="M6" i="4"/>
  <c r="X5" i="4"/>
  <c r="M9" i="4"/>
  <c r="X8" i="4"/>
  <c r="X7" i="4"/>
  <c r="M8" i="4"/>
  <c r="P13" i="4"/>
  <c r="Q13" i="4"/>
  <c r="T13" i="4"/>
  <c r="P12" i="4"/>
  <c r="Q12" i="4"/>
  <c r="T12" i="4"/>
  <c r="P16" i="4"/>
  <c r="Q16" i="4"/>
  <c r="T16" i="4"/>
  <c r="P15" i="4"/>
  <c r="Q15" i="4"/>
  <c r="T15" i="4"/>
  <c r="P14" i="4"/>
  <c r="Q14" i="4"/>
  <c r="T14" i="4"/>
  <c r="P11" i="4"/>
  <c r="Q11" i="4"/>
  <c r="T11" i="4"/>
  <c r="B1" i="20"/>
  <c r="U23" i="23"/>
  <c r="U22" i="23"/>
  <c r="U21" i="23"/>
  <c r="U24" i="23"/>
  <c r="U25" i="23"/>
  <c r="U19" i="23"/>
  <c r="U26" i="23"/>
  <c r="U18" i="23"/>
  <c r="U27" i="23"/>
  <c r="U20" i="23"/>
  <c r="G35" i="15"/>
  <c r="G20" i="15"/>
  <c r="G24" i="15"/>
  <c r="G28" i="15"/>
  <c r="G21" i="15"/>
  <c r="G25" i="15"/>
  <c r="G29" i="15"/>
  <c r="G39" i="15"/>
  <c r="G18" i="15"/>
  <c r="G22" i="15"/>
  <c r="G26" i="15"/>
  <c r="G37" i="15"/>
  <c r="G38" i="15"/>
  <c r="G19" i="15"/>
  <c r="G23" i="15"/>
  <c r="G27" i="15"/>
  <c r="G31" i="15"/>
  <c r="G32" i="15"/>
  <c r="G33" i="15"/>
  <c r="G34" i="15"/>
  <c r="G36" i="15"/>
  <c r="G30" i="15"/>
  <c r="Q9" i="4"/>
  <c r="T9" i="4"/>
  <c r="P9" i="4"/>
  <c r="Q6" i="4"/>
  <c r="T6" i="4"/>
  <c r="P6" i="4"/>
  <c r="P8" i="4"/>
  <c r="Q8" i="4"/>
  <c r="T8" i="4"/>
  <c r="P5" i="4"/>
  <c r="T5" i="4"/>
  <c r="P10" i="4"/>
  <c r="Q10" i="4"/>
  <c r="T10" i="4"/>
  <c r="Q7" i="4"/>
  <c r="T7" i="4"/>
  <c r="P7" i="4"/>
  <c r="L4" i="20"/>
  <c r="L8" i="20"/>
  <c r="L11" i="20"/>
  <c r="M5" i="20"/>
  <c r="L3" i="20"/>
  <c r="L5" i="20"/>
  <c r="L10" i="20"/>
  <c r="M6" i="20"/>
  <c r="M9" i="20"/>
  <c r="M12" i="20"/>
  <c r="L6" i="20"/>
  <c r="M3" i="20"/>
  <c r="L9" i="20"/>
  <c r="M7" i="20"/>
  <c r="M4" i="20"/>
  <c r="L12" i="20"/>
  <c r="M8" i="20"/>
  <c r="M11" i="20"/>
  <c r="M10" i="20"/>
  <c r="L7" i="20"/>
  <c r="G6" i="20"/>
  <c r="P21" i="23"/>
  <c r="S21" i="23"/>
  <c r="G9" i="20"/>
  <c r="P24" i="23"/>
  <c r="S24" i="23"/>
  <c r="G5" i="20"/>
  <c r="P20" i="23"/>
  <c r="S20" i="23"/>
  <c r="G12" i="20"/>
  <c r="P27" i="23"/>
  <c r="S27" i="23"/>
  <c r="G3" i="20"/>
  <c r="P18" i="23"/>
  <c r="S18" i="23"/>
  <c r="G11" i="20"/>
  <c r="P26" i="23"/>
  <c r="S26" i="23"/>
  <c r="G4" i="20"/>
  <c r="P19" i="23"/>
  <c r="S19" i="23"/>
  <c r="G7" i="20"/>
  <c r="P22" i="23"/>
  <c r="S22" i="23"/>
  <c r="G10" i="20"/>
  <c r="P25" i="23"/>
  <c r="S25" i="23"/>
  <c r="G8" i="20"/>
  <c r="P23" i="23"/>
  <c r="S23" i="23"/>
  <c r="I9" i="15"/>
  <c r="F36" i="15"/>
  <c r="M36" i="15"/>
  <c r="N36" i="15"/>
  <c r="O36" i="15"/>
  <c r="V36" i="15"/>
  <c r="W36" i="15"/>
  <c r="Y36" i="15"/>
  <c r="X36" i="15"/>
  <c r="Z36" i="15"/>
  <c r="F39" i="15"/>
  <c r="M39" i="15"/>
  <c r="N39" i="15"/>
  <c r="O39" i="15"/>
  <c r="V39" i="15"/>
  <c r="X39" i="15"/>
  <c r="Z39" i="15"/>
  <c r="W39" i="15"/>
  <c r="Y39" i="15"/>
  <c r="F35" i="15"/>
  <c r="M35" i="15"/>
  <c r="N35" i="15"/>
  <c r="O35" i="15"/>
  <c r="V35" i="15"/>
  <c r="X35" i="15"/>
  <c r="Z35" i="15"/>
  <c r="W35" i="15"/>
  <c r="Y35" i="15"/>
  <c r="F34" i="15"/>
  <c r="M34" i="15"/>
  <c r="N34" i="15"/>
  <c r="O34" i="15"/>
  <c r="V34" i="15"/>
  <c r="W34" i="15"/>
  <c r="Y34" i="15"/>
  <c r="X34" i="15"/>
  <c r="Z34" i="15"/>
  <c r="F25" i="15"/>
  <c r="M25" i="15"/>
  <c r="N25" i="15"/>
  <c r="O25" i="15"/>
  <c r="V25" i="15"/>
  <c r="X25" i="15"/>
  <c r="Z25" i="15"/>
  <c r="W25" i="15"/>
  <c r="Y25" i="15"/>
  <c r="F24" i="15"/>
  <c r="M24" i="15"/>
  <c r="N24" i="15"/>
  <c r="O24" i="15"/>
  <c r="V24" i="15"/>
  <c r="W24" i="15"/>
  <c r="Y24" i="15"/>
  <c r="X24" i="15"/>
  <c r="Z24" i="15"/>
  <c r="F31" i="15"/>
  <c r="M31" i="15"/>
  <c r="N31" i="15"/>
  <c r="O31" i="15"/>
  <c r="V31" i="15"/>
  <c r="X31" i="15"/>
  <c r="Z31" i="15"/>
  <c r="W31" i="15"/>
  <c r="Y31" i="15"/>
  <c r="F28" i="15"/>
  <c r="M28" i="15"/>
  <c r="N28" i="15"/>
  <c r="O28" i="15"/>
  <c r="V28" i="15"/>
  <c r="W28" i="15"/>
  <c r="Y28" i="15"/>
  <c r="X28" i="15"/>
  <c r="Z28" i="15"/>
  <c r="F32" i="15"/>
  <c r="M32" i="15"/>
  <c r="N32" i="15"/>
  <c r="O32" i="15"/>
  <c r="V32" i="15"/>
  <c r="W32" i="15"/>
  <c r="Y32" i="15"/>
  <c r="X32" i="15"/>
  <c r="Z32" i="15"/>
  <c r="F30" i="15"/>
  <c r="M30" i="15"/>
  <c r="N30" i="15"/>
  <c r="O30" i="15"/>
  <c r="V30" i="15"/>
  <c r="W30" i="15"/>
  <c r="Y30" i="15"/>
  <c r="X30" i="15"/>
  <c r="Z30" i="15"/>
  <c r="F38" i="15"/>
  <c r="M38" i="15"/>
  <c r="N38" i="15"/>
  <c r="O38" i="15"/>
  <c r="V38" i="15"/>
  <c r="W38" i="15"/>
  <c r="Y38" i="15"/>
  <c r="X38" i="15"/>
  <c r="Z38" i="15"/>
  <c r="F27" i="15"/>
  <c r="M27" i="15"/>
  <c r="N27" i="15"/>
  <c r="O27" i="15"/>
  <c r="V27" i="15"/>
  <c r="X27" i="15"/>
  <c r="Z27" i="15"/>
  <c r="W27" i="15"/>
  <c r="Y27" i="15"/>
  <c r="F29" i="15"/>
  <c r="M29" i="15"/>
  <c r="N29" i="15"/>
  <c r="O29" i="15"/>
  <c r="V29" i="15"/>
  <c r="X29" i="15"/>
  <c r="Z29" i="15"/>
  <c r="W29" i="15"/>
  <c r="Y29" i="15"/>
  <c r="F37" i="15"/>
  <c r="M37" i="15"/>
  <c r="N37" i="15"/>
  <c r="O37" i="15"/>
  <c r="V37" i="15"/>
  <c r="X37" i="15"/>
  <c r="Z37" i="15"/>
  <c r="W37" i="15"/>
  <c r="Y37" i="15"/>
  <c r="F21" i="15"/>
  <c r="M21" i="15"/>
  <c r="N21" i="15"/>
  <c r="O21" i="15"/>
  <c r="V21" i="15"/>
  <c r="X21" i="15"/>
  <c r="Z21" i="15"/>
  <c r="W21" i="15"/>
  <c r="Y21" i="15"/>
  <c r="F26" i="15"/>
  <c r="M26" i="15"/>
  <c r="N26" i="15"/>
  <c r="O26" i="15"/>
  <c r="V26" i="15"/>
  <c r="W26" i="15"/>
  <c r="Y26" i="15"/>
  <c r="X26" i="15"/>
  <c r="Z26" i="15"/>
  <c r="F20" i="15"/>
  <c r="M20" i="15"/>
  <c r="N20" i="15"/>
  <c r="O20" i="15"/>
  <c r="V20" i="15"/>
  <c r="W20" i="15"/>
  <c r="Y20" i="15"/>
  <c r="X20" i="15"/>
  <c r="Z20" i="15"/>
  <c r="F18" i="15"/>
  <c r="M18" i="15"/>
  <c r="N18" i="15"/>
  <c r="O18" i="15"/>
  <c r="V18" i="15"/>
  <c r="W18" i="15"/>
  <c r="Y18" i="15"/>
  <c r="X18" i="15"/>
  <c r="Z18" i="15"/>
  <c r="F19" i="15"/>
  <c r="M19" i="15"/>
  <c r="N19" i="15"/>
  <c r="O19" i="15"/>
  <c r="V19" i="15"/>
  <c r="X19" i="15"/>
  <c r="Z19" i="15"/>
  <c r="W19" i="15"/>
  <c r="Y19" i="15"/>
  <c r="F23" i="15"/>
  <c r="M23" i="15"/>
  <c r="N23" i="15"/>
  <c r="O23" i="15"/>
  <c r="V23" i="15"/>
  <c r="X23" i="15"/>
  <c r="Z23" i="15"/>
  <c r="W23" i="15"/>
  <c r="Y23" i="15"/>
  <c r="F33" i="15"/>
  <c r="M33" i="15"/>
  <c r="N33" i="15"/>
  <c r="O33" i="15"/>
  <c r="V33" i="15"/>
  <c r="X33" i="15"/>
  <c r="Z33" i="15"/>
  <c r="W33" i="15"/>
  <c r="Y33" i="15"/>
  <c r="F22" i="15"/>
  <c r="M22" i="15"/>
  <c r="N22" i="15"/>
  <c r="O22" i="15"/>
  <c r="V22" i="15"/>
  <c r="W22" i="15"/>
  <c r="Y22" i="15"/>
  <c r="X22" i="15"/>
  <c r="Z22" i="15"/>
  <c r="P31" i="15"/>
  <c r="S31" i="15"/>
  <c r="P26" i="15"/>
  <c r="S26" i="15"/>
  <c r="P24" i="15"/>
  <c r="S24" i="15"/>
  <c r="P25" i="15"/>
  <c r="S25" i="15"/>
  <c r="P37" i="15"/>
  <c r="S37" i="15"/>
  <c r="P22" i="15"/>
  <c r="S22" i="15"/>
  <c r="P28" i="15"/>
  <c r="S28" i="15"/>
  <c r="P32" i="15"/>
  <c r="S32" i="15"/>
  <c r="P29" i="15"/>
  <c r="S29" i="15"/>
  <c r="P20" i="15"/>
  <c r="S20" i="15"/>
  <c r="P21" i="15"/>
  <c r="S21" i="15"/>
  <c r="P34" i="15"/>
  <c r="S34" i="15"/>
  <c r="P27" i="15"/>
  <c r="S27" i="15"/>
  <c r="P35" i="15"/>
  <c r="S35" i="15"/>
  <c r="P19" i="15"/>
  <c r="S19" i="15"/>
  <c r="P33" i="15"/>
  <c r="S33" i="15"/>
  <c r="P38" i="15"/>
  <c r="S38" i="15"/>
  <c r="P39" i="15"/>
  <c r="S39" i="15"/>
  <c r="P30" i="15"/>
  <c r="S30" i="15"/>
  <c r="P23" i="15"/>
  <c r="S23" i="15"/>
  <c r="P18" i="15"/>
  <c r="S18" i="15"/>
  <c r="P36" i="15"/>
  <c r="S36" i="15"/>
  <c r="B18" i="20"/>
  <c r="U33" i="15"/>
  <c r="B22" i="20"/>
  <c r="U37" i="15"/>
  <c r="U36" i="15"/>
  <c r="B21" i="20"/>
  <c r="B4" i="20"/>
  <c r="U19" i="15"/>
  <c r="B10" i="20"/>
  <c r="U25" i="15"/>
  <c r="B20" i="20"/>
  <c r="U35" i="15"/>
  <c r="U21" i="15"/>
  <c r="B6" i="20"/>
  <c r="B9" i="20"/>
  <c r="U24" i="15"/>
  <c r="B12" i="20"/>
  <c r="U27" i="15"/>
  <c r="U18" i="15"/>
  <c r="B3" i="20"/>
  <c r="U20" i="15"/>
  <c r="B5" i="20"/>
  <c r="U23" i="15"/>
  <c r="B8" i="20"/>
  <c r="U29" i="15"/>
  <c r="B14" i="20"/>
  <c r="U30" i="15"/>
  <c r="B15" i="20"/>
  <c r="U32" i="15"/>
  <c r="B17" i="20"/>
  <c r="B11" i="20"/>
  <c r="U26" i="15"/>
  <c r="U28" i="15"/>
  <c r="B13" i="20"/>
  <c r="B16" i="20"/>
  <c r="U31" i="15"/>
  <c r="U22" i="15"/>
  <c r="B7" i="20"/>
  <c r="U39" i="15"/>
  <c r="B24" i="20"/>
  <c r="B19" i="20"/>
  <c r="U34" i="15"/>
  <c r="U38" i="15"/>
  <c r="B23" i="20"/>
  <c r="T18" i="15"/>
  <c r="B27" i="20"/>
  <c r="T38" i="15"/>
  <c r="B47" i="20"/>
  <c r="T27" i="15"/>
  <c r="B36" i="20"/>
  <c r="T34" i="15"/>
  <c r="B43" i="20"/>
  <c r="T24" i="15"/>
  <c r="B33" i="20"/>
  <c r="T39" i="15"/>
  <c r="B48" i="20"/>
  <c r="T21" i="15"/>
  <c r="B30" i="20"/>
  <c r="T22" i="15"/>
  <c r="B31" i="20"/>
  <c r="B50" i="20"/>
  <c r="T31" i="15"/>
  <c r="B40" i="20"/>
  <c r="T35" i="15"/>
  <c r="B44" i="20"/>
  <c r="T28" i="15"/>
  <c r="B37" i="20"/>
  <c r="T25" i="15"/>
  <c r="B34" i="20"/>
  <c r="T26" i="15"/>
  <c r="B35" i="20"/>
  <c r="T19" i="15"/>
  <c r="B28" i="20"/>
  <c r="T32" i="15"/>
  <c r="B41" i="20"/>
  <c r="T36" i="15"/>
  <c r="B45" i="20"/>
  <c r="T30" i="15"/>
  <c r="B39" i="20"/>
  <c r="B49" i="20"/>
  <c r="T29" i="15"/>
  <c r="B38" i="20"/>
  <c r="T37" i="15"/>
  <c r="B46" i="20"/>
  <c r="T23" i="15"/>
  <c r="B32" i="20"/>
  <c r="T33" i="15"/>
  <c r="B42" i="20"/>
  <c r="T20" i="15"/>
  <c r="B29" i="20"/>
  <c r="AB18" i="15"/>
  <c r="AB39" i="15"/>
  <c r="AB38" i="15"/>
  <c r="AB37" i="15"/>
  <c r="AB36" i="15"/>
  <c r="AB35" i="15"/>
  <c r="AB34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D18" i="15"/>
  <c r="AD39" i="15"/>
  <c r="AD38" i="15"/>
  <c r="AD37" i="15"/>
  <c r="AD36" i="15"/>
  <c r="AD35" i="15"/>
  <c r="AD34" i="15"/>
  <c r="AD33" i="15"/>
  <c r="AD32" i="15"/>
  <c r="AD31" i="15"/>
  <c r="AD30" i="15"/>
  <c r="AD29" i="15"/>
  <c r="AD28" i="15"/>
  <c r="AD27" i="15"/>
  <c r="AD26" i="15"/>
  <c r="AD25" i="15"/>
  <c r="AD24" i="15"/>
  <c r="AD23" i="15"/>
  <c r="AD22" i="15"/>
  <c r="AD21" i="15"/>
  <c r="AD20" i="15"/>
  <c r="AD19" i="15"/>
  <c r="C50" i="20"/>
  <c r="C49" i="20"/>
  <c r="E49" i="20"/>
  <c r="E50" i="20"/>
  <c r="J50" i="20"/>
  <c r="J49" i="20"/>
  <c r="K3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I9" i="21"/>
  <c r="F19" i="21"/>
  <c r="M19" i="21"/>
  <c r="N19" i="21"/>
  <c r="O19" i="21"/>
  <c r="V19" i="21"/>
  <c r="F20" i="21"/>
  <c r="M20" i="21"/>
  <c r="N20" i="21"/>
  <c r="O20" i="21"/>
  <c r="V20" i="21"/>
  <c r="F21" i="21"/>
  <c r="M21" i="21"/>
  <c r="N21" i="21"/>
  <c r="O21" i="21"/>
  <c r="V21" i="21"/>
  <c r="F24" i="21"/>
  <c r="M24" i="21"/>
  <c r="N24" i="21"/>
  <c r="O24" i="21"/>
  <c r="V24" i="21"/>
  <c r="F25" i="21"/>
  <c r="M25" i="21"/>
  <c r="N25" i="21"/>
  <c r="O25" i="21"/>
  <c r="V25" i="21"/>
  <c r="F26" i="21"/>
  <c r="M26" i="21"/>
  <c r="N26" i="21"/>
  <c r="O26" i="21"/>
  <c r="V26" i="21"/>
  <c r="F27" i="21"/>
  <c r="M27" i="21"/>
  <c r="N27" i="21"/>
  <c r="O27" i="21"/>
  <c r="V27" i="21"/>
  <c r="F32" i="21"/>
  <c r="M32" i="21"/>
  <c r="N32" i="21"/>
  <c r="O32" i="21"/>
  <c r="V32" i="21"/>
  <c r="F33" i="21"/>
  <c r="M33" i="21"/>
  <c r="N33" i="21"/>
  <c r="O33" i="21"/>
  <c r="V33" i="21"/>
  <c r="F34" i="21"/>
  <c r="M34" i="21"/>
  <c r="N34" i="21"/>
  <c r="O34" i="21"/>
  <c r="V34" i="21"/>
  <c r="F35" i="21"/>
  <c r="M35" i="21"/>
  <c r="N35" i="21"/>
  <c r="O35" i="21"/>
  <c r="F38" i="21"/>
  <c r="M38" i="21"/>
  <c r="N38" i="21"/>
  <c r="O38" i="21"/>
  <c r="V38" i="21"/>
  <c r="F39" i="21"/>
  <c r="M39" i="21"/>
  <c r="N39" i="21"/>
  <c r="O39" i="21"/>
  <c r="V39" i="21"/>
  <c r="F18" i="21"/>
  <c r="M18" i="21"/>
  <c r="N18" i="21"/>
  <c r="O18" i="21"/>
  <c r="V18" i="21"/>
  <c r="F22" i="21"/>
  <c r="M22" i="21"/>
  <c r="N22" i="21"/>
  <c r="F23" i="21"/>
  <c r="M23" i="21"/>
  <c r="N23" i="21"/>
  <c r="F28" i="21"/>
  <c r="M28" i="21"/>
  <c r="N28" i="21"/>
  <c r="F29" i="21"/>
  <c r="M29" i="21"/>
  <c r="N29" i="21"/>
  <c r="F30" i="21"/>
  <c r="M30" i="21"/>
  <c r="N30" i="21"/>
  <c r="F31" i="21"/>
  <c r="M31" i="21"/>
  <c r="N31" i="21"/>
  <c r="F37" i="21"/>
  <c r="M37" i="21"/>
  <c r="N37" i="21"/>
  <c r="O23" i="21"/>
  <c r="V23" i="21"/>
  <c r="O22" i="21"/>
  <c r="V22" i="21"/>
  <c r="P27" i="21"/>
  <c r="S27" i="21"/>
  <c r="E12" i="20"/>
  <c r="P20" i="21"/>
  <c r="S20" i="21"/>
  <c r="E5" i="20"/>
  <c r="E4" i="20"/>
  <c r="P18" i="21"/>
  <c r="S18" i="21"/>
  <c r="E3" i="20"/>
  <c r="E11" i="20"/>
  <c r="P26" i="21"/>
  <c r="S26" i="21"/>
  <c r="P25" i="21"/>
  <c r="S25" i="21"/>
  <c r="E10" i="20"/>
  <c r="P23" i="21"/>
  <c r="S23" i="21"/>
  <c r="E8" i="20"/>
  <c r="P22" i="21"/>
  <c r="S22" i="21"/>
  <c r="E7" i="20"/>
  <c r="P21" i="21"/>
  <c r="S21" i="21"/>
  <c r="E6" i="20"/>
  <c r="P24" i="21"/>
  <c r="S24" i="21"/>
  <c r="E9" i="20"/>
  <c r="U24" i="21"/>
  <c r="U21" i="21"/>
  <c r="U22" i="21"/>
  <c r="U23" i="21"/>
  <c r="U19" i="21"/>
  <c r="U25" i="21"/>
  <c r="U20" i="21"/>
  <c r="U27" i="21"/>
  <c r="U18" i="21"/>
  <c r="U26" i="21"/>
  <c r="P33" i="21"/>
  <c r="S33" i="21"/>
  <c r="E18" i="20"/>
  <c r="O37" i="21"/>
  <c r="P37" i="21"/>
  <c r="S37" i="21"/>
  <c r="E22" i="20"/>
  <c r="E19" i="20"/>
  <c r="P38" i="21"/>
  <c r="S38" i="21"/>
  <c r="E23" i="20"/>
  <c r="E20" i="20"/>
  <c r="P39" i="21"/>
  <c r="S39" i="21"/>
  <c r="E24" i="20"/>
  <c r="O28" i="21"/>
  <c r="P28" i="21"/>
  <c r="S28" i="21"/>
  <c r="E13" i="20"/>
  <c r="O31" i="21"/>
  <c r="P31" i="21"/>
  <c r="S31" i="21"/>
  <c r="E16" i="20"/>
  <c r="O29" i="21"/>
  <c r="P29" i="21"/>
  <c r="S29" i="21"/>
  <c r="E14" i="20"/>
  <c r="P32" i="21"/>
  <c r="S32" i="21"/>
  <c r="E17" i="20"/>
  <c r="F36" i="21"/>
  <c r="M36" i="21"/>
  <c r="N36" i="21"/>
  <c r="O36" i="21"/>
  <c r="P36" i="21"/>
  <c r="S36" i="21"/>
  <c r="E21" i="20"/>
  <c r="O30" i="21"/>
  <c r="P30" i="21"/>
  <c r="S30" i="21"/>
  <c r="E15" i="20"/>
  <c r="U39" i="21"/>
  <c r="U35" i="21"/>
  <c r="U28" i="21"/>
  <c r="U30" i="21"/>
  <c r="U36" i="21"/>
  <c r="U32" i="21"/>
  <c r="U29" i="21"/>
  <c r="U38" i="21"/>
  <c r="U34" i="21"/>
  <c r="U37" i="21"/>
  <c r="U33" i="21"/>
  <c r="U31" i="21"/>
  <c r="T29" i="21"/>
  <c r="E38" i="20"/>
  <c r="T33" i="21"/>
  <c r="E42" i="20"/>
  <c r="T21" i="21"/>
  <c r="E30" i="20"/>
  <c r="T37" i="21"/>
  <c r="E46" i="20"/>
  <c r="T25" i="21"/>
  <c r="E34" i="20"/>
  <c r="T20" i="21"/>
  <c r="E29" i="20"/>
  <c r="T22" i="21"/>
  <c r="E31" i="20"/>
  <c r="T32" i="21"/>
  <c r="E41" i="20"/>
  <c r="T18" i="21"/>
  <c r="E27" i="20"/>
  <c r="T34" i="21"/>
  <c r="E43" i="20"/>
  <c r="T39" i="21"/>
  <c r="E48" i="20"/>
  <c r="T24" i="21"/>
  <c r="E33" i="20"/>
  <c r="T28" i="21"/>
  <c r="E37" i="20"/>
  <c r="T38" i="21"/>
  <c r="E47" i="20"/>
  <c r="T27" i="21"/>
  <c r="E36" i="20"/>
  <c r="T36" i="21"/>
  <c r="E45" i="20"/>
  <c r="T31" i="21"/>
  <c r="E40" i="20"/>
  <c r="T26" i="21"/>
  <c r="E35" i="20"/>
  <c r="T23" i="21"/>
  <c r="E32" i="20"/>
  <c r="T30" i="21"/>
  <c r="E39" i="20"/>
  <c r="T19" i="21"/>
  <c r="E28" i="20"/>
  <c r="T35" i="21"/>
  <c r="E44" i="20"/>
  <c r="V37" i="21"/>
  <c r="V36" i="21"/>
  <c r="V31" i="21"/>
  <c r="V30" i="21"/>
  <c r="V29" i="21"/>
  <c r="V28" i="21"/>
  <c r="P19" i="21"/>
  <c r="S19" i="21"/>
  <c r="S19" i="31"/>
  <c r="P34" i="21"/>
  <c r="S34" i="21"/>
  <c r="S34" i="31"/>
  <c r="P35" i="21"/>
  <c r="S35" i="21"/>
  <c r="S35" i="31"/>
  <c r="I9" i="16"/>
  <c r="F29" i="16"/>
  <c r="M29" i="16"/>
  <c r="N29" i="16"/>
  <c r="O29" i="16"/>
  <c r="P29" i="16"/>
  <c r="S29" i="16"/>
  <c r="S29" i="31"/>
  <c r="F28" i="16"/>
  <c r="M28" i="16"/>
  <c r="N28" i="16"/>
  <c r="O28" i="16"/>
  <c r="P28" i="16"/>
  <c r="S28" i="16"/>
  <c r="S28" i="31"/>
  <c r="F23" i="16"/>
  <c r="M23" i="16"/>
  <c r="N23" i="16"/>
  <c r="O23" i="16"/>
  <c r="P23" i="16"/>
  <c r="S23" i="16"/>
  <c r="S23" i="31"/>
  <c r="F22" i="16"/>
  <c r="M22" i="16"/>
  <c r="N22" i="16"/>
  <c r="O22" i="16"/>
  <c r="P22" i="16"/>
  <c r="S22" i="16"/>
  <c r="S22" i="31"/>
  <c r="F24" i="16"/>
  <c r="M24" i="16"/>
  <c r="N24" i="16"/>
  <c r="O24" i="16"/>
  <c r="V24" i="16"/>
  <c r="X24" i="16"/>
  <c r="Z24" i="16"/>
  <c r="W24" i="16"/>
  <c r="Y24" i="16"/>
  <c r="F20" i="16"/>
  <c r="M20" i="16"/>
  <c r="N20" i="16"/>
  <c r="O20" i="16"/>
  <c r="V20" i="16"/>
  <c r="X20" i="16"/>
  <c r="Z20" i="16"/>
  <c r="W20" i="16"/>
  <c r="Y20" i="16"/>
  <c r="F26" i="16"/>
  <c r="M26" i="16"/>
  <c r="N26" i="16"/>
  <c r="O26" i="16"/>
  <c r="V26" i="16"/>
  <c r="X26" i="16"/>
  <c r="Z26" i="16"/>
  <c r="W26" i="16"/>
  <c r="Y26" i="16"/>
  <c r="F25" i="16"/>
  <c r="M25" i="16"/>
  <c r="N25" i="16"/>
  <c r="O25" i="16"/>
  <c r="V25" i="16"/>
  <c r="X25" i="16"/>
  <c r="Z25" i="16"/>
  <c r="W25" i="16"/>
  <c r="Y25" i="16"/>
  <c r="V23" i="16"/>
  <c r="W23" i="16"/>
  <c r="Y23" i="16"/>
  <c r="X23" i="16"/>
  <c r="Z23" i="16"/>
  <c r="F18" i="16"/>
  <c r="M18" i="16"/>
  <c r="N18" i="16"/>
  <c r="O18" i="16"/>
  <c r="V18" i="16"/>
  <c r="X18" i="16"/>
  <c r="Z18" i="16"/>
  <c r="W18" i="16"/>
  <c r="Y18" i="16"/>
  <c r="F19" i="16"/>
  <c r="M19" i="16"/>
  <c r="N19" i="16"/>
  <c r="O19" i="16"/>
  <c r="V19" i="16"/>
  <c r="X19" i="16"/>
  <c r="Z19" i="16"/>
  <c r="W19" i="16"/>
  <c r="Y19" i="16"/>
  <c r="F21" i="16"/>
  <c r="M21" i="16"/>
  <c r="N21" i="16"/>
  <c r="O21" i="16"/>
  <c r="V21" i="16"/>
  <c r="X21" i="16"/>
  <c r="Z21" i="16"/>
  <c r="W21" i="16"/>
  <c r="Y21" i="16"/>
  <c r="F27" i="16"/>
  <c r="M27" i="16"/>
  <c r="N27" i="16"/>
  <c r="O27" i="16"/>
  <c r="V27" i="16"/>
  <c r="X27" i="16"/>
  <c r="Z27" i="16"/>
  <c r="W27" i="16"/>
  <c r="Y27" i="16"/>
  <c r="V22" i="16"/>
  <c r="X22" i="16"/>
  <c r="Z22" i="16"/>
  <c r="W22" i="16"/>
  <c r="Y22" i="16"/>
  <c r="P27" i="16"/>
  <c r="S27" i="16"/>
  <c r="C12" i="20"/>
  <c r="P20" i="16"/>
  <c r="S20" i="16"/>
  <c r="C5" i="20"/>
  <c r="C8" i="20"/>
  <c r="C7" i="20"/>
  <c r="P21" i="16"/>
  <c r="S21" i="16"/>
  <c r="C6" i="20"/>
  <c r="P24" i="16"/>
  <c r="S24" i="16"/>
  <c r="C9" i="20"/>
  <c r="P25" i="16"/>
  <c r="S25" i="16"/>
  <c r="C10" i="20"/>
  <c r="P19" i="16"/>
  <c r="S19" i="16"/>
  <c r="C4" i="20"/>
  <c r="P26" i="16"/>
  <c r="S26" i="16"/>
  <c r="C11" i="20"/>
  <c r="P18" i="16"/>
  <c r="S18" i="16"/>
  <c r="C3" i="20"/>
  <c r="U20" i="16"/>
  <c r="U27" i="16"/>
  <c r="U18" i="16"/>
  <c r="U26" i="16"/>
  <c r="U19" i="16"/>
  <c r="U25" i="16"/>
  <c r="U24" i="16"/>
  <c r="U21" i="16"/>
  <c r="U22" i="16"/>
  <c r="U23" i="16"/>
  <c r="F30" i="16"/>
  <c r="M30" i="16"/>
  <c r="N30" i="16"/>
  <c r="O30" i="16"/>
  <c r="V30" i="16"/>
  <c r="X30" i="16"/>
  <c r="Z30" i="16"/>
  <c r="W30" i="16"/>
  <c r="Y30" i="16"/>
  <c r="F35" i="16"/>
  <c r="M35" i="16"/>
  <c r="N35" i="16"/>
  <c r="O35" i="16"/>
  <c r="V35" i="16"/>
  <c r="W35" i="16"/>
  <c r="Y35" i="16"/>
  <c r="X35" i="16"/>
  <c r="Z35" i="16"/>
  <c r="V29" i="16"/>
  <c r="X29" i="16"/>
  <c r="Z29" i="16"/>
  <c r="W29" i="16"/>
  <c r="Y29" i="16"/>
  <c r="F34" i="16"/>
  <c r="M34" i="16"/>
  <c r="N34" i="16"/>
  <c r="O34" i="16"/>
  <c r="V34" i="16"/>
  <c r="X34" i="16"/>
  <c r="Z34" i="16"/>
  <c r="W34" i="16"/>
  <c r="Y34" i="16"/>
  <c r="V28" i="16"/>
  <c r="X28" i="16"/>
  <c r="Z28" i="16"/>
  <c r="W28" i="16"/>
  <c r="Y28" i="16"/>
  <c r="F33" i="16"/>
  <c r="M33" i="16"/>
  <c r="N33" i="16"/>
  <c r="O33" i="16"/>
  <c r="V33" i="16"/>
  <c r="W33" i="16"/>
  <c r="Y33" i="16"/>
  <c r="X33" i="16"/>
  <c r="Z33" i="16"/>
  <c r="F32" i="16"/>
  <c r="M32" i="16"/>
  <c r="N32" i="16"/>
  <c r="O32" i="16"/>
  <c r="V32" i="16"/>
  <c r="W32" i="16"/>
  <c r="Y32" i="16"/>
  <c r="X32" i="16"/>
  <c r="Z32" i="16"/>
  <c r="F37" i="16"/>
  <c r="M37" i="16"/>
  <c r="N37" i="16"/>
  <c r="O37" i="16"/>
  <c r="V37" i="16"/>
  <c r="X37" i="16"/>
  <c r="Z37" i="16"/>
  <c r="W37" i="16"/>
  <c r="Y37" i="16"/>
  <c r="F36" i="16"/>
  <c r="M36" i="16"/>
  <c r="N36" i="16"/>
  <c r="O36" i="16"/>
  <c r="V36" i="16"/>
  <c r="W36" i="16"/>
  <c r="Y36" i="16"/>
  <c r="X36" i="16"/>
  <c r="Z36" i="16"/>
  <c r="F31" i="16"/>
  <c r="M31" i="16"/>
  <c r="N31" i="16"/>
  <c r="O31" i="16"/>
  <c r="V31" i="16"/>
  <c r="X31" i="16"/>
  <c r="Z31" i="16"/>
  <c r="W31" i="16"/>
  <c r="Y31" i="16"/>
  <c r="F39" i="16"/>
  <c r="M39" i="16"/>
  <c r="N39" i="16"/>
  <c r="O39" i="16"/>
  <c r="V39" i="16"/>
  <c r="W39" i="16"/>
  <c r="Y39" i="16"/>
  <c r="X39" i="16"/>
  <c r="Z39" i="16"/>
  <c r="F38" i="16"/>
  <c r="M38" i="16"/>
  <c r="N38" i="16"/>
  <c r="O38" i="16"/>
  <c r="V38" i="16"/>
  <c r="X38" i="16"/>
  <c r="Z38" i="16"/>
  <c r="W38" i="16"/>
  <c r="Y38" i="16"/>
  <c r="P37" i="16"/>
  <c r="S37" i="16"/>
  <c r="P32" i="16"/>
  <c r="S32" i="16"/>
  <c r="P38" i="16"/>
  <c r="S38" i="16"/>
  <c r="P33" i="16"/>
  <c r="S33" i="16"/>
  <c r="P39" i="16"/>
  <c r="S39" i="16"/>
  <c r="P34" i="16"/>
  <c r="S34" i="16"/>
  <c r="P31" i="16"/>
  <c r="S31" i="16"/>
  <c r="P35" i="16"/>
  <c r="S35" i="16"/>
  <c r="P30" i="16"/>
  <c r="S30" i="16"/>
  <c r="P36" i="16"/>
  <c r="S36" i="16"/>
  <c r="C13" i="20"/>
  <c r="U28" i="16"/>
  <c r="C21" i="20"/>
  <c r="U36" i="16"/>
  <c r="C18" i="20"/>
  <c r="U33" i="16"/>
  <c r="C15" i="20"/>
  <c r="U30" i="16"/>
  <c r="C23" i="20"/>
  <c r="U38" i="16"/>
  <c r="C20" i="20"/>
  <c r="U35" i="16"/>
  <c r="C16" i="20"/>
  <c r="U31" i="16"/>
  <c r="C17" i="20"/>
  <c r="U32" i="16"/>
  <c r="C14" i="20"/>
  <c r="U29" i="16"/>
  <c r="C22" i="20"/>
  <c r="U37" i="16"/>
  <c r="C19" i="20"/>
  <c r="U34" i="16"/>
  <c r="C24" i="20"/>
  <c r="U39" i="16"/>
  <c r="T39" i="16"/>
  <c r="C48" i="20"/>
  <c r="T35" i="16"/>
  <c r="C44" i="20"/>
  <c r="T31" i="16"/>
  <c r="C40" i="20"/>
  <c r="T27" i="16"/>
  <c r="C36" i="20"/>
  <c r="T23" i="16"/>
  <c r="C32" i="20"/>
  <c r="T19" i="16"/>
  <c r="C28" i="20"/>
  <c r="T38" i="16"/>
  <c r="C47" i="20"/>
  <c r="T34" i="16"/>
  <c r="C43" i="20"/>
  <c r="T30" i="16"/>
  <c r="C39" i="20"/>
  <c r="T26" i="16"/>
  <c r="C35" i="20"/>
  <c r="T22" i="16"/>
  <c r="C31" i="20"/>
  <c r="T18" i="16"/>
  <c r="C27" i="20"/>
  <c r="T37" i="16"/>
  <c r="C46" i="20"/>
  <c r="T33" i="16"/>
  <c r="C42" i="20"/>
  <c r="T29" i="16"/>
  <c r="C38" i="20"/>
  <c r="T25" i="16"/>
  <c r="C34" i="20"/>
  <c r="T21" i="16"/>
  <c r="C30" i="20"/>
  <c r="T36" i="16"/>
  <c r="C45" i="20"/>
  <c r="T32" i="16"/>
  <c r="C41" i="20"/>
  <c r="T28" i="16"/>
  <c r="C37" i="20"/>
  <c r="T24" i="16"/>
  <c r="C33" i="20"/>
  <c r="T20" i="16"/>
  <c r="C29" i="20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D39" i="16"/>
  <c r="AD38" i="16"/>
  <c r="AD37" i="16"/>
  <c r="AD36" i="16"/>
  <c r="AD35" i="16"/>
  <c r="AD34" i="16"/>
  <c r="AD33" i="16"/>
  <c r="AD32" i="16"/>
  <c r="AD31" i="16"/>
  <c r="AD30" i="16"/>
  <c r="AD29" i="16"/>
  <c r="AD28" i="16"/>
  <c r="AD27" i="16"/>
  <c r="AD26" i="16"/>
  <c r="AD25" i="16"/>
  <c r="AD24" i="16"/>
  <c r="AD23" i="16"/>
  <c r="AD22" i="16"/>
  <c r="AD21" i="16"/>
  <c r="AD20" i="16"/>
  <c r="AD19" i="16"/>
  <c r="J29" i="20"/>
  <c r="J32" i="20"/>
  <c r="J36" i="20"/>
  <c r="J40" i="20"/>
  <c r="J44" i="20"/>
  <c r="J48" i="20"/>
  <c r="J30" i="20"/>
  <c r="J33" i="20"/>
  <c r="J37" i="20"/>
  <c r="J41" i="20"/>
  <c r="J45" i="20"/>
  <c r="J31" i="20"/>
  <c r="J34" i="20"/>
  <c r="J38" i="20"/>
  <c r="J42" i="20"/>
  <c r="J46" i="20"/>
  <c r="J27" i="20"/>
  <c r="J28" i="20"/>
  <c r="J35" i="20"/>
  <c r="J39" i="20"/>
  <c r="J43" i="20"/>
  <c r="J47" i="20"/>
  <c r="F50" i="20"/>
  <c r="F49" i="20"/>
  <c r="I4" i="20"/>
  <c r="I11" i="20"/>
  <c r="I3" i="20"/>
  <c r="P25" i="24"/>
  <c r="S25" i="24"/>
  <c r="H10" i="20"/>
  <c r="P19" i="24"/>
  <c r="S19" i="24"/>
  <c r="H4" i="20"/>
  <c r="H11" i="20"/>
  <c r="H3" i="20"/>
  <c r="H12" i="20"/>
  <c r="H5" i="20"/>
  <c r="P23" i="24"/>
  <c r="H8" i="20"/>
  <c r="P22" i="24"/>
  <c r="S22" i="24"/>
  <c r="H7" i="20"/>
  <c r="I8" i="20"/>
  <c r="I7" i="20"/>
  <c r="I6" i="20"/>
  <c r="I9" i="20"/>
  <c r="P24" i="24"/>
  <c r="S24" i="24"/>
  <c r="H9" i="20"/>
  <c r="I12" i="20"/>
  <c r="I5" i="20"/>
  <c r="I10" i="20"/>
  <c r="H6" i="20"/>
  <c r="U24" i="24"/>
  <c r="U21" i="24"/>
  <c r="U22" i="24"/>
  <c r="U23" i="24"/>
  <c r="U20" i="24"/>
  <c r="U27" i="24"/>
  <c r="U18" i="24"/>
  <c r="U26" i="24"/>
  <c r="U19" i="24"/>
  <c r="U25" i="24"/>
  <c r="I13" i="20"/>
  <c r="P28" i="24"/>
  <c r="S28" i="24"/>
  <c r="H13" i="20"/>
  <c r="P29" i="24"/>
  <c r="S29" i="24"/>
  <c r="H14" i="20"/>
  <c r="P36" i="24"/>
  <c r="S36" i="24"/>
  <c r="H21" i="20"/>
  <c r="I14" i="20"/>
  <c r="I17" i="20"/>
  <c r="I21" i="20"/>
  <c r="P31" i="24"/>
  <c r="S31" i="24"/>
  <c r="H16" i="20"/>
  <c r="P39" i="24"/>
  <c r="H24" i="20"/>
  <c r="I15" i="20"/>
  <c r="H18" i="20"/>
  <c r="P38" i="24"/>
  <c r="H23" i="20"/>
  <c r="I20" i="20"/>
  <c r="H17" i="20"/>
  <c r="I18" i="20"/>
  <c r="I22" i="20"/>
  <c r="I19" i="20"/>
  <c r="I23" i="20"/>
  <c r="P30" i="24"/>
  <c r="S30" i="24"/>
  <c r="H15" i="20"/>
  <c r="P35" i="24"/>
  <c r="S35" i="24"/>
  <c r="H20" i="20"/>
  <c r="I16" i="20"/>
  <c r="I24" i="20"/>
  <c r="P37" i="24"/>
  <c r="S37" i="24"/>
  <c r="H22" i="20"/>
  <c r="P34" i="24"/>
  <c r="S34" i="24"/>
  <c r="H19" i="20"/>
  <c r="U38" i="24"/>
  <c r="U34" i="24"/>
  <c r="U37" i="24"/>
  <c r="U33" i="24"/>
  <c r="U39" i="24"/>
  <c r="U35" i="24"/>
  <c r="U31" i="24"/>
  <c r="U30" i="24"/>
  <c r="U36" i="24"/>
  <c r="U32" i="24"/>
  <c r="U29" i="24"/>
  <c r="U28" i="24"/>
  <c r="T39" i="24"/>
  <c r="H48" i="20"/>
  <c r="T27" i="24"/>
  <c r="H36" i="20"/>
  <c r="T38" i="24"/>
  <c r="H47" i="20"/>
  <c r="T34" i="24"/>
  <c r="H43" i="20"/>
  <c r="T30" i="24"/>
  <c r="H39" i="20"/>
  <c r="T26" i="24"/>
  <c r="H35" i="20"/>
  <c r="T21" i="24"/>
  <c r="H30" i="20"/>
  <c r="T20" i="24"/>
  <c r="H29" i="20"/>
  <c r="H50" i="20"/>
  <c r="T37" i="24"/>
  <c r="H46" i="20"/>
  <c r="T33" i="24"/>
  <c r="H42" i="20"/>
  <c r="T29" i="24"/>
  <c r="H38" i="20"/>
  <c r="T25" i="24"/>
  <c r="H34" i="20"/>
  <c r="T19" i="24"/>
  <c r="H28" i="20"/>
  <c r="T18" i="24"/>
  <c r="H27" i="20"/>
  <c r="H49" i="20"/>
  <c r="T36" i="24"/>
  <c r="H45" i="20"/>
  <c r="T32" i="24"/>
  <c r="H41" i="20"/>
  <c r="T28" i="24"/>
  <c r="H37" i="20"/>
  <c r="T24" i="24"/>
  <c r="H33" i="20"/>
  <c r="T35" i="24"/>
  <c r="H44" i="20"/>
  <c r="T31" i="24"/>
  <c r="H40" i="20"/>
  <c r="T23" i="24"/>
  <c r="H32" i="20"/>
  <c r="T22" i="24"/>
  <c r="H31" i="20"/>
  <c r="I46" i="20"/>
  <c r="I42" i="20"/>
  <c r="I28" i="20"/>
  <c r="I39" i="20"/>
  <c r="I27" i="20"/>
  <c r="I34" i="20"/>
  <c r="I49" i="20"/>
  <c r="I45" i="20"/>
  <c r="I35" i="20"/>
  <c r="I48" i="20"/>
  <c r="I44" i="20"/>
  <c r="I29" i="20"/>
  <c r="I30" i="20"/>
  <c r="I47" i="20"/>
  <c r="I43" i="20"/>
  <c r="I31" i="20"/>
  <c r="I32" i="20"/>
  <c r="I37" i="20"/>
  <c r="I36" i="20"/>
  <c r="I38" i="20"/>
  <c r="I50" i="20"/>
  <c r="I33" i="20"/>
  <c r="I41" i="20"/>
  <c r="I40" i="20"/>
  <c r="P18" i="24"/>
  <c r="S18" i="24"/>
  <c r="S18" i="31"/>
  <c r="P33" i="24"/>
  <c r="S33" i="24"/>
  <c r="S33" i="31"/>
  <c r="P32" i="24"/>
  <c r="S32" i="24"/>
  <c r="S32" i="31"/>
  <c r="P27" i="24"/>
  <c r="S27" i="31"/>
  <c r="P26" i="24"/>
  <c r="S26" i="24"/>
  <c r="S26" i="31"/>
  <c r="P21" i="24"/>
  <c r="S21" i="24"/>
  <c r="S21" i="31"/>
  <c r="P20" i="24"/>
  <c r="S20" i="24"/>
  <c r="S20" i="31"/>
  <c r="S24" i="31"/>
  <c r="S36" i="31"/>
  <c r="S40" i="31"/>
  <c r="S41" i="31"/>
  <c r="S38" i="31"/>
  <c r="J3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AB18" i="16"/>
  <c r="AD18" i="16"/>
  <c r="I9" i="17"/>
  <c r="F37" i="17"/>
  <c r="M37" i="17"/>
  <c r="N37" i="17"/>
  <c r="O37" i="17"/>
  <c r="S37" i="31"/>
  <c r="F31" i="17"/>
  <c r="M31" i="17"/>
  <c r="N31" i="17"/>
  <c r="O31" i="17"/>
  <c r="S31" i="17"/>
  <c r="S31" i="31"/>
  <c r="F30" i="17"/>
  <c r="M30" i="17"/>
  <c r="N30" i="17"/>
  <c r="O30" i="17"/>
  <c r="S30" i="17"/>
  <c r="S30" i="31"/>
  <c r="F36" i="17"/>
  <c r="M36" i="17"/>
  <c r="N36" i="17"/>
  <c r="O36" i="17"/>
  <c r="S36" i="17"/>
  <c r="F22" i="17"/>
  <c r="T22" i="17"/>
  <c r="D31" i="20"/>
  <c r="F20" i="17"/>
  <c r="T20" i="17"/>
  <c r="D29" i="20"/>
  <c r="F19" i="17"/>
  <c r="T19" i="17"/>
  <c r="D28" i="20"/>
  <c r="F26" i="17"/>
  <c r="T26" i="17"/>
  <c r="D35" i="20"/>
  <c r="F34" i="17"/>
  <c r="T34" i="17"/>
  <c r="D43" i="20"/>
  <c r="F21" i="17"/>
  <c r="T21" i="17"/>
  <c r="D30" i="20"/>
  <c r="F23" i="17"/>
  <c r="T23" i="17"/>
  <c r="D32" i="20"/>
  <c r="F27" i="17"/>
  <c r="T27" i="17"/>
  <c r="D36" i="20"/>
  <c r="T31" i="17"/>
  <c r="D40" i="20"/>
  <c r="F35" i="17"/>
  <c r="T35" i="17"/>
  <c r="D44" i="20"/>
  <c r="F39" i="17"/>
  <c r="T39" i="17"/>
  <c r="D48" i="20"/>
  <c r="F24" i="17"/>
  <c r="T24" i="17"/>
  <c r="D33" i="20"/>
  <c r="F28" i="17"/>
  <c r="T28" i="17"/>
  <c r="D37" i="20"/>
  <c r="F32" i="17"/>
  <c r="T32" i="17"/>
  <c r="D41" i="20"/>
  <c r="T36" i="17"/>
  <c r="D45" i="20"/>
  <c r="F25" i="17"/>
  <c r="T25" i="17"/>
  <c r="D34" i="20"/>
  <c r="F29" i="17"/>
  <c r="T29" i="17"/>
  <c r="D38" i="20"/>
  <c r="F33" i="17"/>
  <c r="T33" i="17"/>
  <c r="D42" i="20"/>
  <c r="T37" i="17"/>
  <c r="D46" i="20"/>
  <c r="F18" i="17"/>
  <c r="T18" i="17"/>
  <c r="D27" i="20"/>
  <c r="T30" i="17"/>
  <c r="D39" i="20"/>
  <c r="F38" i="17"/>
  <c r="T38" i="17"/>
  <c r="D47" i="20"/>
  <c r="M33" i="17"/>
  <c r="U33" i="17"/>
  <c r="M38" i="17"/>
  <c r="U38" i="17"/>
  <c r="N38" i="17"/>
  <c r="O38" i="17"/>
  <c r="D23" i="20"/>
  <c r="M32" i="17"/>
  <c r="U32" i="17"/>
  <c r="N32" i="17"/>
  <c r="O32" i="17"/>
  <c r="D17" i="20"/>
  <c r="M35" i="17"/>
  <c r="U35" i="17"/>
  <c r="N35" i="17"/>
  <c r="O35" i="17"/>
  <c r="D20" i="20"/>
  <c r="U30" i="17"/>
  <c r="D15" i="20"/>
  <c r="N33" i="17"/>
  <c r="O33" i="17"/>
  <c r="D18" i="20"/>
  <c r="U36" i="17"/>
  <c r="D21" i="20"/>
  <c r="M28" i="17"/>
  <c r="U28" i="17"/>
  <c r="N28" i="17"/>
  <c r="O28" i="17"/>
  <c r="D13" i="20"/>
  <c r="M39" i="17"/>
  <c r="U39" i="17"/>
  <c r="N39" i="17"/>
  <c r="O39" i="17"/>
  <c r="D24" i="20"/>
  <c r="U31" i="17"/>
  <c r="D16" i="20"/>
  <c r="M34" i="17"/>
  <c r="U34" i="17"/>
  <c r="N34" i="17"/>
  <c r="O34" i="17"/>
  <c r="D19" i="20"/>
  <c r="U37" i="17"/>
  <c r="D22" i="20"/>
  <c r="M29" i="17"/>
  <c r="U29" i="17"/>
  <c r="N29" i="17"/>
  <c r="O29" i="17"/>
  <c r="D14" i="20"/>
  <c r="P29" i="17"/>
  <c r="S29" i="17"/>
  <c r="P37" i="17"/>
  <c r="P34" i="17"/>
  <c r="S34" i="17"/>
  <c r="P39" i="17"/>
  <c r="S39" i="17"/>
  <c r="P28" i="17"/>
  <c r="S28" i="17"/>
  <c r="P33" i="17"/>
  <c r="S33" i="17"/>
  <c r="P30" i="17"/>
  <c r="P35" i="17"/>
  <c r="S35" i="17"/>
  <c r="P32" i="17"/>
  <c r="S32" i="17"/>
  <c r="P38" i="17"/>
  <c r="S38" i="17"/>
  <c r="P31" i="17"/>
  <c r="P36" i="17"/>
  <c r="M23" i="17"/>
  <c r="U23" i="17"/>
  <c r="M22" i="17"/>
  <c r="U22" i="17"/>
  <c r="M24" i="17"/>
  <c r="U24" i="17"/>
  <c r="M21" i="17"/>
  <c r="U21" i="17"/>
  <c r="M25" i="17"/>
  <c r="U25" i="17"/>
  <c r="M19" i="17"/>
  <c r="U19" i="17"/>
  <c r="M26" i="17"/>
  <c r="U26" i="17"/>
  <c r="M18" i="17"/>
  <c r="U18" i="17"/>
  <c r="M27" i="17"/>
  <c r="U27" i="17"/>
  <c r="M20" i="17"/>
  <c r="U20" i="17"/>
  <c r="N27" i="17"/>
  <c r="O27" i="17"/>
  <c r="D12" i="20"/>
  <c r="P27" i="17"/>
  <c r="S27" i="17"/>
  <c r="N26" i="17"/>
  <c r="O26" i="17"/>
  <c r="D11" i="20"/>
  <c r="P26" i="17"/>
  <c r="S26" i="17"/>
  <c r="N19" i="17"/>
  <c r="O19" i="17"/>
  <c r="D4" i="20"/>
  <c r="P19" i="17"/>
  <c r="S19" i="17"/>
  <c r="N25" i="17"/>
  <c r="O25" i="17"/>
  <c r="D10" i="20"/>
  <c r="P25" i="17"/>
  <c r="S25" i="17"/>
  <c r="N22" i="17"/>
  <c r="O22" i="17"/>
  <c r="D7" i="20"/>
  <c r="P22" i="17"/>
  <c r="S22" i="17"/>
  <c r="N23" i="17"/>
  <c r="O23" i="17"/>
  <c r="D8" i="20"/>
  <c r="P23" i="17"/>
  <c r="S23" i="17"/>
  <c r="N21" i="17"/>
  <c r="O21" i="17"/>
  <c r="D6" i="20"/>
  <c r="P21" i="17"/>
  <c r="S21" i="17"/>
  <c r="N24" i="17"/>
  <c r="O24" i="17"/>
  <c r="D9" i="20"/>
  <c r="P24" i="17"/>
  <c r="S24" i="17"/>
  <c r="N20" i="17"/>
  <c r="O20" i="17"/>
  <c r="D5" i="20"/>
  <c r="P20" i="17"/>
  <c r="S20" i="17"/>
  <c r="N18" i="17"/>
  <c r="O18" i="17"/>
  <c r="D3" i="20"/>
  <c r="P18" i="17"/>
  <c r="S18" i="17"/>
  <c r="X18" i="17"/>
  <c r="V18" i="17"/>
  <c r="Z18" i="17"/>
  <c r="X19" i="17"/>
  <c r="V19" i="17"/>
  <c r="Z19" i="17"/>
  <c r="X20" i="17"/>
  <c r="V20" i="17"/>
  <c r="Z20" i="17"/>
  <c r="X21" i="17"/>
  <c r="V21" i="17"/>
  <c r="Z21" i="17"/>
  <c r="X22" i="17"/>
  <c r="V22" i="17"/>
  <c r="Z22" i="17"/>
  <c r="X23" i="17"/>
  <c r="V23" i="17"/>
  <c r="Z23" i="17"/>
  <c r="X24" i="17"/>
  <c r="V24" i="17"/>
  <c r="Z24" i="17"/>
  <c r="X25" i="17"/>
  <c r="V25" i="17"/>
  <c r="Z25" i="17"/>
  <c r="X26" i="17"/>
  <c r="V26" i="17"/>
  <c r="Z26" i="17"/>
  <c r="X27" i="17"/>
  <c r="V27" i="17"/>
  <c r="Z27" i="17"/>
  <c r="X28" i="17"/>
  <c r="V28" i="17"/>
  <c r="Z28" i="17"/>
  <c r="X29" i="17"/>
  <c r="V29" i="17"/>
  <c r="Z29" i="17"/>
  <c r="X30" i="17"/>
  <c r="V30" i="17"/>
  <c r="Z30" i="17"/>
  <c r="X31" i="17"/>
  <c r="V31" i="17"/>
  <c r="Z31" i="17"/>
  <c r="X32" i="17"/>
  <c r="V32" i="17"/>
  <c r="Z32" i="17"/>
  <c r="X33" i="17"/>
  <c r="V33" i="17"/>
  <c r="Z33" i="17"/>
  <c r="X34" i="17"/>
  <c r="V34" i="17"/>
  <c r="Z34" i="17"/>
  <c r="X35" i="17"/>
  <c r="V35" i="17"/>
  <c r="Z35" i="17"/>
  <c r="X36" i="17"/>
  <c r="V36" i="17"/>
  <c r="Z36" i="17"/>
  <c r="X37" i="17"/>
  <c r="V37" i="17"/>
  <c r="Z37" i="17"/>
  <c r="X38" i="17"/>
  <c r="V38" i="17"/>
  <c r="Z38" i="17"/>
  <c r="X39" i="17"/>
  <c r="V39" i="17"/>
  <c r="Z39" i="17"/>
  <c r="P39" i="22"/>
  <c r="S39" i="22"/>
  <c r="S39" i="31"/>
  <c r="P25" i="22"/>
  <c r="S25" i="22"/>
  <c r="S25" i="31"/>
  <c r="T19" i="22"/>
  <c r="F28" i="20"/>
  <c r="T23" i="22"/>
  <c r="F32" i="20"/>
  <c r="T27" i="22"/>
  <c r="F36" i="20"/>
  <c r="T31" i="22"/>
  <c r="F40" i="20"/>
  <c r="T35" i="22"/>
  <c r="F44" i="20"/>
  <c r="T39" i="22"/>
  <c r="F48" i="20"/>
  <c r="T20" i="22"/>
  <c r="F29" i="20"/>
  <c r="T24" i="22"/>
  <c r="F33" i="20"/>
  <c r="T28" i="22"/>
  <c r="F37" i="20"/>
  <c r="T32" i="22"/>
  <c r="F41" i="20"/>
  <c r="T36" i="22"/>
  <c r="F45" i="20"/>
  <c r="T21" i="22"/>
  <c r="F30" i="20"/>
  <c r="T25" i="22"/>
  <c r="F34" i="20"/>
  <c r="T29" i="22"/>
  <c r="F38" i="20"/>
  <c r="T33" i="22"/>
  <c r="F42" i="20"/>
  <c r="T37" i="22"/>
  <c r="F46" i="20"/>
  <c r="T18" i="22"/>
  <c r="F27" i="20"/>
  <c r="T22" i="22"/>
  <c r="F31" i="20"/>
  <c r="T26" i="22"/>
  <c r="F35" i="20"/>
  <c r="T30" i="22"/>
  <c r="F39" i="20"/>
  <c r="T34" i="22"/>
  <c r="F43" i="20"/>
  <c r="T38" i="22"/>
  <c r="F47" i="20"/>
  <c r="U28" i="22"/>
  <c r="U31" i="22"/>
  <c r="U35" i="22"/>
  <c r="U39" i="22"/>
  <c r="U33" i="22"/>
  <c r="U37" i="22"/>
  <c r="U34" i="22"/>
  <c r="U38" i="22"/>
  <c r="U29" i="22"/>
  <c r="U32" i="22"/>
  <c r="U36" i="22"/>
  <c r="U30" i="22"/>
  <c r="F21" i="20"/>
  <c r="P36" i="22"/>
  <c r="S36" i="22"/>
  <c r="F17" i="20"/>
  <c r="P32" i="22"/>
  <c r="S32" i="22"/>
  <c r="F14" i="20"/>
  <c r="P29" i="22"/>
  <c r="S29" i="22"/>
  <c r="F23" i="20"/>
  <c r="P38" i="22"/>
  <c r="S38" i="22"/>
  <c r="F19" i="20"/>
  <c r="P34" i="22"/>
  <c r="S34" i="22"/>
  <c r="F22" i="20"/>
  <c r="P37" i="22"/>
  <c r="S37" i="22"/>
  <c r="F18" i="20"/>
  <c r="P33" i="22"/>
  <c r="S33" i="22"/>
  <c r="F15" i="20"/>
  <c r="P30" i="22"/>
  <c r="S30" i="22"/>
  <c r="F24" i="20"/>
  <c r="F20" i="20"/>
  <c r="P35" i="22"/>
  <c r="S35" i="22"/>
  <c r="F16" i="20"/>
  <c r="P31" i="22"/>
  <c r="S31" i="22"/>
  <c r="F13" i="20"/>
  <c r="P28" i="22"/>
  <c r="S28" i="22"/>
  <c r="U23" i="22"/>
  <c r="U22" i="22"/>
  <c r="U21" i="22"/>
  <c r="U24" i="22"/>
  <c r="U25" i="22"/>
  <c r="U19" i="22"/>
  <c r="U26" i="22"/>
  <c r="U18" i="22"/>
  <c r="U27" i="22"/>
  <c r="U20" i="22"/>
  <c r="F12" i="20"/>
  <c r="P27" i="22"/>
  <c r="S27" i="22"/>
  <c r="F5" i="20"/>
  <c r="P20" i="22"/>
  <c r="S20" i="22"/>
  <c r="F11" i="20"/>
  <c r="P26" i="22"/>
  <c r="S26" i="22"/>
  <c r="F10" i="20"/>
  <c r="F3" i="20"/>
  <c r="P18" i="22"/>
  <c r="S18" i="22"/>
  <c r="F4" i="20"/>
  <c r="P19" i="22"/>
  <c r="S19" i="22"/>
  <c r="F9" i="20"/>
  <c r="P24" i="22"/>
  <c r="S24" i="22"/>
  <c r="F6" i="20"/>
  <c r="F7" i="20"/>
  <c r="F8" i="20"/>
  <c r="P23" i="22"/>
  <c r="S23" i="22"/>
  <c r="P21" i="22"/>
  <c r="S21" i="22"/>
  <c r="P22" i="22"/>
  <c r="S22" i="22"/>
</calcChain>
</file>

<file path=xl/sharedStrings.xml><?xml version="1.0" encoding="utf-8"?>
<sst xmlns="http://schemas.openxmlformats.org/spreadsheetml/2006/main" count="1555" uniqueCount="388">
  <si>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</si>
  <si>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</si>
  <si>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</si>
  <si>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</si>
  <si>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</si>
  <si>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</si>
  <si>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</si>
  <si>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</si>
  <si>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</si>
  <si>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</si>
  <si>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</si>
  <si>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</si>
  <si>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</si>
  <si>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</si>
  <si>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</si>
  <si>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</si>
  <si>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</si>
  <si>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</si>
  <si>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</si>
  <si>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</si>
  <si>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</si>
  <si>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</si>
  <si>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</si>
  <si>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</si>
  <si>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</si>
  <si>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</si>
  <si>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</si>
  <si>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</si>
  <si>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</si>
  <si>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</si>
  <si>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</si>
  <si>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</si>
  <si>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</si>
  <si>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</si>
  <si>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</si>
  <si>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</si>
  <si>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</si>
  <si>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</si>
  <si>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</si>
  <si>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</si>
  <si>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</si>
  <si>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</si>
  <si>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</si>
  <si>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</si>
  <si>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</si>
  <si>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</si>
  <si>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</si>
  <si>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</si>
  <si>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</si>
  <si>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</si>
  <si>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</si>
  <si>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</si>
  <si>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</si>
  <si>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</si>
  <si>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</si>
  <si>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</si>
  <si>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</si>
  <si>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</si>
  <si>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</si>
  <si>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</si>
  <si>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</si>
  <si>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</si>
  <si>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</si>
  <si>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</si>
  <si>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</si>
  <si>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</si>
  <si>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</si>
  <si>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</si>
  <si>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</si>
  <si>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</si>
  <si>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</si>
  <si>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</si>
  <si>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</si>
  <si>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</si>
  <si>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</si>
  <si>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</si>
  <si>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</si>
  <si>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</si>
  <si>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</si>
  <si>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</si>
  <si>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</si>
  <si>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</si>
  <si>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</si>
  <si>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</si>
  <si>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</si>
  <si>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</si>
  <si>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</si>
  <si>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</si>
  <si>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</si>
  <si>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</si>
  <si>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</si>
  <si>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</si>
  <si>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</si>
  <si>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</si>
  <si>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</si>
  <si>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</si>
  <si>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</si>
  <si>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</si>
  <si>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</si>
  <si>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</si>
  <si>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</si>
  <si>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</si>
  <si>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</si>
  <si>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</si>
  <si>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</si>
  <si>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</si>
  <si>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</si>
  <si>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</si>
  <si>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</si>
  <si>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</si>
  <si>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</si>
  <si>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</si>
  <si>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</si>
  <si>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</si>
  <si>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</si>
  <si>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#</t>
  </si>
  <si>
    <t>P_Jar</t>
  </si>
  <si>
    <t>Leakage</t>
  </si>
  <si>
    <t>time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</si>
  <si>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</si>
  <si>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</si>
  <si>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</si>
  <si>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</si>
  <si>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equivalent of dry soil approved by Jeff</t>
  </si>
  <si>
    <t>Composite</t>
  </si>
  <si>
    <t>WHC  Tube No.</t>
  </si>
  <si>
    <t>Tube empty</t>
  </si>
  <si>
    <t>Tube w soil</t>
  </si>
  <si>
    <t>Tube WHC</t>
  </si>
  <si>
    <t>No.</t>
  </si>
  <si>
    <t>H2O added</t>
  </si>
  <si>
    <t>3_GRrf_comp_20-30</t>
  </si>
  <si>
    <t>4_GRwf_comp_0-10</t>
  </si>
  <si>
    <t>5_GRwf_comp_10-20</t>
  </si>
  <si>
    <t>6_GRwf_comp_20-30</t>
  </si>
  <si>
    <t>7_GRpp_comp_0-10</t>
  </si>
  <si>
    <t>8_GRpp_comp_10-20</t>
  </si>
  <si>
    <t>9_GRpp_comp_20-30</t>
  </si>
  <si>
    <t>10_ANrf_comp_0-10</t>
  </si>
  <si>
    <t>11_ANrf_comp_10-20</t>
  </si>
  <si>
    <t>12_ANrf_comp_20-30</t>
  </si>
  <si>
    <t>13_ANwf_comp_0-10</t>
  </si>
  <si>
    <t>14_ANwf_comp_10-20</t>
  </si>
  <si>
    <t>15_ANwf_comp_20-30</t>
  </si>
  <si>
    <t>16_ANpp_comp_0-10</t>
  </si>
  <si>
    <t>17_ANpp_comp_10-20</t>
  </si>
  <si>
    <t>18_ANpp_comp_20-30</t>
  </si>
  <si>
    <t>19_BSrf_comp_0-10</t>
  </si>
  <si>
    <t>20_BSrf_comp_10-20</t>
  </si>
  <si>
    <t>21_BSrf_comp_20-30</t>
  </si>
  <si>
    <t>22_BSwf_comp_0-10</t>
  </si>
  <si>
    <t>23_BSwf_comp_10-20</t>
  </si>
  <si>
    <t>24_BSwf_comp_20-30</t>
  </si>
  <si>
    <t xml:space="preserve">Expected CO2 </t>
  </si>
  <si>
    <t>name of the sample (obligatoric)</t>
  </si>
  <si>
    <t>flask name                         (for gas samples only)</t>
  </si>
  <si>
    <t>origin of the sample</t>
  </si>
  <si>
    <t>year of sampling (integer numbers only)</t>
  </si>
  <si>
    <t>inorganic carbon content in %         (not for gas samples)</t>
  </si>
  <si>
    <t>filling pressure     (bar)              (for gas samples only)</t>
  </si>
  <si>
    <t>comment</t>
  </si>
  <si>
    <t>reserved for the number in the BGC-DB in a far future</t>
  </si>
  <si>
    <r>
      <t xml:space="preserve">latitude       </t>
    </r>
    <r>
      <rPr>
        <b/>
        <sz val="10"/>
        <rFont val="Arial"/>
        <family val="2"/>
      </rPr>
      <t>(in decimal notation)</t>
    </r>
  </si>
  <si>
    <r>
      <t xml:space="preserve">longitude </t>
    </r>
    <r>
      <rPr>
        <b/>
        <sz val="10"/>
        <rFont val="Arial"/>
        <family val="2"/>
      </rPr>
      <t>(in decimal notation)</t>
    </r>
  </si>
  <si>
    <r>
      <t>organic carbon content in %         (gas samples: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conc.in ppm )</t>
    </r>
  </si>
  <si>
    <t>1_GRrf_comp_0-10_2019_rep</t>
  </si>
  <si>
    <t>2_GRrf_comp_10-20_2019_rep</t>
  </si>
  <si>
    <t>3_GRrf_comp_20-30_2019_rep</t>
  </si>
  <si>
    <t>4_GRwf_comp_0-10_2019_rep</t>
  </si>
  <si>
    <t>5_GRwf_comp_10-20_2019_rep</t>
  </si>
  <si>
    <t>6_GRwf_comp_20-30_2019_rep</t>
  </si>
  <si>
    <t>7_GRpp_comp_0-10_2019_rep</t>
  </si>
  <si>
    <t>8_GRpp_comp_10-20_2019_rep</t>
  </si>
  <si>
    <t>9_GRpp_comp_20-30_2019_rep</t>
  </si>
  <si>
    <t>10_ANrf_comp_0-10_2019_rep</t>
  </si>
  <si>
    <t>11_ANrf_comp_10-20_2019_rep</t>
  </si>
  <si>
    <t>12_ANrf_comp_20-30_2019_rep</t>
  </si>
  <si>
    <t>13_ANwf_comp_0-10_2019_rep</t>
  </si>
  <si>
    <t>14_ANwf_comp_10-20_2019_rep</t>
  </si>
  <si>
    <t>15_ANwf_comp_20-30_2019_rep</t>
  </si>
  <si>
    <t>16_ANpp_comp_0-10_2019_rep</t>
  </si>
  <si>
    <t>17_ANpp_comp_10-20_2019_rep</t>
  </si>
  <si>
    <t>18_ANpp_comp_20-30_2019_rep</t>
  </si>
  <si>
    <t>19_BSrf_comp_0-10_2019_rep</t>
  </si>
  <si>
    <t>20_BSrf_comp_10-20_2019_rep</t>
  </si>
  <si>
    <t>21_BSrf_comp_20-30_2019_rep</t>
  </si>
  <si>
    <t>22_BSwf_comp_0-10_2019_rep</t>
  </si>
  <si>
    <t>23_BSwf_comp_10-20_2019_rep</t>
  </si>
  <si>
    <t>24_BSwf_comp_20-30_2019_rep</t>
  </si>
  <si>
    <t>25_BSpp_comp_0-10_2019_rep</t>
  </si>
  <si>
    <t>26_BSpp_comp_10-20_2019_rep</t>
  </si>
  <si>
    <t>27_BSpp_comp_20-30_2019_rep</t>
  </si>
  <si>
    <t>C/jar</t>
  </si>
  <si>
    <t>12_ANrf_comp_20-30_2001_a</t>
  </si>
  <si>
    <t>12_ANrf_comp_20-30_2001_b</t>
  </si>
  <si>
    <t>22_BSwf_comp_0-10_2001_a</t>
  </si>
  <si>
    <t>22_BSwf_comp_0-10_2001_b</t>
  </si>
  <si>
    <t>1_GRrf_comp_0-3_2001_a</t>
  </si>
  <si>
    <t>1_GRrf_comp_0-3_2001_b</t>
  </si>
  <si>
    <t>2_GRrf_comp_3-8_2001_a</t>
  </si>
  <si>
    <t>2_GRrf_comp_3-8_2001_b</t>
  </si>
  <si>
    <t>3_GRrf_comp_8-27_2001_a</t>
  </si>
  <si>
    <t>3_GRrf_comp_8-27_2001_b</t>
  </si>
  <si>
    <t>4_GRwf_comp_0-4_2001_a</t>
  </si>
  <si>
    <t>4_GRwf_comp_0-4_2001_b</t>
  </si>
  <si>
    <t>5_GRwf_comp_4-13_2001_a</t>
  </si>
  <si>
    <t>5_GRwf_comp_4-13_2001_b</t>
  </si>
  <si>
    <t>6_GRwf_comp_13-28_2001_a</t>
  </si>
  <si>
    <t>6_GRwf_comp_13-28_2001_b</t>
  </si>
  <si>
    <t>7_GRpp_comp_0-7_2001_a</t>
  </si>
  <si>
    <t>7_GRpp_comp_0-7_2001_b</t>
  </si>
  <si>
    <t>8_GRpp_comp_7-15_2001_a</t>
  </si>
  <si>
    <t>8_GRpp_comp_7-15_2001_b</t>
  </si>
  <si>
    <t>9_GRpp_comp_15-27_2001_a</t>
  </si>
  <si>
    <t>9_GRpp_comp_15-27_2001_b</t>
  </si>
  <si>
    <t>10_ANrf_comp_0-11_2001_a</t>
  </si>
  <si>
    <t>10_ANrf_comp_0-11_2001_b</t>
  </si>
  <si>
    <t>11_ANrf_comp_11-32_2001_a</t>
  </si>
  <si>
    <t>11_ANrf_comp_11-32_2001_b</t>
  </si>
  <si>
    <t>10-20</t>
  </si>
  <si>
    <t>16_ANpp_comp_0-6_2001_a</t>
  </si>
  <si>
    <t>16_ANpp_comp_0-6_2001_b</t>
  </si>
  <si>
    <t>13_ANwf_comp_0-11_2001_a</t>
  </si>
  <si>
    <t>13_ANwf_comp_0-11_2001_b</t>
  </si>
  <si>
    <t>14_ANwf_comp_11-35_2001_a</t>
  </si>
  <si>
    <t>14_ANwf_comp_11-35_2001_b</t>
  </si>
  <si>
    <t>15_ANwf_comp_20-30_2019_a</t>
  </si>
  <si>
    <t>15_ANwf_comp_20-30_2019_b</t>
  </si>
  <si>
    <t>17_ANpp_comp_6-13_2001_a</t>
  </si>
  <si>
    <t>17_ANpp_comp_6-13_2001_b</t>
  </si>
  <si>
    <t>18_ANpp_comp_13-33_2001_a</t>
  </si>
  <si>
    <t>18_ANpp_comp_13-33_2001_b</t>
  </si>
  <si>
    <t>19_BSrf_comp_0-8_2001_a</t>
  </si>
  <si>
    <t>19_BSrf_comp_0-8_2001_b</t>
  </si>
  <si>
    <t>20_BSrf_comp_8-15_2001_a</t>
  </si>
  <si>
    <t>20_BSrf_comp_8-15_2001_b</t>
  </si>
  <si>
    <t>21_BSrf_comp_15-30_2001_a</t>
  </si>
  <si>
    <t>21_BSrf_comp_15-30_2001_b</t>
  </si>
  <si>
    <t>23_BSwf_comp_10-19_2001_a</t>
  </si>
  <si>
    <t>23_BSwf_comp_10-19_2001_b</t>
  </si>
  <si>
    <t>24_BSwf_comp_19-28_2001_a</t>
  </si>
  <si>
    <t>24_BSwf_comp_19-28_2001_b</t>
  </si>
  <si>
    <t>25_BSpp_comp_0-7_2001_a</t>
  </si>
  <si>
    <t>25_BSpp_comp_0-7_2001_b</t>
  </si>
  <si>
    <t>26_BSpp_comp_7-18_2001_a</t>
  </si>
  <si>
    <t>26_BSpp_comp_7-18_2001_b</t>
  </si>
  <si>
    <t>MV 3,3 ?</t>
  </si>
  <si>
    <t>1,8?</t>
  </si>
  <si>
    <t>2GRrf_comp_0-8_2001_a</t>
  </si>
  <si>
    <t>2GRrf_comp_0-8_2001_b</t>
  </si>
  <si>
    <t>Glass Number</t>
  </si>
  <si>
    <t>3_2_GRrf_comp_0-8_2001_a</t>
  </si>
  <si>
    <t>4_2_GRrf_comp_0-8_2001_b</t>
  </si>
  <si>
    <t>5_3_GRrf_comp_8-27_2001_a</t>
  </si>
  <si>
    <t>6_3_GRrf_comp_8-27_2001_b</t>
  </si>
  <si>
    <t>7_4_GRwf_comp_0-4_2001_a</t>
  </si>
  <si>
    <t>8_4_GRwf_comp_0-4_2001_b</t>
  </si>
  <si>
    <t>9_5_GRwf_comp_4-13_2001_a</t>
  </si>
  <si>
    <t>10_5_GRwf_comp_4-13_2001_b</t>
  </si>
  <si>
    <t>11_6_GRwf_comp_13-28_2001_a</t>
  </si>
  <si>
    <t>12_6_GRwf_comp_13-28_2001_b</t>
  </si>
  <si>
    <t>13_7_GRpp_comp_0-7_2001_a</t>
  </si>
  <si>
    <t>14_7_GRpp_comp_0-7_2001_b</t>
  </si>
  <si>
    <t>15_8_GRpp_comp_7-15_2001_a</t>
  </si>
  <si>
    <t>16_8_GRpp_comp_7-15_2001_b</t>
  </si>
  <si>
    <t>17_9_GRpp_comp_15-27_2001_a</t>
  </si>
  <si>
    <t>18_9_GRpp_comp_15-27_2001_b</t>
  </si>
  <si>
    <t>19_10_ANrf_comp_0-11_2001_a</t>
  </si>
  <si>
    <t>20_10_ANrf_comp_0-11_2001_b</t>
  </si>
  <si>
    <t>21_11_ANrf_comp_11-32_2001_a</t>
  </si>
  <si>
    <t>22_11_ANrf_comp_11-32_2001_b</t>
  </si>
  <si>
    <t>23_13_ANwf_comp_0-11_2001_a</t>
  </si>
  <si>
    <t>24_13_ANwf_comp_0-11_2001_b</t>
  </si>
  <si>
    <t>25_14_ANwf_comp_11-35_2001_a</t>
  </si>
  <si>
    <t>26_14_ANwf_comp_11-35_2001_b</t>
  </si>
  <si>
    <t xml:space="preserve"> not existent; 20-30</t>
  </si>
  <si>
    <t>not existent</t>
  </si>
  <si>
    <t>merged with 3-8cm</t>
  </si>
  <si>
    <t>tgtCO2/jar</t>
  </si>
  <si>
    <t>mg CO2 remaining</t>
  </si>
  <si>
    <t>tgtC/jar</t>
  </si>
  <si>
    <t>estimated days to tgt</t>
  </si>
  <si>
    <t>remaining days to tgt</t>
  </si>
  <si>
    <t>27_BSpp_comp_18-28_2001_a</t>
  </si>
  <si>
    <t>27_BSpp_comp_18-28_2001_b</t>
  </si>
  <si>
    <t>very existent</t>
  </si>
  <si>
    <t>24_BSwf_comp_19-40_2001_a</t>
  </si>
  <si>
    <t>24_BSwf_comp_19-40_2001_b</t>
  </si>
  <si>
    <t>online</t>
  </si>
  <si>
    <t>BEAKER</t>
  </si>
  <si>
    <t>Soil</t>
  </si>
  <si>
    <t>Water</t>
  </si>
  <si>
    <t>27_16_ANpp_comp_0-6_2001_a</t>
  </si>
  <si>
    <t>28_16_ANpp_comp_0-6_2001_b</t>
  </si>
  <si>
    <t>29_17_ANpp_comp_6-13_2001_a</t>
  </si>
  <si>
    <t>30_17_ANpp_comp_6-13_2001_b</t>
  </si>
  <si>
    <t>31_18_ANpp_comp_13-33_2001_a</t>
  </si>
  <si>
    <t>32_18_ANpp_comp_13-33_2001_b</t>
  </si>
  <si>
    <t>33_19_BSrf_comp_0-8_2001_a</t>
  </si>
  <si>
    <t>34_19_BSrf_comp_0-8_2001_b</t>
  </si>
  <si>
    <t>35_20_BSrf_comp_8-15_2001_a</t>
  </si>
  <si>
    <t>36_20_BSrf_comp_8-15_2001_b</t>
  </si>
  <si>
    <t>37_21_BSrf_comp_15-30_2001_a</t>
  </si>
  <si>
    <t>38_21_BSrf_comp_15-30_2001_b</t>
  </si>
  <si>
    <t>39_22_BSwf_comp_0-10_2001_a</t>
  </si>
  <si>
    <t>40_22_BSwf_comp_0-10_2001_b</t>
  </si>
  <si>
    <t>41_23_BSwf_comp_10-19_2001_a</t>
  </si>
  <si>
    <t>42_23_BSwf_comp_10-19_2001_b</t>
  </si>
  <si>
    <t>43_25_BSpp_comp_0-7_2001_a</t>
  </si>
  <si>
    <t>44_25_BSpp_comp_0-7_2001_b</t>
  </si>
  <si>
    <t>45_26_BSpp_comp_7-18_2001_a</t>
  </si>
  <si>
    <t>46_26_BSpp_comp_7-18_2001_b</t>
  </si>
  <si>
    <t>47_27_BSpp_comp_18-28_2001_a</t>
  </si>
  <si>
    <t>48_27_BSpp_comp_18-28_2001_b</t>
  </si>
  <si>
    <t>Sierra Nevada 2001 Inc. Part II</t>
  </si>
  <si>
    <t>Extraction</t>
  </si>
  <si>
    <t>ANpp_comp_0-6_2001_a</t>
  </si>
  <si>
    <t>ANpp_comp_0-6_2001_b</t>
  </si>
  <si>
    <t>ANpp_comp_6-13_2001_a</t>
  </si>
  <si>
    <t>ANpp_comp_6-13_2001_b</t>
  </si>
  <si>
    <t>ANpp_comp_13-33_2001_a</t>
  </si>
  <si>
    <t>ANpp_comp_13-33_2001_b</t>
  </si>
  <si>
    <t>BSrf_comp_0-8_2001_a</t>
  </si>
  <si>
    <t>BSrf_comp_0-8_2001_b</t>
  </si>
  <si>
    <t>BSrf_comp_8-15_2001_a</t>
  </si>
  <si>
    <t>BSrf_comp_8-15_2001_b</t>
  </si>
  <si>
    <t>BSrf_comp_15-30_2001_a</t>
  </si>
  <si>
    <t>BSrf_comp_15-30_2001_b</t>
  </si>
  <si>
    <t>BSwf_comp_0-10_2001_a</t>
  </si>
  <si>
    <t>BSwf_comp_0-10_2001_b</t>
  </si>
  <si>
    <t>BSwf_comp_10-19_2001_a</t>
  </si>
  <si>
    <t>BSwf_comp_10-19_2001_b</t>
  </si>
  <si>
    <t>BSpp_comp_0-7_2001_a</t>
  </si>
  <si>
    <t>BSpp_comp_0-7_2001_b</t>
  </si>
  <si>
    <t>BSpp_comp_7-18_2001_a</t>
  </si>
  <si>
    <t>BSpp_comp_7-18_2001_b</t>
  </si>
  <si>
    <t>BSpp_comp_18-28_2001_a</t>
  </si>
  <si>
    <t>BSpp_comp_18-28_2001_b</t>
  </si>
  <si>
    <t>ANpp_comp_0-6_2001_a_27-16</t>
  </si>
  <si>
    <t>ANpp_comp_0-6_2001_b_28-16</t>
  </si>
  <si>
    <t>ANpp_comp_6-13_2001_a_29-17</t>
  </si>
  <si>
    <t>ANpp_comp_6-13_2001_b_30-17</t>
  </si>
  <si>
    <t>ANpp_comp_13-33_2001_a_31-18</t>
  </si>
  <si>
    <t>ANpp_comp_13-33_2001_b_32-18</t>
  </si>
  <si>
    <t>BSrf_comp_0-8_2001_a_33-19</t>
  </si>
  <si>
    <t>BSrf_comp_0-8_2001_b_34-19</t>
  </si>
  <si>
    <t>BSrf_comp_8-15_2001_a_35-20</t>
  </si>
  <si>
    <t>BSrf_comp_8-15_2001_b_36-20</t>
  </si>
  <si>
    <t>BSrf_comp_15-30_2001_a_37-21</t>
  </si>
  <si>
    <t>BSrf_comp_15-30_2001_b_38-21</t>
  </si>
  <si>
    <t>BSwf_comp_0-10_2001_a_39-22</t>
  </si>
  <si>
    <t>BSwf_comp_0-10_2001_b_40-22</t>
  </si>
  <si>
    <t>BSwf_comp_10-19_2001_a_41-23</t>
  </si>
  <si>
    <t>BSwf_comp_10-19_2001_b_42-23</t>
  </si>
  <si>
    <t>BSpp_comp_0-7_2001_a_43-25</t>
  </si>
  <si>
    <t>BSpp_comp_0-7_2001_b_44-25</t>
  </si>
  <si>
    <t>BSpp_comp_7-18_2001_a_45-26</t>
  </si>
  <si>
    <t>BSpp_comp_7-18_2001_b_46-26</t>
  </si>
  <si>
    <t>BSpp_comp_18-28_2001_a_47-27</t>
  </si>
  <si>
    <t>BSpp_comp_18-28_2001_b_48-27</t>
  </si>
  <si>
    <t>Blank_57_08122020</t>
  </si>
  <si>
    <t>Blank_58_14122020</t>
  </si>
  <si>
    <t>Blank_59_14122020</t>
  </si>
  <si>
    <t>15.12.2020 online</t>
  </si>
  <si>
    <t>SampleName</t>
  </si>
  <si>
    <t>PMeco</t>
  </si>
  <si>
    <t>ID</t>
  </si>
  <si>
    <t>timepoint_cmtv</t>
  </si>
  <si>
    <t>sheet_name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</si>
  <si>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</si>
  <si>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</si>
  <si>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</si>
  <si>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</si>
  <si>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</si>
  <si>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</si>
  <si>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</si>
  <si>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</si>
  <si>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</si>
  <si>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time_d</t>
  </si>
  <si>
    <t>mgCO2_jar</t>
  </si>
  <si>
    <t>2001_Inc_01.12.20</t>
  </si>
  <si>
    <t>2001_Inc_02.12.20</t>
  </si>
  <si>
    <t>2001_Inc_04.12.20</t>
  </si>
  <si>
    <t>2001_Inc_07.12.20</t>
  </si>
  <si>
    <t>2001_Inc_08.12.20</t>
  </si>
  <si>
    <t>2001_Inc_11.12.20</t>
  </si>
  <si>
    <t>2001_Inc_14.12.20</t>
  </si>
  <si>
    <t>dw_g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</si>
</sst>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29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7">
    <xf numFmtId="0" fontId="0" fillId="0" borderId="0"/>
    <xf numFmtId="0" fontId="2" fillId="0" borderId="0"/>
    <xf numFmtId="0" fontId="16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2" borderId="0" xfId="0" applyNumberFormat="1" applyFill="1"/>
    <xf numFmtId="2" fontId="0" fillId="3" borderId="3" xfId="0" applyNumberFormat="1" applyFill="1" applyBorder="1"/>
    <xf numFmtId="2" fontId="0" fillId="0" borderId="0" xfId="0" applyNumberFormat="1"/>
    <xf numFmtId="2" fontId="0" fillId="3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2" borderId="0" xfId="0" applyNumberFormat="1" applyFill="1"/>
    <xf numFmtId="0" fontId="3" fillId="8" borderId="0" xfId="1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/>
    </xf>
    <xf numFmtId="1" fontId="3" fillId="8" borderId="6" xfId="1" applyNumberFormat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2" fontId="3" fillId="9" borderId="6" xfId="1" applyNumberFormat="1" applyFont="1" applyFill="1" applyBorder="1" applyAlignment="1">
      <alignment horizontal="center"/>
    </xf>
    <xf numFmtId="0" fontId="3" fillId="10" borderId="0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/>
    </xf>
    <xf numFmtId="0" fontId="4" fillId="8" borderId="1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1" borderId="2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2" borderId="2" xfId="1" applyFont="1" applyFill="1" applyBorder="1" applyAlignment="1">
      <alignment horizontal="center"/>
    </xf>
    <xf numFmtId="2" fontId="3" fillId="12" borderId="2" xfId="1" applyNumberFormat="1" applyFont="1" applyFill="1" applyBorder="1" applyAlignment="1">
      <alignment horizontal="center"/>
    </xf>
    <xf numFmtId="0" fontId="3" fillId="12" borderId="11" xfId="1" applyFont="1" applyFill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3" borderId="15" xfId="1" applyFont="1" applyFill="1" applyBorder="1" applyAlignment="1">
      <alignment horizontal="center"/>
    </xf>
    <xf numFmtId="0" fontId="4" fillId="13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4" fontId="0" fillId="0" borderId="0" xfId="0" applyNumberFormat="1"/>
    <xf numFmtId="0" fontId="5" fillId="0" borderId="0" xfId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2" fontId="0" fillId="14" borderId="0" xfId="0" applyNumberFormat="1" applyFill="1"/>
    <xf numFmtId="2" fontId="4" fillId="14" borderId="0" xfId="1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/>
    <xf numFmtId="2" fontId="22" fillId="9" borderId="0" xfId="0" applyNumberFormat="1" applyFont="1" applyFill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167" fontId="0" fillId="0" borderId="17" xfId="0" applyNumberFormat="1" applyBorder="1" applyAlignment="1">
      <alignment horizontal="center"/>
    </xf>
    <xf numFmtId="0" fontId="15" fillId="0" borderId="1" xfId="0" applyFont="1" applyFill="1" applyBorder="1" applyAlignment="1">
      <alignment horizontal="right" vertical="center" wrapText="1"/>
    </xf>
    <xf numFmtId="167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15" borderId="17" xfId="0" applyFont="1" applyFill="1" applyBorder="1" applyAlignment="1">
      <alignment horizontal="center" wrapText="1"/>
    </xf>
    <xf numFmtId="0" fontId="23" fillId="16" borderId="17" xfId="0" applyFont="1" applyFill="1" applyBorder="1" applyAlignment="1">
      <alignment horizontal="center" wrapText="1"/>
    </xf>
    <xf numFmtId="2" fontId="0" fillId="17" borderId="0" xfId="0" applyNumberFormat="1" applyFill="1"/>
    <xf numFmtId="0" fontId="25" fillId="0" borderId="1" xfId="0" applyFont="1" applyBorder="1" applyAlignment="1">
      <alignment horizontal="center" vertical="center" wrapText="1"/>
    </xf>
    <xf numFmtId="167" fontId="0" fillId="0" borderId="0" xfId="0" applyNumberFormat="1" applyFill="1" applyAlignment="1">
      <alignment horizontal="center"/>
    </xf>
    <xf numFmtId="167" fontId="1" fillId="0" borderId="0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2" fontId="0" fillId="7" borderId="0" xfId="0" applyNumberFormat="1" applyFill="1"/>
    <xf numFmtId="2" fontId="0" fillId="8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17" borderId="0" xfId="0" applyFill="1"/>
    <xf numFmtId="49" fontId="0" fillId="0" borderId="17" xfId="0" applyNumberFormat="1" applyBorder="1" applyAlignment="1">
      <alignment horizontal="center"/>
    </xf>
    <xf numFmtId="0" fontId="0" fillId="19" borderId="17" xfId="0" applyFill="1" applyBorder="1" applyAlignment="1">
      <alignment horizontal="left"/>
    </xf>
    <xf numFmtId="0" fontId="0" fillId="19" borderId="17" xfId="0" applyFill="1" applyBorder="1"/>
    <xf numFmtId="0" fontId="0" fillId="0" borderId="17" xfId="0" applyFill="1" applyBorder="1"/>
    <xf numFmtId="167" fontId="1" fillId="17" borderId="0" xfId="0" applyNumberFormat="1" applyFont="1" applyFill="1" applyBorder="1" applyAlignment="1">
      <alignment horizontal="center" wrapText="1"/>
    </xf>
    <xf numFmtId="0" fontId="0" fillId="0" borderId="7" xfId="0" applyFill="1" applyBorder="1"/>
    <xf numFmtId="0" fontId="0" fillId="17" borderId="17" xfId="0" applyFill="1" applyBorder="1" applyAlignment="1">
      <alignment horizontal="left"/>
    </xf>
    <xf numFmtId="0" fontId="0" fillId="0" borderId="17" xfId="0" applyFill="1" applyBorder="1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horizontal="center"/>
    </xf>
    <xf numFmtId="167" fontId="3" fillId="12" borderId="0" xfId="1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20" borderId="0" xfId="0" applyFill="1" applyAlignment="1">
      <alignment horizontal="left"/>
    </xf>
    <xf numFmtId="0" fontId="0" fillId="20" borderId="0" xfId="0" applyFill="1"/>
    <xf numFmtId="0" fontId="0" fillId="18" borderId="17" xfId="0" applyFill="1" applyBorder="1" applyAlignment="1">
      <alignment horizontal="center"/>
    </xf>
    <xf numFmtId="0" fontId="0" fillId="18" borderId="17" xfId="0" applyFill="1" applyBorder="1"/>
    <xf numFmtId="0" fontId="0" fillId="17" borderId="17" xfId="0" applyFill="1" applyBorder="1"/>
    <xf numFmtId="0" fontId="0" fillId="19" borderId="5" xfId="0" applyFill="1" applyBorder="1"/>
    <xf numFmtId="2" fontId="0" fillId="18" borderId="17" xfId="0" applyNumberFormat="1" applyFill="1" applyBorder="1" applyAlignment="1">
      <alignment horizontal="center"/>
    </xf>
    <xf numFmtId="168" fontId="0" fillId="18" borderId="17" xfId="0" applyNumberFormat="1" applyFill="1" applyBorder="1" applyAlignment="1">
      <alignment horizontal="center"/>
    </xf>
    <xf numFmtId="164" fontId="0" fillId="18" borderId="17" xfId="0" applyNumberFormat="1" applyFill="1" applyBorder="1" applyAlignment="1">
      <alignment horizontal="center"/>
    </xf>
    <xf numFmtId="9" fontId="0" fillId="18" borderId="17" xfId="0" applyNumberFormat="1" applyFill="1" applyBorder="1" applyAlignment="1">
      <alignment horizontal="center"/>
    </xf>
    <xf numFmtId="0" fontId="0" fillId="18" borderId="17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8" fontId="0" fillId="0" borderId="17" xfId="0" applyNumberFormat="1" applyFill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167" fontId="0" fillId="0" borderId="17" xfId="0" applyNumberFormat="1" applyFill="1" applyBorder="1" applyAlignment="1">
      <alignment horizontal="center"/>
    </xf>
    <xf numFmtId="167" fontId="1" fillId="0" borderId="17" xfId="0" applyNumberFormat="1" applyFont="1" applyFill="1" applyBorder="1" applyAlignment="1">
      <alignment horizontal="center" wrapText="1"/>
    </xf>
    <xf numFmtId="167" fontId="1" fillId="17" borderId="17" xfId="0" applyNumberFormat="1" applyFont="1" applyFill="1" applyBorder="1" applyAlignment="1">
      <alignment horizontal="center" wrapText="1"/>
    </xf>
    <xf numFmtId="167" fontId="0" fillId="0" borderId="17" xfId="0" applyNumberFormat="1" applyFill="1" applyBorder="1" applyAlignment="1">
      <alignment horizontal="left"/>
    </xf>
    <xf numFmtId="0" fontId="0" fillId="0" borderId="17" xfId="0" applyBorder="1" applyAlignment="1">
      <alignment horizontal="left"/>
    </xf>
    <xf numFmtId="167" fontId="1" fillId="0" borderId="17" xfId="0" applyNumberFormat="1" applyFont="1" applyFill="1" applyBorder="1" applyAlignment="1">
      <alignment horizontal="left" wrapText="1"/>
    </xf>
    <xf numFmtId="167" fontId="1" fillId="17" borderId="17" xfId="0" applyNumberFormat="1" applyFont="1" applyFill="1" applyBorder="1" applyAlignment="1">
      <alignment horizontal="left" wrapText="1"/>
    </xf>
    <xf numFmtId="0" fontId="4" fillId="0" borderId="15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center"/>
    </xf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left"/>
    </xf>
    <xf numFmtId="22" fontId="4" fillId="21" borderId="0" xfId="1" applyNumberFormat="1" applyFont="1" applyFill="1" applyBorder="1" applyAlignment="1">
      <alignment horizontal="center"/>
    </xf>
    <xf numFmtId="0" fontId="4" fillId="21" borderId="0" xfId="1" applyFont="1" applyFill="1" applyAlignment="1">
      <alignment horizontal="center"/>
    </xf>
    <xf numFmtId="0" fontId="4" fillId="21" borderId="15" xfId="1" applyFont="1" applyFill="1" applyBorder="1" applyAlignment="1">
      <alignment horizontal="center"/>
    </xf>
    <xf numFmtId="0" fontId="4" fillId="21" borderId="16" xfId="1" applyFont="1" applyFill="1" applyBorder="1" applyAlignment="1">
      <alignment horizontal="center"/>
    </xf>
    <xf numFmtId="165" fontId="4" fillId="21" borderId="0" xfId="1" applyNumberFormat="1" applyFont="1" applyFill="1" applyAlignment="1">
      <alignment horizontal="center"/>
    </xf>
    <xf numFmtId="22" fontId="4" fillId="21" borderId="12" xfId="1" applyNumberFormat="1" applyFont="1" applyFill="1" applyBorder="1" applyAlignment="1">
      <alignment horizontal="center"/>
    </xf>
    <xf numFmtId="167" fontId="4" fillId="21" borderId="0" xfId="1" applyNumberFormat="1" applyFont="1" applyFill="1" applyBorder="1" applyAlignment="1">
      <alignment horizontal="center"/>
    </xf>
    <xf numFmtId="1" fontId="4" fillId="21" borderId="0" xfId="1" applyNumberFormat="1" applyFont="1" applyFill="1" applyBorder="1" applyAlignment="1">
      <alignment horizontal="center"/>
    </xf>
    <xf numFmtId="2" fontId="4" fillId="21" borderId="0" xfId="1" applyNumberFormat="1" applyFont="1" applyFill="1" applyBorder="1" applyAlignment="1">
      <alignment horizontal="center"/>
    </xf>
    <xf numFmtId="2" fontId="4" fillId="21" borderId="0" xfId="1" applyNumberFormat="1" applyFont="1" applyFill="1" applyBorder="1" applyAlignment="1">
      <alignment horizontal="center" vertical="center"/>
    </xf>
    <xf numFmtId="2" fontId="0" fillId="21" borderId="0" xfId="0" applyNumberFormat="1" applyFill="1" applyAlignment="1">
      <alignment horizontal="center" vertical="center"/>
    </xf>
    <xf numFmtId="1" fontId="0" fillId="21" borderId="0" xfId="0" applyNumberFormat="1" applyFill="1"/>
    <xf numFmtId="2" fontId="0" fillId="21" borderId="0" xfId="0" applyNumberFormat="1" applyFill="1"/>
    <xf numFmtId="164" fontId="0" fillId="21" borderId="0" xfId="0" applyNumberFormat="1" applyFill="1"/>
    <xf numFmtId="167" fontId="0" fillId="21" borderId="0" xfId="0" applyNumberFormat="1" applyFill="1" applyAlignment="1">
      <alignment horizontal="center"/>
    </xf>
    <xf numFmtId="0" fontId="0" fillId="21" borderId="0" xfId="0" applyFill="1"/>
    <xf numFmtId="22" fontId="0" fillId="21" borderId="0" xfId="0" applyNumberFormat="1" applyFill="1"/>
    <xf numFmtId="0" fontId="0" fillId="0" borderId="0" xfId="0" applyAlignment="1">
      <alignment horizontal="center"/>
    </xf>
    <xf numFmtId="167" fontId="0" fillId="20" borderId="0" xfId="0" applyNumberFormat="1" applyFill="1" applyAlignment="1">
      <alignment horizontal="center"/>
    </xf>
    <xf numFmtId="22" fontId="0" fillId="20" borderId="0" xfId="0" applyNumberFormat="1" applyFill="1"/>
    <xf numFmtId="0" fontId="0" fillId="0" borderId="0" xfId="0" applyAlignment="1">
      <alignment horizontal="center"/>
    </xf>
    <xf numFmtId="2" fontId="28" fillId="0" borderId="0" xfId="0" applyNumberFormat="1" applyFont="1" applyFill="1"/>
    <xf numFmtId="0" fontId="0" fillId="20" borderId="17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17" borderId="23" xfId="0" applyFill="1" applyBorder="1"/>
    <xf numFmtId="167" fontId="0" fillId="0" borderId="23" xfId="0" applyNumberFormat="1" applyBorder="1"/>
    <xf numFmtId="2" fontId="0" fillId="17" borderId="24" xfId="0" applyNumberFormat="1" applyFill="1" applyBorder="1"/>
    <xf numFmtId="0" fontId="0" fillId="0" borderId="12" xfId="0" applyBorder="1"/>
    <xf numFmtId="0" fontId="0" fillId="0" borderId="0" xfId="0" applyBorder="1"/>
    <xf numFmtId="0" fontId="0" fillId="17" borderId="0" xfId="0" applyFill="1" applyBorder="1"/>
    <xf numFmtId="167" fontId="0" fillId="0" borderId="0" xfId="0" applyNumberFormat="1" applyBorder="1"/>
    <xf numFmtId="2" fontId="0" fillId="17" borderId="6" xfId="0" applyNumberFormat="1" applyFill="1" applyBorder="1"/>
    <xf numFmtId="0" fontId="0" fillId="0" borderId="25" xfId="0" applyBorder="1"/>
    <xf numFmtId="0" fontId="0" fillId="0" borderId="26" xfId="0" applyBorder="1"/>
    <xf numFmtId="0" fontId="0" fillId="17" borderId="26" xfId="0" applyFill="1" applyBorder="1"/>
    <xf numFmtId="167" fontId="0" fillId="0" borderId="26" xfId="0" applyNumberFormat="1" applyBorder="1"/>
    <xf numFmtId="2" fontId="0" fillId="17" borderId="27" xfId="0" applyNumberFormat="1" applyFill="1" applyBorder="1"/>
    <xf numFmtId="0" fontId="0" fillId="0" borderId="11" xfId="0" applyBorder="1"/>
    <xf numFmtId="0" fontId="0" fillId="0" borderId="2" xfId="0" applyBorder="1"/>
    <xf numFmtId="0" fontId="0" fillId="17" borderId="2" xfId="0" applyFill="1" applyBorder="1"/>
    <xf numFmtId="167" fontId="0" fillId="0" borderId="2" xfId="0" applyNumberFormat="1" applyBorder="1"/>
    <xf numFmtId="2" fontId="0" fillId="17" borderId="28" xfId="0" applyNumberFormat="1" applyFill="1" applyBorder="1"/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3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  <cellStyle name="Standard 3" xfId="1"/>
    <cellStyle name="Standard_Au_Dataimport2003" xfId="2"/>
  </cellStyles>
  <dxfs count="1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1.xml"/><Relationship Id="rId21" Type="http://schemas.openxmlformats.org/officeDocument/2006/relationships/externalLink" Target="externalLinks/externalLink2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'2001_Inc_01.12.20'!$D$3:$D$15</c:f>
              <c:numCache>
                <c:formatCode>0.00</c:formatCode>
                <c:ptCount val="13"/>
                <c:pt idx="0">
                  <c:v>1471.3</c:v>
                </c:pt>
                <c:pt idx="1">
                  <c:v>1307.3</c:v>
                </c:pt>
                <c:pt idx="2">
                  <c:v>1170.08</c:v>
                </c:pt>
                <c:pt idx="3">
                  <c:v>995.5</c:v>
                </c:pt>
                <c:pt idx="4">
                  <c:v>874.24</c:v>
                </c:pt>
                <c:pt idx="5">
                  <c:v>722.08</c:v>
                </c:pt>
                <c:pt idx="6">
                  <c:v>598.87</c:v>
                </c:pt>
                <c:pt idx="7">
                  <c:v>420.7</c:v>
                </c:pt>
                <c:pt idx="8">
                  <c:v>316.52</c:v>
                </c:pt>
                <c:pt idx="9" formatCode="General">
                  <c:v>113.62</c:v>
                </c:pt>
                <c:pt idx="10" formatCode="General">
                  <c:v>49.05</c:v>
                </c:pt>
                <c:pt idx="11" formatCode="General">
                  <c:v>21.237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'2001_Inc_01.12.20'!$F$3:$F$15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77224"/>
        <c:axId val="-2099771800"/>
      </c:scatterChart>
      <c:valAx>
        <c:axId val="-209977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771800"/>
        <c:crosses val="autoZero"/>
        <c:crossBetween val="midCat"/>
      </c:valAx>
      <c:valAx>
        <c:axId val="-2099771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777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'2001_Inc_02.12.20'!$E$3:$E$14</c:f>
              <c:numCache>
                <c:formatCode>0.00</c:formatCode>
                <c:ptCount val="12"/>
                <c:pt idx="0">
                  <c:v>265.33</c:v>
                </c:pt>
                <c:pt idx="1">
                  <c:v>239.0</c:v>
                </c:pt>
                <c:pt idx="2">
                  <c:v>212.7</c:v>
                </c:pt>
                <c:pt idx="3">
                  <c:v>182.72</c:v>
                </c:pt>
                <c:pt idx="4">
                  <c:v>162.81</c:v>
                </c:pt>
                <c:pt idx="5">
                  <c:v>136.07</c:v>
                </c:pt>
                <c:pt idx="6">
                  <c:v>112.4</c:v>
                </c:pt>
                <c:pt idx="7">
                  <c:v>81.472</c:v>
                </c:pt>
                <c:pt idx="8">
                  <c:v>62.49</c:v>
                </c:pt>
                <c:pt idx="9" formatCode="General">
                  <c:v>24.183</c:v>
                </c:pt>
                <c:pt idx="10" formatCode="General">
                  <c:v>13.039</c:v>
                </c:pt>
                <c:pt idx="11" formatCode="General">
                  <c:v>5.578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98152"/>
        <c:axId val="-2101792648"/>
      </c:scatterChart>
      <c:valAx>
        <c:axId val="-210179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792648"/>
        <c:crosses val="autoZero"/>
        <c:crossBetween val="midCat"/>
      </c:valAx>
      <c:valAx>
        <c:axId val="-2101792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79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'2001_Inc_04.12.20'!$D$3:$D$15</c:f>
              <c:numCache>
                <c:formatCode>0.00</c:formatCode>
                <c:ptCount val="13"/>
                <c:pt idx="0">
                  <c:v>1442.8</c:v>
                </c:pt>
                <c:pt idx="1">
                  <c:v>1302.5</c:v>
                </c:pt>
                <c:pt idx="2">
                  <c:v>1194.4</c:v>
                </c:pt>
                <c:pt idx="3">
                  <c:v>991.85</c:v>
                </c:pt>
                <c:pt idx="4">
                  <c:v>908.59</c:v>
                </c:pt>
                <c:pt idx="5">
                  <c:v>709.36</c:v>
                </c:pt>
                <c:pt idx="6">
                  <c:v>589.7</c:v>
                </c:pt>
                <c:pt idx="7">
                  <c:v>446.68</c:v>
                </c:pt>
                <c:pt idx="8">
                  <c:v>311.49</c:v>
                </c:pt>
                <c:pt idx="9" formatCode="General">
                  <c:v>97.781</c:v>
                </c:pt>
                <c:pt idx="10" formatCode="General">
                  <c:v>53.385</c:v>
                </c:pt>
                <c:pt idx="11" formatCode="General">
                  <c:v>18.89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'2001_Inc_04.12.20'!$F$3:$F$15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528696"/>
        <c:axId val="-2101523272"/>
      </c:scatterChart>
      <c:valAx>
        <c:axId val="-210152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523272"/>
        <c:crosses val="autoZero"/>
        <c:crossBetween val="midCat"/>
      </c:valAx>
      <c:valAx>
        <c:axId val="-2101523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528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'2001_Inc_04.12.20'!$E$3:$E$15</c:f>
              <c:numCache>
                <c:formatCode>0.00</c:formatCode>
                <c:ptCount val="13"/>
                <c:pt idx="0">
                  <c:v>263.72</c:v>
                </c:pt>
                <c:pt idx="1">
                  <c:v>231.19</c:v>
                </c:pt>
                <c:pt idx="2">
                  <c:v>205.89</c:v>
                </c:pt>
                <c:pt idx="3">
                  <c:v>189.99</c:v>
                </c:pt>
                <c:pt idx="4">
                  <c:v>164.59</c:v>
                </c:pt>
                <c:pt idx="5">
                  <c:v>142.45</c:v>
                </c:pt>
                <c:pt idx="6">
                  <c:v>116.46</c:v>
                </c:pt>
                <c:pt idx="7">
                  <c:v>84.158</c:v>
                </c:pt>
                <c:pt idx="8">
                  <c:v>64.179</c:v>
                </c:pt>
                <c:pt idx="9" formatCode="General">
                  <c:v>23.872</c:v>
                </c:pt>
                <c:pt idx="10" formatCode="General">
                  <c:v>12.634</c:v>
                </c:pt>
                <c:pt idx="11" formatCode="General">
                  <c:v>5.803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'2001_Inc_04.12.20'!$F$3:$F$15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368"/>
        <c:axId val="-2101485864"/>
      </c:scatterChart>
      <c:valAx>
        <c:axId val="-210149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485864"/>
        <c:crosses val="autoZero"/>
        <c:crossBetween val="midCat"/>
      </c:valAx>
      <c:valAx>
        <c:axId val="-2101485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49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'2001_Inc_04.12.20'!$D$3:$D$14</c:f>
              <c:numCache>
                <c:formatCode>0.00</c:formatCode>
                <c:ptCount val="12"/>
                <c:pt idx="0">
                  <c:v>1442.8</c:v>
                </c:pt>
                <c:pt idx="1">
                  <c:v>1302.5</c:v>
                </c:pt>
                <c:pt idx="2">
                  <c:v>1194.4</c:v>
                </c:pt>
                <c:pt idx="3">
                  <c:v>991.85</c:v>
                </c:pt>
                <c:pt idx="4">
                  <c:v>908.59</c:v>
                </c:pt>
                <c:pt idx="5">
                  <c:v>709.36</c:v>
                </c:pt>
                <c:pt idx="6">
                  <c:v>589.7</c:v>
                </c:pt>
                <c:pt idx="7">
                  <c:v>446.68</c:v>
                </c:pt>
                <c:pt idx="8">
                  <c:v>311.49</c:v>
                </c:pt>
                <c:pt idx="9" formatCode="General">
                  <c:v>97.781</c:v>
                </c:pt>
                <c:pt idx="10" formatCode="General">
                  <c:v>53.385</c:v>
                </c:pt>
                <c:pt idx="11" formatCode="General">
                  <c:v>18.89</c:v>
                </c:pt>
              </c:numCache>
            </c:numRef>
          </c:xVal>
          <c:yVal>
            <c:numRef>
              <c:f>'2001_Inc_04.12.20'!$F$3:$F$14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84456"/>
        <c:axId val="-2101379032"/>
      </c:scatterChart>
      <c:valAx>
        <c:axId val="-210138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379032"/>
        <c:crosses val="autoZero"/>
        <c:crossBetween val="midCat"/>
      </c:valAx>
      <c:valAx>
        <c:axId val="-210137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38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'2001_Inc_04.12.20'!$E$3:$E$14</c:f>
              <c:numCache>
                <c:formatCode>0.00</c:formatCode>
                <c:ptCount val="12"/>
                <c:pt idx="0">
                  <c:v>263.72</c:v>
                </c:pt>
                <c:pt idx="1">
                  <c:v>231.19</c:v>
                </c:pt>
                <c:pt idx="2">
                  <c:v>205.89</c:v>
                </c:pt>
                <c:pt idx="3">
                  <c:v>189.99</c:v>
                </c:pt>
                <c:pt idx="4">
                  <c:v>164.59</c:v>
                </c:pt>
                <c:pt idx="5">
                  <c:v>142.45</c:v>
                </c:pt>
                <c:pt idx="6">
                  <c:v>116.46</c:v>
                </c:pt>
                <c:pt idx="7">
                  <c:v>84.158</c:v>
                </c:pt>
                <c:pt idx="8">
                  <c:v>64.179</c:v>
                </c:pt>
                <c:pt idx="9" formatCode="General">
                  <c:v>23.872</c:v>
                </c:pt>
                <c:pt idx="10" formatCode="General">
                  <c:v>12.634</c:v>
                </c:pt>
                <c:pt idx="11" formatCode="General">
                  <c:v>5.803</c:v>
                </c:pt>
              </c:numCache>
            </c:numRef>
          </c:xVal>
          <c:yVal>
            <c:numRef>
              <c:f>'2001_Inc_04.12.20'!$F$3:$F$14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89592"/>
        <c:axId val="-2099110856"/>
      </c:scatterChart>
      <c:valAx>
        <c:axId val="-212118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110856"/>
        <c:crosses val="autoZero"/>
        <c:crossBetween val="midCat"/>
      </c:valAx>
      <c:valAx>
        <c:axId val="-2099110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189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'2001_Inc_02.12.20'!$D$3:$D$14</c:f>
              <c:numCache>
                <c:formatCode>0.00</c:formatCode>
                <c:ptCount val="12"/>
                <c:pt idx="0">
                  <c:v>1432.0</c:v>
                </c:pt>
                <c:pt idx="1">
                  <c:v>1306.8</c:v>
                </c:pt>
                <c:pt idx="2">
                  <c:v>1209.8</c:v>
                </c:pt>
                <c:pt idx="3">
                  <c:v>1042.9</c:v>
                </c:pt>
                <c:pt idx="4">
                  <c:v>921.55</c:v>
                </c:pt>
                <c:pt idx="5">
                  <c:v>729.64</c:v>
                </c:pt>
                <c:pt idx="6">
                  <c:v>623.26</c:v>
                </c:pt>
                <c:pt idx="7">
                  <c:v>446.65</c:v>
                </c:pt>
                <c:pt idx="8">
                  <c:v>320.12</c:v>
                </c:pt>
                <c:pt idx="9" formatCode="General">
                  <c:v>100.4</c:v>
                </c:pt>
                <c:pt idx="10" formatCode="General">
                  <c:v>50.741</c:v>
                </c:pt>
                <c:pt idx="11" formatCode="General">
                  <c:v>18.499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643544"/>
        <c:axId val="-2098638120"/>
      </c:scatterChart>
      <c:valAx>
        <c:axId val="-209864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638120"/>
        <c:crosses val="autoZero"/>
        <c:crossBetween val="midCat"/>
      </c:valAx>
      <c:valAx>
        <c:axId val="-2098638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643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'2001_Inc_02.12.20'!$E$3:$E$14</c:f>
              <c:numCache>
                <c:formatCode>0.00</c:formatCode>
                <c:ptCount val="12"/>
                <c:pt idx="0">
                  <c:v>265.33</c:v>
                </c:pt>
                <c:pt idx="1">
                  <c:v>239.0</c:v>
                </c:pt>
                <c:pt idx="2">
                  <c:v>212.7</c:v>
                </c:pt>
                <c:pt idx="3">
                  <c:v>182.72</c:v>
                </c:pt>
                <c:pt idx="4">
                  <c:v>162.81</c:v>
                </c:pt>
                <c:pt idx="5">
                  <c:v>136.07</c:v>
                </c:pt>
                <c:pt idx="6">
                  <c:v>112.4</c:v>
                </c:pt>
                <c:pt idx="7">
                  <c:v>81.472</c:v>
                </c:pt>
                <c:pt idx="8">
                  <c:v>62.49</c:v>
                </c:pt>
                <c:pt idx="9" formatCode="General">
                  <c:v>24.183</c:v>
                </c:pt>
                <c:pt idx="10" formatCode="General">
                  <c:v>13.039</c:v>
                </c:pt>
                <c:pt idx="11" formatCode="General">
                  <c:v>5.578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41032"/>
        <c:axId val="-2099135528"/>
      </c:scatterChart>
      <c:valAx>
        <c:axId val="-209914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135528"/>
        <c:crosses val="autoZero"/>
        <c:crossBetween val="midCat"/>
      </c:valAx>
      <c:valAx>
        <c:axId val="-209913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141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'2001_Inc_07.12.20'!$D$3:$D$15</c:f>
              <c:numCache>
                <c:formatCode>0.00</c:formatCode>
                <c:ptCount val="13"/>
                <c:pt idx="0">
                  <c:v>1455.9</c:v>
                </c:pt>
                <c:pt idx="1">
                  <c:v>1301.8</c:v>
                </c:pt>
                <c:pt idx="2">
                  <c:v>1166.5</c:v>
                </c:pt>
                <c:pt idx="3">
                  <c:v>1013.4</c:v>
                </c:pt>
                <c:pt idx="4">
                  <c:v>892.3</c:v>
                </c:pt>
                <c:pt idx="5">
                  <c:v>708.04</c:v>
                </c:pt>
                <c:pt idx="6">
                  <c:v>592.72</c:v>
                </c:pt>
                <c:pt idx="7">
                  <c:v>416.65</c:v>
                </c:pt>
                <c:pt idx="8">
                  <c:v>288.78</c:v>
                </c:pt>
                <c:pt idx="9" formatCode="General">
                  <c:v>112.48</c:v>
                </c:pt>
                <c:pt idx="10" formatCode="General">
                  <c:v>52.969</c:v>
                </c:pt>
                <c:pt idx="11" formatCode="General">
                  <c:v>20.002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'2001_Inc_07.12.20'!$F$3:$F$15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47656"/>
        <c:axId val="-2098844696"/>
      </c:scatterChart>
      <c:valAx>
        <c:axId val="-212124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844696"/>
        <c:crosses val="autoZero"/>
        <c:crossBetween val="midCat"/>
      </c:valAx>
      <c:valAx>
        <c:axId val="-209884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1247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'2001_Inc_07.12.20'!$E$3:$E$15</c:f>
              <c:numCache>
                <c:formatCode>0.00</c:formatCode>
                <c:ptCount val="13"/>
                <c:pt idx="0">
                  <c:v>247.41</c:v>
                </c:pt>
                <c:pt idx="1">
                  <c:v>238.8</c:v>
                </c:pt>
                <c:pt idx="2">
                  <c:v>201.81</c:v>
                </c:pt>
                <c:pt idx="3">
                  <c:v>188.44</c:v>
                </c:pt>
                <c:pt idx="4">
                  <c:v>159.25</c:v>
                </c:pt>
                <c:pt idx="5">
                  <c:v>126.59</c:v>
                </c:pt>
                <c:pt idx="6">
                  <c:v>114.1</c:v>
                </c:pt>
                <c:pt idx="7">
                  <c:v>80.185</c:v>
                </c:pt>
                <c:pt idx="8">
                  <c:v>62.736</c:v>
                </c:pt>
                <c:pt idx="9" formatCode="General">
                  <c:v>24.101</c:v>
                </c:pt>
                <c:pt idx="10" formatCode="General">
                  <c:v>12.785</c:v>
                </c:pt>
                <c:pt idx="11" formatCode="General">
                  <c:v>6.047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'2001_Inc_07.12.20'!$F$3:$F$15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10664"/>
        <c:axId val="-2099705208"/>
      </c:scatterChart>
      <c:valAx>
        <c:axId val="-209971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705208"/>
        <c:crosses val="autoZero"/>
        <c:crossBetween val="midCat"/>
      </c:valAx>
      <c:valAx>
        <c:axId val="-2099705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710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'2001_Inc_04.12.20'!$D$3:$D$14</c:f>
              <c:numCache>
                <c:formatCode>0.00</c:formatCode>
                <c:ptCount val="12"/>
                <c:pt idx="0">
                  <c:v>1442.8</c:v>
                </c:pt>
                <c:pt idx="1">
                  <c:v>1302.5</c:v>
                </c:pt>
                <c:pt idx="2">
                  <c:v>1194.4</c:v>
                </c:pt>
                <c:pt idx="3">
                  <c:v>991.85</c:v>
                </c:pt>
                <c:pt idx="4">
                  <c:v>908.59</c:v>
                </c:pt>
                <c:pt idx="5">
                  <c:v>709.36</c:v>
                </c:pt>
                <c:pt idx="6">
                  <c:v>589.7</c:v>
                </c:pt>
                <c:pt idx="7">
                  <c:v>446.68</c:v>
                </c:pt>
                <c:pt idx="8">
                  <c:v>311.49</c:v>
                </c:pt>
                <c:pt idx="9" formatCode="General">
                  <c:v>97.781</c:v>
                </c:pt>
                <c:pt idx="10" formatCode="General">
                  <c:v>53.385</c:v>
                </c:pt>
                <c:pt idx="11" formatCode="General">
                  <c:v>18.89</c:v>
                </c:pt>
              </c:numCache>
            </c:numRef>
          </c:xVal>
          <c:yVal>
            <c:numRef>
              <c:f>'2001_Inc_04.12.20'!$F$3:$F$14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626376"/>
        <c:axId val="-2099620952"/>
      </c:scatterChart>
      <c:valAx>
        <c:axId val="-209962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620952"/>
        <c:crosses val="autoZero"/>
        <c:crossBetween val="midCat"/>
      </c:valAx>
      <c:valAx>
        <c:axId val="-2099620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626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'2001_Inc_01.12.20'!$E$3:$E$15</c:f>
              <c:numCache>
                <c:formatCode>0.00</c:formatCode>
                <c:ptCount val="13"/>
                <c:pt idx="0">
                  <c:v>256.1</c:v>
                </c:pt>
                <c:pt idx="1">
                  <c:v>224.53</c:v>
                </c:pt>
                <c:pt idx="2">
                  <c:v>208.96</c:v>
                </c:pt>
                <c:pt idx="3">
                  <c:v>187.09</c:v>
                </c:pt>
                <c:pt idx="4">
                  <c:v>169.16</c:v>
                </c:pt>
                <c:pt idx="5">
                  <c:v>134.52</c:v>
                </c:pt>
                <c:pt idx="6">
                  <c:v>112.86</c:v>
                </c:pt>
                <c:pt idx="7">
                  <c:v>80.782</c:v>
                </c:pt>
                <c:pt idx="8">
                  <c:v>62.53</c:v>
                </c:pt>
                <c:pt idx="9" formatCode="General">
                  <c:v>26.337</c:v>
                </c:pt>
                <c:pt idx="10" formatCode="General">
                  <c:v>12.865</c:v>
                </c:pt>
                <c:pt idx="11" formatCode="General">
                  <c:v>6.311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'2001_Inc_01.12.20'!$F$3:$F$15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39640"/>
        <c:axId val="-2099734136"/>
      </c:scatterChart>
      <c:valAx>
        <c:axId val="-209973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734136"/>
        <c:crosses val="autoZero"/>
        <c:crossBetween val="midCat"/>
      </c:valAx>
      <c:valAx>
        <c:axId val="-209973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739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'2001_Inc_04.12.20'!$E$3:$E$14</c:f>
              <c:numCache>
                <c:formatCode>0.00</c:formatCode>
                <c:ptCount val="12"/>
                <c:pt idx="0">
                  <c:v>263.72</c:v>
                </c:pt>
                <c:pt idx="1">
                  <c:v>231.19</c:v>
                </c:pt>
                <c:pt idx="2">
                  <c:v>205.89</c:v>
                </c:pt>
                <c:pt idx="3">
                  <c:v>189.99</c:v>
                </c:pt>
                <c:pt idx="4">
                  <c:v>164.59</c:v>
                </c:pt>
                <c:pt idx="5">
                  <c:v>142.45</c:v>
                </c:pt>
                <c:pt idx="6">
                  <c:v>116.46</c:v>
                </c:pt>
                <c:pt idx="7">
                  <c:v>84.158</c:v>
                </c:pt>
                <c:pt idx="8">
                  <c:v>64.179</c:v>
                </c:pt>
                <c:pt idx="9" formatCode="General">
                  <c:v>23.872</c:v>
                </c:pt>
                <c:pt idx="10" formatCode="General">
                  <c:v>12.634</c:v>
                </c:pt>
                <c:pt idx="11" formatCode="General">
                  <c:v>5.803</c:v>
                </c:pt>
              </c:numCache>
            </c:numRef>
          </c:xVal>
          <c:yVal>
            <c:numRef>
              <c:f>'2001_Inc_04.12.20'!$F$3:$F$14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88392"/>
        <c:axId val="-2099582888"/>
      </c:scatterChart>
      <c:valAx>
        <c:axId val="-209958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582888"/>
        <c:crosses val="autoZero"/>
        <c:crossBetween val="midCat"/>
      </c:valAx>
      <c:valAx>
        <c:axId val="-2099582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58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'2001_Inc_02.12.20'!$D$3:$D$14</c:f>
              <c:numCache>
                <c:formatCode>0.00</c:formatCode>
                <c:ptCount val="12"/>
                <c:pt idx="0">
                  <c:v>1432.0</c:v>
                </c:pt>
                <c:pt idx="1">
                  <c:v>1306.8</c:v>
                </c:pt>
                <c:pt idx="2">
                  <c:v>1209.8</c:v>
                </c:pt>
                <c:pt idx="3">
                  <c:v>1042.9</c:v>
                </c:pt>
                <c:pt idx="4">
                  <c:v>921.55</c:v>
                </c:pt>
                <c:pt idx="5">
                  <c:v>729.64</c:v>
                </c:pt>
                <c:pt idx="6">
                  <c:v>623.26</c:v>
                </c:pt>
                <c:pt idx="7">
                  <c:v>446.65</c:v>
                </c:pt>
                <c:pt idx="8">
                  <c:v>320.12</c:v>
                </c:pt>
                <c:pt idx="9" formatCode="General">
                  <c:v>100.4</c:v>
                </c:pt>
                <c:pt idx="10" formatCode="General">
                  <c:v>50.741</c:v>
                </c:pt>
                <c:pt idx="11" formatCode="General">
                  <c:v>18.499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47528"/>
        <c:axId val="-2099542104"/>
      </c:scatterChart>
      <c:valAx>
        <c:axId val="-209954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542104"/>
        <c:crosses val="autoZero"/>
        <c:crossBetween val="midCat"/>
      </c:valAx>
      <c:valAx>
        <c:axId val="-209954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547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'2001_Inc_02.12.20'!$E$3:$E$14</c:f>
              <c:numCache>
                <c:formatCode>0.00</c:formatCode>
                <c:ptCount val="12"/>
                <c:pt idx="0">
                  <c:v>265.33</c:v>
                </c:pt>
                <c:pt idx="1">
                  <c:v>239.0</c:v>
                </c:pt>
                <c:pt idx="2">
                  <c:v>212.7</c:v>
                </c:pt>
                <c:pt idx="3">
                  <c:v>182.72</c:v>
                </c:pt>
                <c:pt idx="4">
                  <c:v>162.81</c:v>
                </c:pt>
                <c:pt idx="5">
                  <c:v>136.07</c:v>
                </c:pt>
                <c:pt idx="6">
                  <c:v>112.4</c:v>
                </c:pt>
                <c:pt idx="7">
                  <c:v>81.472</c:v>
                </c:pt>
                <c:pt idx="8">
                  <c:v>62.49</c:v>
                </c:pt>
                <c:pt idx="9" formatCode="General">
                  <c:v>24.183</c:v>
                </c:pt>
                <c:pt idx="10" formatCode="General">
                  <c:v>13.039</c:v>
                </c:pt>
                <c:pt idx="11" formatCode="General">
                  <c:v>5.578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10248"/>
        <c:axId val="-2099504744"/>
      </c:scatterChart>
      <c:valAx>
        <c:axId val="-209951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504744"/>
        <c:crosses val="autoZero"/>
        <c:crossBetween val="midCat"/>
      </c:valAx>
      <c:valAx>
        <c:axId val="-209950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510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'2001_Inc_08.12.20'!$D$3:$D$15</c:f>
              <c:numCache>
                <c:formatCode>0.00</c:formatCode>
                <c:ptCount val="13"/>
                <c:pt idx="0">
                  <c:v>1327.8</c:v>
                </c:pt>
                <c:pt idx="1">
                  <c:v>1107.3</c:v>
                </c:pt>
                <c:pt idx="2">
                  <c:v>1000.3</c:v>
                </c:pt>
                <c:pt idx="3">
                  <c:v>829.46</c:v>
                </c:pt>
                <c:pt idx="4">
                  <c:v>745.85</c:v>
                </c:pt>
                <c:pt idx="5">
                  <c:v>702.78</c:v>
                </c:pt>
                <c:pt idx="6">
                  <c:v>574.08</c:v>
                </c:pt>
                <c:pt idx="7">
                  <c:v>435.57</c:v>
                </c:pt>
                <c:pt idx="8">
                  <c:v>290.29</c:v>
                </c:pt>
                <c:pt idx="9" formatCode="General">
                  <c:v>108.44</c:v>
                </c:pt>
                <c:pt idx="10" formatCode="General">
                  <c:v>52.459</c:v>
                </c:pt>
                <c:pt idx="11" formatCode="General">
                  <c:v>23.388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'2001_Inc_08.12.20'!$F$3:$F$15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470072"/>
        <c:axId val="-2099464648"/>
      </c:scatterChart>
      <c:valAx>
        <c:axId val="-209947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464648"/>
        <c:crosses val="autoZero"/>
        <c:crossBetween val="midCat"/>
      </c:valAx>
      <c:valAx>
        <c:axId val="-209946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470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'2001_Inc_08.12.20'!$E$3:$E$15</c:f>
              <c:numCache>
                <c:formatCode>0.00</c:formatCode>
                <c:ptCount val="13"/>
                <c:pt idx="0">
                  <c:v>234.32</c:v>
                </c:pt>
                <c:pt idx="1">
                  <c:v>198.79</c:v>
                </c:pt>
                <c:pt idx="2">
                  <c:v>180.28</c:v>
                </c:pt>
                <c:pt idx="3">
                  <c:v>146.44</c:v>
                </c:pt>
                <c:pt idx="4">
                  <c:v>148.09</c:v>
                </c:pt>
                <c:pt idx="5">
                  <c:v>129.32</c:v>
                </c:pt>
                <c:pt idx="6">
                  <c:v>105.38</c:v>
                </c:pt>
                <c:pt idx="7">
                  <c:v>82.078</c:v>
                </c:pt>
                <c:pt idx="8">
                  <c:v>59.107</c:v>
                </c:pt>
                <c:pt idx="9" formatCode="General">
                  <c:v>24.161</c:v>
                </c:pt>
                <c:pt idx="10" formatCode="General">
                  <c:v>12.38</c:v>
                </c:pt>
                <c:pt idx="11" formatCode="General">
                  <c:v>6.415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'2001_Inc_08.12.20'!$F$3:$F$15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432296"/>
        <c:axId val="-2099426792"/>
      </c:scatterChart>
      <c:valAx>
        <c:axId val="-209943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426792"/>
        <c:crosses val="autoZero"/>
        <c:crossBetween val="midCat"/>
      </c:valAx>
      <c:valAx>
        <c:axId val="-2099426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43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'2001_Inc_04.12.20'!$D$3:$D$14</c:f>
              <c:numCache>
                <c:formatCode>0.00</c:formatCode>
                <c:ptCount val="12"/>
                <c:pt idx="0">
                  <c:v>1442.8</c:v>
                </c:pt>
                <c:pt idx="1">
                  <c:v>1302.5</c:v>
                </c:pt>
                <c:pt idx="2">
                  <c:v>1194.4</c:v>
                </c:pt>
                <c:pt idx="3">
                  <c:v>991.85</c:v>
                </c:pt>
                <c:pt idx="4">
                  <c:v>908.59</c:v>
                </c:pt>
                <c:pt idx="5">
                  <c:v>709.36</c:v>
                </c:pt>
                <c:pt idx="6">
                  <c:v>589.7</c:v>
                </c:pt>
                <c:pt idx="7">
                  <c:v>446.68</c:v>
                </c:pt>
                <c:pt idx="8">
                  <c:v>311.49</c:v>
                </c:pt>
                <c:pt idx="9" formatCode="General">
                  <c:v>97.781</c:v>
                </c:pt>
                <c:pt idx="10" formatCode="General">
                  <c:v>53.385</c:v>
                </c:pt>
                <c:pt idx="11" formatCode="General">
                  <c:v>18.89</c:v>
                </c:pt>
              </c:numCache>
            </c:numRef>
          </c:xVal>
          <c:yVal>
            <c:numRef>
              <c:f>'2001_Inc_04.12.20'!$F$3:$F$14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60792"/>
        <c:axId val="-2100155368"/>
      </c:scatterChart>
      <c:valAx>
        <c:axId val="-210016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0155368"/>
        <c:crosses val="autoZero"/>
        <c:crossBetween val="midCat"/>
      </c:valAx>
      <c:valAx>
        <c:axId val="-2100155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0160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'2001_Inc_04.12.20'!$E$3:$E$14</c:f>
              <c:numCache>
                <c:formatCode>0.00</c:formatCode>
                <c:ptCount val="12"/>
                <c:pt idx="0">
                  <c:v>263.72</c:v>
                </c:pt>
                <c:pt idx="1">
                  <c:v>231.19</c:v>
                </c:pt>
                <c:pt idx="2">
                  <c:v>205.89</c:v>
                </c:pt>
                <c:pt idx="3">
                  <c:v>189.99</c:v>
                </c:pt>
                <c:pt idx="4">
                  <c:v>164.59</c:v>
                </c:pt>
                <c:pt idx="5">
                  <c:v>142.45</c:v>
                </c:pt>
                <c:pt idx="6">
                  <c:v>116.46</c:v>
                </c:pt>
                <c:pt idx="7">
                  <c:v>84.158</c:v>
                </c:pt>
                <c:pt idx="8">
                  <c:v>64.179</c:v>
                </c:pt>
                <c:pt idx="9" formatCode="General">
                  <c:v>23.872</c:v>
                </c:pt>
                <c:pt idx="10" formatCode="General">
                  <c:v>12.634</c:v>
                </c:pt>
                <c:pt idx="11" formatCode="General">
                  <c:v>5.803</c:v>
                </c:pt>
              </c:numCache>
            </c:numRef>
          </c:xVal>
          <c:yVal>
            <c:numRef>
              <c:f>'2001_Inc_04.12.20'!$F$3:$F$14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23672"/>
        <c:axId val="-2100118168"/>
      </c:scatterChart>
      <c:valAx>
        <c:axId val="-210012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0118168"/>
        <c:crosses val="autoZero"/>
        <c:crossBetween val="midCat"/>
      </c:valAx>
      <c:valAx>
        <c:axId val="-210011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0123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'2001_Inc_02.12.20'!$D$3:$D$14</c:f>
              <c:numCache>
                <c:formatCode>0.00</c:formatCode>
                <c:ptCount val="12"/>
                <c:pt idx="0">
                  <c:v>1432.0</c:v>
                </c:pt>
                <c:pt idx="1">
                  <c:v>1306.8</c:v>
                </c:pt>
                <c:pt idx="2">
                  <c:v>1209.8</c:v>
                </c:pt>
                <c:pt idx="3">
                  <c:v>1042.9</c:v>
                </c:pt>
                <c:pt idx="4">
                  <c:v>921.55</c:v>
                </c:pt>
                <c:pt idx="5">
                  <c:v>729.64</c:v>
                </c:pt>
                <c:pt idx="6">
                  <c:v>623.26</c:v>
                </c:pt>
                <c:pt idx="7">
                  <c:v>446.65</c:v>
                </c:pt>
                <c:pt idx="8">
                  <c:v>320.12</c:v>
                </c:pt>
                <c:pt idx="9" formatCode="General">
                  <c:v>100.4</c:v>
                </c:pt>
                <c:pt idx="10" formatCode="General">
                  <c:v>50.741</c:v>
                </c:pt>
                <c:pt idx="11" formatCode="General">
                  <c:v>18.499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083560"/>
        <c:axId val="-2100078136"/>
      </c:scatterChart>
      <c:valAx>
        <c:axId val="-210008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0078136"/>
        <c:crosses val="autoZero"/>
        <c:crossBetween val="midCat"/>
      </c:valAx>
      <c:valAx>
        <c:axId val="-2100078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0083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'2001_Inc_02.12.20'!$E$3:$E$14</c:f>
              <c:numCache>
                <c:formatCode>0.00</c:formatCode>
                <c:ptCount val="12"/>
                <c:pt idx="0">
                  <c:v>265.33</c:v>
                </c:pt>
                <c:pt idx="1">
                  <c:v>239.0</c:v>
                </c:pt>
                <c:pt idx="2">
                  <c:v>212.7</c:v>
                </c:pt>
                <c:pt idx="3">
                  <c:v>182.72</c:v>
                </c:pt>
                <c:pt idx="4">
                  <c:v>162.81</c:v>
                </c:pt>
                <c:pt idx="5">
                  <c:v>136.07</c:v>
                </c:pt>
                <c:pt idx="6">
                  <c:v>112.4</c:v>
                </c:pt>
                <c:pt idx="7">
                  <c:v>81.472</c:v>
                </c:pt>
                <c:pt idx="8">
                  <c:v>62.49</c:v>
                </c:pt>
                <c:pt idx="9" formatCode="General">
                  <c:v>24.183</c:v>
                </c:pt>
                <c:pt idx="10" formatCode="General">
                  <c:v>13.039</c:v>
                </c:pt>
                <c:pt idx="11" formatCode="General">
                  <c:v>5.578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67976"/>
        <c:axId val="-2116961128"/>
      </c:scatterChart>
      <c:valAx>
        <c:axId val="214606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961128"/>
        <c:crosses val="autoZero"/>
        <c:crossBetween val="midCat"/>
      </c:valAx>
      <c:valAx>
        <c:axId val="-2116961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067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'2001_Inc_11.12.20'!$D$3:$D$15</c:f>
              <c:numCache>
                <c:formatCode>0.00</c:formatCode>
                <c:ptCount val="13"/>
                <c:pt idx="0">
                  <c:v>1463.5</c:v>
                </c:pt>
                <c:pt idx="1">
                  <c:v>1191.6</c:v>
                </c:pt>
                <c:pt idx="2">
                  <c:v>955.96</c:v>
                </c:pt>
                <c:pt idx="3">
                  <c:v>821.11</c:v>
                </c:pt>
                <c:pt idx="4">
                  <c:v>799.54</c:v>
                </c:pt>
                <c:pt idx="5">
                  <c:v>719.29</c:v>
                </c:pt>
                <c:pt idx="6">
                  <c:v>566.86</c:v>
                </c:pt>
                <c:pt idx="7">
                  <c:v>413.0</c:v>
                </c:pt>
                <c:pt idx="8">
                  <c:v>266.15</c:v>
                </c:pt>
                <c:pt idx="9" formatCode="General">
                  <c:v>107.76</c:v>
                </c:pt>
                <c:pt idx="10" formatCode="General">
                  <c:v>55.171</c:v>
                </c:pt>
                <c:pt idx="11" formatCode="General">
                  <c:v>22.428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'2001_Inc_11.12.20'!$F$3:$F$15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43368"/>
        <c:axId val="2146248776"/>
      </c:scatterChart>
      <c:valAx>
        <c:axId val="214624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248776"/>
        <c:crosses val="autoZero"/>
        <c:crossBetween val="midCat"/>
      </c:valAx>
      <c:valAx>
        <c:axId val="2146248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6243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'2001_Inc_02.12.20'!$D$3:$D$14</c:f>
              <c:numCache>
                <c:formatCode>0.00</c:formatCode>
                <c:ptCount val="12"/>
                <c:pt idx="0">
                  <c:v>1432.0</c:v>
                </c:pt>
                <c:pt idx="1">
                  <c:v>1306.8</c:v>
                </c:pt>
                <c:pt idx="2">
                  <c:v>1209.8</c:v>
                </c:pt>
                <c:pt idx="3">
                  <c:v>1042.9</c:v>
                </c:pt>
                <c:pt idx="4">
                  <c:v>921.55</c:v>
                </c:pt>
                <c:pt idx="5">
                  <c:v>729.64</c:v>
                </c:pt>
                <c:pt idx="6">
                  <c:v>623.26</c:v>
                </c:pt>
                <c:pt idx="7">
                  <c:v>446.65</c:v>
                </c:pt>
                <c:pt idx="8">
                  <c:v>320.12</c:v>
                </c:pt>
                <c:pt idx="9" formatCode="General">
                  <c:v>100.4</c:v>
                </c:pt>
                <c:pt idx="10" formatCode="General">
                  <c:v>50.741</c:v>
                </c:pt>
                <c:pt idx="11" formatCode="General">
                  <c:v>18.499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83896"/>
        <c:axId val="-2100758712"/>
      </c:scatterChart>
      <c:valAx>
        <c:axId val="-211688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0758712"/>
        <c:crosses val="autoZero"/>
        <c:crossBetween val="midCat"/>
      </c:valAx>
      <c:valAx>
        <c:axId val="-210075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883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'2001_Inc_11.12.20'!$E$3:$E$15</c:f>
              <c:numCache>
                <c:formatCode>0.00</c:formatCode>
                <c:ptCount val="13"/>
                <c:pt idx="0">
                  <c:v>266.49</c:v>
                </c:pt>
                <c:pt idx="1">
                  <c:v>213.89</c:v>
                </c:pt>
                <c:pt idx="2">
                  <c:v>185.58</c:v>
                </c:pt>
                <c:pt idx="3">
                  <c:v>148.53</c:v>
                </c:pt>
                <c:pt idx="4">
                  <c:v>143.51</c:v>
                </c:pt>
                <c:pt idx="5">
                  <c:v>136.46</c:v>
                </c:pt>
                <c:pt idx="6">
                  <c:v>111.52</c:v>
                </c:pt>
                <c:pt idx="7">
                  <c:v>81.545</c:v>
                </c:pt>
                <c:pt idx="8">
                  <c:v>53.279</c:v>
                </c:pt>
                <c:pt idx="9" formatCode="General">
                  <c:v>26.07</c:v>
                </c:pt>
                <c:pt idx="10" formatCode="General">
                  <c:v>13.175</c:v>
                </c:pt>
                <c:pt idx="11" formatCode="General">
                  <c:v>6.539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'2001_Inc_11.12.20'!$F$3:$F$15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93496"/>
        <c:axId val="-2100860264"/>
      </c:scatterChart>
      <c:valAx>
        <c:axId val="-210059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0860264"/>
        <c:crosses val="autoZero"/>
        <c:crossBetween val="midCat"/>
      </c:valAx>
      <c:valAx>
        <c:axId val="-2100860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0593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'2001_Inc_04.12.20'!$D$3:$D$14</c:f>
              <c:numCache>
                <c:formatCode>0.00</c:formatCode>
                <c:ptCount val="12"/>
                <c:pt idx="0">
                  <c:v>1442.8</c:v>
                </c:pt>
                <c:pt idx="1">
                  <c:v>1302.5</c:v>
                </c:pt>
                <c:pt idx="2">
                  <c:v>1194.4</c:v>
                </c:pt>
                <c:pt idx="3">
                  <c:v>991.85</c:v>
                </c:pt>
                <c:pt idx="4">
                  <c:v>908.59</c:v>
                </c:pt>
                <c:pt idx="5">
                  <c:v>709.36</c:v>
                </c:pt>
                <c:pt idx="6">
                  <c:v>589.7</c:v>
                </c:pt>
                <c:pt idx="7">
                  <c:v>446.68</c:v>
                </c:pt>
                <c:pt idx="8">
                  <c:v>311.49</c:v>
                </c:pt>
                <c:pt idx="9" formatCode="General">
                  <c:v>97.781</c:v>
                </c:pt>
                <c:pt idx="10" formatCode="General">
                  <c:v>53.385</c:v>
                </c:pt>
                <c:pt idx="11" formatCode="General">
                  <c:v>18.89</c:v>
                </c:pt>
              </c:numCache>
            </c:numRef>
          </c:xVal>
          <c:yVal>
            <c:numRef>
              <c:f>'2001_Inc_04.12.20'!$F$3:$F$14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27000"/>
        <c:axId val="-2116962984"/>
      </c:scatterChart>
      <c:valAx>
        <c:axId val="214082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962984"/>
        <c:crosses val="autoZero"/>
        <c:crossBetween val="midCat"/>
      </c:valAx>
      <c:valAx>
        <c:axId val="-211696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40827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'2001_Inc_04.12.20'!$E$3:$E$14</c:f>
              <c:numCache>
                <c:formatCode>0.00</c:formatCode>
                <c:ptCount val="12"/>
                <c:pt idx="0">
                  <c:v>263.72</c:v>
                </c:pt>
                <c:pt idx="1">
                  <c:v>231.19</c:v>
                </c:pt>
                <c:pt idx="2">
                  <c:v>205.89</c:v>
                </c:pt>
                <c:pt idx="3">
                  <c:v>189.99</c:v>
                </c:pt>
                <c:pt idx="4">
                  <c:v>164.59</c:v>
                </c:pt>
                <c:pt idx="5">
                  <c:v>142.45</c:v>
                </c:pt>
                <c:pt idx="6">
                  <c:v>116.46</c:v>
                </c:pt>
                <c:pt idx="7">
                  <c:v>84.158</c:v>
                </c:pt>
                <c:pt idx="8">
                  <c:v>64.179</c:v>
                </c:pt>
                <c:pt idx="9" formatCode="General">
                  <c:v>23.872</c:v>
                </c:pt>
                <c:pt idx="10" formatCode="General">
                  <c:v>12.634</c:v>
                </c:pt>
                <c:pt idx="11" formatCode="General">
                  <c:v>5.803</c:v>
                </c:pt>
              </c:numCache>
            </c:numRef>
          </c:xVal>
          <c:yVal>
            <c:numRef>
              <c:f>'2001_Inc_04.12.20'!$F$3:$F$14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66312"/>
        <c:axId val="-2122563592"/>
      </c:scatterChart>
      <c:valAx>
        <c:axId val="-212956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2563592"/>
        <c:crosses val="autoZero"/>
        <c:crossBetween val="midCat"/>
      </c:valAx>
      <c:valAx>
        <c:axId val="-2122563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9566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'2001_Inc_02.12.20'!$D$3:$D$14</c:f>
              <c:numCache>
                <c:formatCode>0.00</c:formatCode>
                <c:ptCount val="12"/>
                <c:pt idx="0">
                  <c:v>1432.0</c:v>
                </c:pt>
                <c:pt idx="1">
                  <c:v>1306.8</c:v>
                </c:pt>
                <c:pt idx="2">
                  <c:v>1209.8</c:v>
                </c:pt>
                <c:pt idx="3">
                  <c:v>1042.9</c:v>
                </c:pt>
                <c:pt idx="4">
                  <c:v>921.55</c:v>
                </c:pt>
                <c:pt idx="5">
                  <c:v>729.64</c:v>
                </c:pt>
                <c:pt idx="6">
                  <c:v>623.26</c:v>
                </c:pt>
                <c:pt idx="7">
                  <c:v>446.65</c:v>
                </c:pt>
                <c:pt idx="8">
                  <c:v>320.12</c:v>
                </c:pt>
                <c:pt idx="9" formatCode="General">
                  <c:v>100.4</c:v>
                </c:pt>
                <c:pt idx="10" formatCode="General">
                  <c:v>50.741</c:v>
                </c:pt>
                <c:pt idx="11" formatCode="General">
                  <c:v>18.499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152680"/>
        <c:axId val="-2098145672"/>
      </c:scatterChart>
      <c:valAx>
        <c:axId val="-209815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145672"/>
        <c:crosses val="autoZero"/>
        <c:crossBetween val="midCat"/>
      </c:valAx>
      <c:valAx>
        <c:axId val="-2098145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152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'2001_Inc_02.12.20'!$E$3:$E$14</c:f>
              <c:numCache>
                <c:formatCode>0.00</c:formatCode>
                <c:ptCount val="12"/>
                <c:pt idx="0">
                  <c:v>265.33</c:v>
                </c:pt>
                <c:pt idx="1">
                  <c:v>239.0</c:v>
                </c:pt>
                <c:pt idx="2">
                  <c:v>212.7</c:v>
                </c:pt>
                <c:pt idx="3">
                  <c:v>182.72</c:v>
                </c:pt>
                <c:pt idx="4">
                  <c:v>162.81</c:v>
                </c:pt>
                <c:pt idx="5">
                  <c:v>136.07</c:v>
                </c:pt>
                <c:pt idx="6">
                  <c:v>112.4</c:v>
                </c:pt>
                <c:pt idx="7">
                  <c:v>81.472</c:v>
                </c:pt>
                <c:pt idx="8">
                  <c:v>62.49</c:v>
                </c:pt>
                <c:pt idx="9" formatCode="General">
                  <c:v>24.183</c:v>
                </c:pt>
                <c:pt idx="10" formatCode="General">
                  <c:v>13.039</c:v>
                </c:pt>
                <c:pt idx="11" formatCode="General">
                  <c:v>5.578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091240"/>
        <c:axId val="-2098085736"/>
      </c:scatterChart>
      <c:valAx>
        <c:axId val="-209809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085736"/>
        <c:crosses val="autoZero"/>
        <c:crossBetween val="midCat"/>
      </c:valAx>
      <c:valAx>
        <c:axId val="-2098085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091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'2001_Inc_14.12.20'!$D$3:$D$15</c:f>
              <c:numCache>
                <c:formatCode>0.00</c:formatCode>
                <c:ptCount val="13"/>
                <c:pt idx="0">
                  <c:v>1379.1</c:v>
                </c:pt>
                <c:pt idx="1">
                  <c:v>1311.2</c:v>
                </c:pt>
                <c:pt idx="2">
                  <c:v>1189.8</c:v>
                </c:pt>
                <c:pt idx="3">
                  <c:v>1028.2</c:v>
                </c:pt>
                <c:pt idx="4">
                  <c:v>901.91</c:v>
                </c:pt>
                <c:pt idx="5">
                  <c:v>649.5599999999999</c:v>
                </c:pt>
                <c:pt idx="6">
                  <c:v>521.24</c:v>
                </c:pt>
                <c:pt idx="7">
                  <c:v>387.31</c:v>
                </c:pt>
                <c:pt idx="8">
                  <c:v>285.7</c:v>
                </c:pt>
                <c:pt idx="9" formatCode="General">
                  <c:v>107.58</c:v>
                </c:pt>
                <c:pt idx="10" formatCode="General">
                  <c:v>52.996</c:v>
                </c:pt>
                <c:pt idx="11" formatCode="General">
                  <c:v>21.618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'2001_Inc_14.12.20'!$F$3:$F$15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051064"/>
        <c:axId val="-2098045640"/>
      </c:scatterChart>
      <c:valAx>
        <c:axId val="-209805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045640"/>
        <c:crosses val="autoZero"/>
        <c:crossBetween val="midCat"/>
      </c:valAx>
      <c:valAx>
        <c:axId val="-209804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051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'2001_Inc_14.12.20'!$E$3:$E$15</c:f>
              <c:numCache>
                <c:formatCode>0.00</c:formatCode>
                <c:ptCount val="13"/>
                <c:pt idx="0">
                  <c:v>258.8</c:v>
                </c:pt>
                <c:pt idx="1">
                  <c:v>235.46</c:v>
                </c:pt>
                <c:pt idx="2">
                  <c:v>217.93</c:v>
                </c:pt>
                <c:pt idx="3">
                  <c:v>183.41</c:v>
                </c:pt>
                <c:pt idx="4">
                  <c:v>161.91</c:v>
                </c:pt>
                <c:pt idx="5">
                  <c:v>128.54</c:v>
                </c:pt>
                <c:pt idx="6">
                  <c:v>102.39</c:v>
                </c:pt>
                <c:pt idx="7">
                  <c:v>78.07899999999999</c:v>
                </c:pt>
                <c:pt idx="8">
                  <c:v>61.5</c:v>
                </c:pt>
                <c:pt idx="9" formatCode="General">
                  <c:v>25.504</c:v>
                </c:pt>
                <c:pt idx="10" formatCode="General">
                  <c:v>12.916</c:v>
                </c:pt>
                <c:pt idx="11" formatCode="General">
                  <c:v>6.557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'2001_Inc_14.12.20'!$F$3:$F$15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013288"/>
        <c:axId val="-2098007784"/>
      </c:scatterChart>
      <c:valAx>
        <c:axId val="-209801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007784"/>
        <c:crosses val="autoZero"/>
        <c:crossBetween val="midCat"/>
      </c:valAx>
      <c:valAx>
        <c:axId val="-209800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01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'2001_Inc_02.12.20'!$E$3:$E$14</c:f>
              <c:numCache>
                <c:formatCode>0.00</c:formatCode>
                <c:ptCount val="12"/>
                <c:pt idx="0">
                  <c:v>265.33</c:v>
                </c:pt>
                <c:pt idx="1">
                  <c:v>239.0</c:v>
                </c:pt>
                <c:pt idx="2">
                  <c:v>212.7</c:v>
                </c:pt>
                <c:pt idx="3">
                  <c:v>182.72</c:v>
                </c:pt>
                <c:pt idx="4">
                  <c:v>162.81</c:v>
                </c:pt>
                <c:pt idx="5">
                  <c:v>136.07</c:v>
                </c:pt>
                <c:pt idx="6">
                  <c:v>112.4</c:v>
                </c:pt>
                <c:pt idx="7">
                  <c:v>81.472</c:v>
                </c:pt>
                <c:pt idx="8">
                  <c:v>62.49</c:v>
                </c:pt>
                <c:pt idx="9" formatCode="General">
                  <c:v>24.183</c:v>
                </c:pt>
                <c:pt idx="10" formatCode="General">
                  <c:v>13.039</c:v>
                </c:pt>
                <c:pt idx="11" formatCode="General">
                  <c:v>5.578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29928"/>
        <c:axId val="-2099060760"/>
      </c:scatterChart>
      <c:valAx>
        <c:axId val="-209902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060760"/>
        <c:crosses val="autoZero"/>
        <c:crossBetween val="midCat"/>
      </c:valAx>
      <c:valAx>
        <c:axId val="-2099060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029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'2001_Inc_02.12.20'!$D$3:$D$15</c:f>
              <c:numCache>
                <c:formatCode>0.00</c:formatCode>
                <c:ptCount val="13"/>
                <c:pt idx="0">
                  <c:v>1432.0</c:v>
                </c:pt>
                <c:pt idx="1">
                  <c:v>1306.8</c:v>
                </c:pt>
                <c:pt idx="2">
                  <c:v>1209.8</c:v>
                </c:pt>
                <c:pt idx="3">
                  <c:v>1042.9</c:v>
                </c:pt>
                <c:pt idx="4">
                  <c:v>921.55</c:v>
                </c:pt>
                <c:pt idx="5">
                  <c:v>729.64</c:v>
                </c:pt>
                <c:pt idx="6">
                  <c:v>623.26</c:v>
                </c:pt>
                <c:pt idx="7">
                  <c:v>446.65</c:v>
                </c:pt>
                <c:pt idx="8">
                  <c:v>320.12</c:v>
                </c:pt>
                <c:pt idx="9" formatCode="General">
                  <c:v>100.4</c:v>
                </c:pt>
                <c:pt idx="10" formatCode="General">
                  <c:v>50.741</c:v>
                </c:pt>
                <c:pt idx="11" formatCode="General">
                  <c:v>18.499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'2001_Inc_02.12.20'!$F$3:$F$15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61656"/>
        <c:axId val="-2099003320"/>
      </c:scatterChart>
      <c:valAx>
        <c:axId val="-209916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003320"/>
        <c:crosses val="autoZero"/>
        <c:crossBetween val="midCat"/>
      </c:valAx>
      <c:valAx>
        <c:axId val="-2099003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161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'2001_Inc_02.12.20'!$E$3:$E$15</c:f>
              <c:numCache>
                <c:formatCode>0.00</c:formatCode>
                <c:ptCount val="13"/>
                <c:pt idx="0">
                  <c:v>265.33</c:v>
                </c:pt>
                <c:pt idx="1">
                  <c:v>239.0</c:v>
                </c:pt>
                <c:pt idx="2">
                  <c:v>212.7</c:v>
                </c:pt>
                <c:pt idx="3">
                  <c:v>182.72</c:v>
                </c:pt>
                <c:pt idx="4">
                  <c:v>162.81</c:v>
                </c:pt>
                <c:pt idx="5">
                  <c:v>136.07</c:v>
                </c:pt>
                <c:pt idx="6">
                  <c:v>112.4</c:v>
                </c:pt>
                <c:pt idx="7">
                  <c:v>81.472</c:v>
                </c:pt>
                <c:pt idx="8">
                  <c:v>62.49</c:v>
                </c:pt>
                <c:pt idx="9" formatCode="General">
                  <c:v>24.183</c:v>
                </c:pt>
                <c:pt idx="10" formatCode="General">
                  <c:v>13.039</c:v>
                </c:pt>
                <c:pt idx="11" formatCode="General">
                  <c:v>5.578</c:v>
                </c:pt>
                <c:pt idx="12" formatCode="General">
                  <c:v>0.0</c:v>
                </c:pt>
              </c:numCache>
            </c:numRef>
          </c:xVal>
          <c:yVal>
            <c:numRef>
              <c:f>'2001_Inc_02.12.20'!$F$3:$F$15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629896"/>
        <c:axId val="-2101624392"/>
      </c:scatterChart>
      <c:valAx>
        <c:axId val="-210162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624392"/>
        <c:crosses val="autoZero"/>
        <c:crossBetween val="midCat"/>
      </c:valAx>
      <c:valAx>
        <c:axId val="-2101624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629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'2001_Inc_04.12.20'!$D$3:$D$14</c:f>
              <c:numCache>
                <c:formatCode>0.00</c:formatCode>
                <c:ptCount val="12"/>
                <c:pt idx="0">
                  <c:v>1442.8</c:v>
                </c:pt>
                <c:pt idx="1">
                  <c:v>1302.5</c:v>
                </c:pt>
                <c:pt idx="2">
                  <c:v>1194.4</c:v>
                </c:pt>
                <c:pt idx="3">
                  <c:v>991.85</c:v>
                </c:pt>
                <c:pt idx="4">
                  <c:v>908.59</c:v>
                </c:pt>
                <c:pt idx="5">
                  <c:v>709.36</c:v>
                </c:pt>
                <c:pt idx="6">
                  <c:v>589.7</c:v>
                </c:pt>
                <c:pt idx="7">
                  <c:v>446.68</c:v>
                </c:pt>
                <c:pt idx="8">
                  <c:v>311.49</c:v>
                </c:pt>
                <c:pt idx="9" formatCode="General">
                  <c:v>97.781</c:v>
                </c:pt>
                <c:pt idx="10" formatCode="General">
                  <c:v>53.385</c:v>
                </c:pt>
                <c:pt idx="11" formatCode="General">
                  <c:v>18.89</c:v>
                </c:pt>
              </c:numCache>
            </c:numRef>
          </c:xVal>
          <c:yVal>
            <c:numRef>
              <c:f>'2001_Inc_04.12.20'!$F$3:$F$14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11496"/>
        <c:axId val="-2101724008"/>
      </c:scatterChart>
      <c:valAx>
        <c:axId val="-210171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724008"/>
        <c:crosses val="autoZero"/>
        <c:crossBetween val="midCat"/>
      </c:valAx>
      <c:valAx>
        <c:axId val="-210172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711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'2001_Inc_04.12.20'!$E$3:$E$14</c:f>
              <c:numCache>
                <c:formatCode>0.00</c:formatCode>
                <c:ptCount val="12"/>
                <c:pt idx="0">
                  <c:v>263.72</c:v>
                </c:pt>
                <c:pt idx="1">
                  <c:v>231.19</c:v>
                </c:pt>
                <c:pt idx="2">
                  <c:v>205.89</c:v>
                </c:pt>
                <c:pt idx="3">
                  <c:v>189.99</c:v>
                </c:pt>
                <c:pt idx="4">
                  <c:v>164.59</c:v>
                </c:pt>
                <c:pt idx="5">
                  <c:v>142.45</c:v>
                </c:pt>
                <c:pt idx="6">
                  <c:v>116.46</c:v>
                </c:pt>
                <c:pt idx="7">
                  <c:v>84.158</c:v>
                </c:pt>
                <c:pt idx="8">
                  <c:v>64.179</c:v>
                </c:pt>
                <c:pt idx="9" formatCode="General">
                  <c:v>23.872</c:v>
                </c:pt>
                <c:pt idx="10" formatCode="General">
                  <c:v>12.634</c:v>
                </c:pt>
                <c:pt idx="11" formatCode="General">
                  <c:v>5.803</c:v>
                </c:pt>
              </c:numCache>
            </c:numRef>
          </c:xVal>
          <c:yVal>
            <c:numRef>
              <c:f>'2001_Inc_04.12.20'!$F$3:$F$14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39304"/>
        <c:axId val="-2101749416"/>
      </c:scatterChart>
      <c:valAx>
        <c:axId val="-210173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749416"/>
        <c:crosses val="autoZero"/>
        <c:crossBetween val="midCat"/>
      </c:valAx>
      <c:valAx>
        <c:axId val="-2101749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739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'2001_Inc_02.12.20'!$D$3:$D$14</c:f>
              <c:numCache>
                <c:formatCode>0.00</c:formatCode>
                <c:ptCount val="12"/>
                <c:pt idx="0">
                  <c:v>1432.0</c:v>
                </c:pt>
                <c:pt idx="1">
                  <c:v>1306.8</c:v>
                </c:pt>
                <c:pt idx="2">
                  <c:v>1209.8</c:v>
                </c:pt>
                <c:pt idx="3">
                  <c:v>1042.9</c:v>
                </c:pt>
                <c:pt idx="4">
                  <c:v>921.55</c:v>
                </c:pt>
                <c:pt idx="5">
                  <c:v>729.64</c:v>
                </c:pt>
                <c:pt idx="6">
                  <c:v>623.26</c:v>
                </c:pt>
                <c:pt idx="7">
                  <c:v>446.65</c:v>
                </c:pt>
                <c:pt idx="8">
                  <c:v>320.12</c:v>
                </c:pt>
                <c:pt idx="9" formatCode="General">
                  <c:v>100.4</c:v>
                </c:pt>
                <c:pt idx="10" formatCode="General">
                  <c:v>50.741</c:v>
                </c:pt>
                <c:pt idx="11" formatCode="General">
                  <c:v>18.499</c:v>
                </c:pt>
              </c:numCache>
            </c:numRef>
          </c:xVal>
          <c:yVal>
            <c:numRef>
              <c:f>'2001_Inc_02.12.20'!$F$3:$F$14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835352"/>
        <c:axId val="-2101829928"/>
      </c:scatterChart>
      <c:valAx>
        <c:axId val="-210183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829928"/>
        <c:crosses val="autoZero"/>
        <c:crossBetween val="midCat"/>
      </c:valAx>
      <c:valAx>
        <c:axId val="-210182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1835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C_SierraNevada_Incubations_Beem-Miller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/ownCloud/Documents/14Constraint/Sierra%20Nevada%20PMxECO%20study/Incubations/Soil/Resp_cal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 t="str">
            <v>not modified</v>
          </cell>
        </row>
        <row r="3">
          <cell r="A3" t="str">
            <v>decalcify</v>
          </cell>
        </row>
        <row r="4">
          <cell r="A4" t="str">
            <v>inorganic carbon</v>
          </cell>
        </row>
        <row r="5">
          <cell r="A5" t="str">
            <v>cellulose</v>
          </cell>
        </row>
        <row r="6">
          <cell r="A6" t="str">
            <v>charcoal</v>
          </cell>
        </row>
        <row r="7">
          <cell r="A7" t="str">
            <v>bone collagen</v>
          </cell>
        </row>
        <row r="8">
          <cell r="A8" t="str">
            <v>other chemistry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CO2max19_pivot"/>
      <sheetName val="C19"/>
      <sheetName val="C01"/>
      <sheetName val="CO2max19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GRrf_0-8</v>
          </cell>
          <cell r="C2">
            <v>44109</v>
          </cell>
          <cell r="D2">
            <v>12.03</v>
          </cell>
          <cell r="E2" t="str">
            <v>GRrf_0-10</v>
          </cell>
          <cell r="G2">
            <v>15.176774714280183</v>
          </cell>
          <cell r="H2">
            <v>8</v>
          </cell>
          <cell r="I2">
            <v>8.4450397149162981</v>
          </cell>
          <cell r="J2">
            <v>0.67560317719330387</v>
          </cell>
          <cell r="K2">
            <v>10.253477216514689</v>
          </cell>
        </row>
        <row r="3">
          <cell r="B3" t="str">
            <v>GRrf_8-27</v>
          </cell>
          <cell r="C3">
            <v>44109</v>
          </cell>
          <cell r="D3">
            <v>9.1199999999999992</v>
          </cell>
          <cell r="E3" t="str">
            <v>GRrf_10-20</v>
          </cell>
          <cell r="F3" t="str">
            <v>GRrf_20-30</v>
          </cell>
          <cell r="G3">
            <v>20.809376828335964</v>
          </cell>
          <cell r="H3">
            <v>8</v>
          </cell>
          <cell r="I3">
            <v>0.96869934956953718</v>
          </cell>
          <cell r="J3">
            <v>7.7495947965562972E-2</v>
          </cell>
          <cell r="K3">
            <v>1.6126423838845156</v>
          </cell>
        </row>
        <row r="4">
          <cell r="B4" t="str">
            <v>GRwf_0-4</v>
          </cell>
          <cell r="C4">
            <v>44109</v>
          </cell>
          <cell r="D4">
            <v>20.57</v>
          </cell>
          <cell r="E4" t="str">
            <v>GRwf_0-10</v>
          </cell>
          <cell r="G4">
            <v>23.079503369837177</v>
          </cell>
          <cell r="H4">
            <v>8</v>
          </cell>
          <cell r="I4">
            <v>7.0594286602062413</v>
          </cell>
          <cell r="J4">
            <v>0.56475429281649925</v>
          </cell>
          <cell r="K4">
            <v>13.034248604188406</v>
          </cell>
        </row>
        <row r="5">
          <cell r="B5" t="str">
            <v>GRwf_4-13</v>
          </cell>
          <cell r="C5">
            <v>44109</v>
          </cell>
          <cell r="D5">
            <v>20.92</v>
          </cell>
          <cell r="E5" t="str">
            <v>GRwf_0-10</v>
          </cell>
          <cell r="G5">
            <v>23.079503369837177</v>
          </cell>
          <cell r="H5">
            <v>8</v>
          </cell>
          <cell r="I5">
            <v>3.9415215927671445</v>
          </cell>
          <cell r="J5">
            <v>0.31532172742137154</v>
          </cell>
          <cell r="K5">
            <v>7.2774688706044239</v>
          </cell>
        </row>
        <row r="6">
          <cell r="B6" t="str">
            <v>GRwf_13-28</v>
          </cell>
          <cell r="C6">
            <v>44109</v>
          </cell>
          <cell r="D6">
            <v>18.61</v>
          </cell>
          <cell r="E6" t="str">
            <v>GRwf_10-20</v>
          </cell>
          <cell r="F6" t="str">
            <v>GRwf_20-30</v>
          </cell>
          <cell r="G6">
            <v>25.999397741612466</v>
          </cell>
          <cell r="H6">
            <v>8</v>
          </cell>
          <cell r="I6">
            <v>1.053422566631443</v>
          </cell>
          <cell r="J6">
            <v>8.4273805330515442E-2</v>
          </cell>
          <cell r="K6">
            <v>2.1910681839872916</v>
          </cell>
        </row>
        <row r="7">
          <cell r="B7" t="str">
            <v>GRpp_0-7</v>
          </cell>
          <cell r="C7">
            <v>44109</v>
          </cell>
          <cell r="D7">
            <v>17.649999999999999</v>
          </cell>
          <cell r="E7" t="str">
            <v>GRpp_0-10</v>
          </cell>
          <cell r="G7">
            <v>15.269410736606323</v>
          </cell>
          <cell r="H7">
            <v>8</v>
          </cell>
          <cell r="I7">
            <v>6.9951534733441036</v>
          </cell>
          <cell r="J7">
            <v>0.55961227786752832</v>
          </cell>
          <cell r="K7">
            <v>8.5449497240071572</v>
          </cell>
        </row>
        <row r="8">
          <cell r="B8" t="str">
            <v>GRpp_7-15</v>
          </cell>
          <cell r="C8">
            <v>44109</v>
          </cell>
          <cell r="D8">
            <v>18.12</v>
          </cell>
          <cell r="E8" t="str">
            <v>GRpp_0-10</v>
          </cell>
          <cell r="F8" t="str">
            <v>GRpp_10-20</v>
          </cell>
          <cell r="G8">
            <v>13.388527519819117</v>
          </cell>
          <cell r="H8">
            <v>8</v>
          </cell>
          <cell r="I8">
            <v>2.8471419005296159</v>
          </cell>
          <cell r="J8">
            <v>0.22777135204236929</v>
          </cell>
          <cell r="K8">
            <v>3.0495230150456694</v>
          </cell>
        </row>
        <row r="9">
          <cell r="B9" t="str">
            <v>GRpp_15-27</v>
          </cell>
          <cell r="C9">
            <v>44109</v>
          </cell>
          <cell r="D9">
            <v>19.079999999999998</v>
          </cell>
          <cell r="E9" t="str">
            <v>GRpp_10-20</v>
          </cell>
          <cell r="F9" t="str">
            <v>GRpp_20-30</v>
          </cell>
          <cell r="G9">
            <v>32.581399056680183</v>
          </cell>
          <cell r="H9">
            <v>8</v>
          </cell>
          <cell r="I9">
            <v>0.69091192578300098</v>
          </cell>
          <cell r="J9">
            <v>5.527295406264008E-2</v>
          </cell>
          <cell r="K9">
            <v>1.8008701733564285</v>
          </cell>
        </row>
        <row r="10">
          <cell r="B10" t="str">
            <v>ANrf_0-11</v>
          </cell>
          <cell r="C10">
            <v>44109</v>
          </cell>
          <cell r="D10">
            <v>19.46</v>
          </cell>
          <cell r="E10" t="str">
            <v>ANrf_0-10</v>
          </cell>
          <cell r="G10">
            <v>6.9949570390008713</v>
          </cell>
          <cell r="H10">
            <v>8</v>
          </cell>
          <cell r="I10">
            <v>13.017098731384444</v>
          </cell>
          <cell r="J10">
            <v>1.0413678985107555</v>
          </cell>
          <cell r="K10">
            <v>7.2843237118773541</v>
          </cell>
        </row>
        <row r="11">
          <cell r="B11" t="str">
            <v>ANrf_11-32</v>
          </cell>
          <cell r="C11">
            <v>44109</v>
          </cell>
          <cell r="D11">
            <v>17.239999999999998</v>
          </cell>
          <cell r="E11" t="str">
            <v>ANrf_10-20</v>
          </cell>
          <cell r="F11" t="str">
            <v>ANrf_20-30</v>
          </cell>
          <cell r="G11">
            <v>10.429084660839731</v>
          </cell>
          <cell r="H11">
            <v>8</v>
          </cell>
          <cell r="I11">
            <v>2.1291650585359578</v>
          </cell>
          <cell r="J11">
            <v>0.17033320468287663</v>
          </cell>
          <cell r="K11">
            <v>1.7764194121898629</v>
          </cell>
        </row>
        <row r="12">
          <cell r="B12" t="str">
            <v>ANwf_0-11</v>
          </cell>
          <cell r="C12">
            <v>44109</v>
          </cell>
          <cell r="D12">
            <v>19.45</v>
          </cell>
          <cell r="E12" t="str">
            <v>ANwf_0-10</v>
          </cell>
          <cell r="G12">
            <v>11.554336528158897</v>
          </cell>
          <cell r="H12">
            <v>8</v>
          </cell>
          <cell r="I12">
            <v>8.125</v>
          </cell>
          <cell r="J12">
            <v>0.65</v>
          </cell>
          <cell r="K12">
            <v>7.5103187433032836</v>
          </cell>
        </row>
        <row r="13">
          <cell r="B13" t="str">
            <v>ANwf_11-35</v>
          </cell>
          <cell r="C13">
            <v>44109</v>
          </cell>
          <cell r="D13">
            <v>20.100000000000001</v>
          </cell>
          <cell r="E13" t="str">
            <v>ANwf_10-20</v>
          </cell>
          <cell r="F13" t="str">
            <v>ANwf_20-30</v>
          </cell>
          <cell r="G13">
            <v>12.731286171958867</v>
          </cell>
          <cell r="H13">
            <v>8</v>
          </cell>
          <cell r="I13">
            <v>8.5333592686247801</v>
          </cell>
          <cell r="J13">
            <v>0.68266874148998236</v>
          </cell>
          <cell r="K13">
            <v>8.6912511085599746</v>
          </cell>
        </row>
        <row r="14">
          <cell r="B14" t="str">
            <v>ANpp_0-6</v>
          </cell>
          <cell r="C14" t="str">
            <v>TBD</v>
          </cell>
          <cell r="D14">
            <v>19.2</v>
          </cell>
          <cell r="E14" t="str">
            <v>ANpp_0-10</v>
          </cell>
          <cell r="G14">
            <v>25.920126384549498</v>
          </cell>
          <cell r="H14">
            <v>8</v>
          </cell>
          <cell r="I14">
            <v>10.440759001942327</v>
          </cell>
          <cell r="J14">
            <v>0.83526072015538622</v>
          </cell>
          <cell r="K14">
            <v>21.650063430477442</v>
          </cell>
        </row>
        <row r="15">
          <cell r="B15" t="str">
            <v>ANpp_13-33</v>
          </cell>
          <cell r="C15" t="str">
            <v>TBD</v>
          </cell>
          <cell r="D15">
            <v>16.82</v>
          </cell>
          <cell r="E15" t="str">
            <v>ANpp_10-20</v>
          </cell>
          <cell r="F15" t="str">
            <v>ANpp_20-30</v>
          </cell>
          <cell r="G15">
            <v>24.397835382662024</v>
          </cell>
          <cell r="H15">
            <v>8</v>
          </cell>
          <cell r="I15">
            <v>2.2701906681134707</v>
          </cell>
          <cell r="J15">
            <v>0.18161525344907767</v>
          </cell>
          <cell r="K15">
            <v>4.4310190566310386</v>
          </cell>
        </row>
        <row r="16">
          <cell r="B16" t="str">
            <v>ANpp_6-13</v>
          </cell>
          <cell r="C16" t="str">
            <v>TBD</v>
          </cell>
          <cell r="D16">
            <v>17.739999999999998</v>
          </cell>
          <cell r="E16" t="str">
            <v>ANpp_0-10</v>
          </cell>
          <cell r="F16" t="str">
            <v>ANpp_10-20</v>
          </cell>
          <cell r="G16">
            <v>21.315041248510621</v>
          </cell>
          <cell r="H16">
            <v>8</v>
          </cell>
          <cell r="I16">
            <v>5.2597960938459645</v>
          </cell>
          <cell r="J16">
            <v>0.42078368750767714</v>
          </cell>
          <cell r="K16">
            <v>8.9690216559265412</v>
          </cell>
        </row>
        <row r="17">
          <cell r="B17" t="str">
            <v>BSpp_0-7</v>
          </cell>
          <cell r="C17" t="str">
            <v>TBD</v>
          </cell>
          <cell r="D17">
            <v>22.14</v>
          </cell>
          <cell r="E17" t="str">
            <v>BSpp_0-10</v>
          </cell>
          <cell r="G17">
            <v>26.518415228707312</v>
          </cell>
          <cell r="H17">
            <v>8</v>
          </cell>
          <cell r="I17">
            <v>5.7259032129049459</v>
          </cell>
          <cell r="J17">
            <v>0.45807225703239568</v>
          </cell>
          <cell r="K17">
            <v>12.147350316736212</v>
          </cell>
        </row>
        <row r="18">
          <cell r="B18" t="str">
            <v>BSpp_18-28</v>
          </cell>
          <cell r="C18" t="str">
            <v>TBD</v>
          </cell>
          <cell r="D18">
            <v>22.1</v>
          </cell>
          <cell r="E18" t="str">
            <v>BSpp_20-30</v>
          </cell>
          <cell r="G18">
            <v>29.119502048061445</v>
          </cell>
          <cell r="H18">
            <v>8</v>
          </cell>
          <cell r="I18">
            <v>1.7189675981802988</v>
          </cell>
          <cell r="J18">
            <v>0.1375174078544239</v>
          </cell>
          <cell r="K18">
            <v>4.0044384396609978</v>
          </cell>
        </row>
        <row r="19">
          <cell r="B19" t="str">
            <v>BSpp_7-18</v>
          </cell>
          <cell r="C19" t="str">
            <v>TBD</v>
          </cell>
          <cell r="D19">
            <v>21.91</v>
          </cell>
          <cell r="E19" t="str">
            <v>BSpp_10-20</v>
          </cell>
          <cell r="G19">
            <v>18.861454555118176</v>
          </cell>
          <cell r="H19">
            <v>8</v>
          </cell>
          <cell r="I19">
            <v>3.139376306936994</v>
          </cell>
          <cell r="J19">
            <v>0.25115010455495951</v>
          </cell>
          <cell r="K19">
            <v>4.7370562835765471</v>
          </cell>
        </row>
        <row r="20">
          <cell r="B20" t="str">
            <v>BSrf_15-30</v>
          </cell>
          <cell r="C20" t="str">
            <v>TBD</v>
          </cell>
          <cell r="D20">
            <v>20.84</v>
          </cell>
          <cell r="E20" t="str">
            <v>BSrf_10-20</v>
          </cell>
          <cell r="F20" t="str">
            <v>BSrf_20-30</v>
          </cell>
          <cell r="G20">
            <v>36.490446006725115</v>
          </cell>
          <cell r="H20">
            <v>8</v>
          </cell>
          <cell r="I20">
            <v>1.3100263852242744</v>
          </cell>
          <cell r="J20">
            <v>0.10480211081794195</v>
          </cell>
          <cell r="K20">
            <v>3.8242757661929327</v>
          </cell>
        </row>
        <row r="21">
          <cell r="B21" t="str">
            <v>BSrf_0-8</v>
          </cell>
          <cell r="C21" t="str">
            <v>TBD</v>
          </cell>
          <cell r="D21">
            <v>20.78</v>
          </cell>
          <cell r="E21" t="str">
            <v>BSrf_0-10</v>
          </cell>
          <cell r="G21">
            <v>22.93297818139397</v>
          </cell>
          <cell r="H21">
            <v>8</v>
          </cell>
          <cell r="I21">
            <v>4.2548151199917612</v>
          </cell>
          <cell r="J21">
            <v>0.34038520959934088</v>
          </cell>
          <cell r="K21">
            <v>7.8060465850108978</v>
          </cell>
        </row>
        <row r="22">
          <cell r="B22" t="str">
            <v>BSrf_8-15</v>
          </cell>
          <cell r="C22" t="str">
            <v>TBD</v>
          </cell>
          <cell r="D22">
            <v>21.87</v>
          </cell>
          <cell r="E22" t="str">
            <v>BSrf_0-10</v>
          </cell>
          <cell r="F22" t="str">
            <v>BSrf_10-20</v>
          </cell>
          <cell r="G22">
            <v>36.416509800634415</v>
          </cell>
          <cell r="H22">
            <v>8</v>
          </cell>
          <cell r="I22">
            <v>2.34375</v>
          </cell>
          <cell r="J22">
            <v>0.1875</v>
          </cell>
          <cell r="K22">
            <v>6.8280955876189529</v>
          </cell>
        </row>
        <row r="23">
          <cell r="B23" t="str">
            <v>BSwf_0-10</v>
          </cell>
          <cell r="C23" t="str">
            <v>TBD</v>
          </cell>
          <cell r="D23">
            <v>19.559999999999999</v>
          </cell>
          <cell r="E23" t="str">
            <v>BSwf_0-10</v>
          </cell>
          <cell r="G23">
            <v>17.189060007105219</v>
          </cell>
          <cell r="H23">
            <v>8</v>
          </cell>
          <cell r="I23">
            <v>9.537356718685265</v>
          </cell>
          <cell r="J23">
            <v>0.76298853749482121</v>
          </cell>
          <cell r="K23">
            <v>13.115055755731932</v>
          </cell>
        </row>
        <row r="24">
          <cell r="B24" t="str">
            <v>BSwf_10-19</v>
          </cell>
          <cell r="C24" t="str">
            <v>TBD</v>
          </cell>
          <cell r="D24">
            <v>18.010000000000002</v>
          </cell>
          <cell r="E24" t="str">
            <v>BSwf_10-20</v>
          </cell>
          <cell r="G24">
            <v>16.301062126992846</v>
          </cell>
          <cell r="H24">
            <v>8</v>
          </cell>
          <cell r="I24">
            <v>3.5139403928031867</v>
          </cell>
          <cell r="J24">
            <v>0.28111523142425493</v>
          </cell>
          <cell r="K24">
            <v>4.5824768522907515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4" x14ac:dyDescent="0"/>
  <sheetData>
    <row r="3" spans="1:1">
      <c r="A3" t="s">
        <v>120</v>
      </c>
    </row>
    <row r="4" spans="1:1">
      <c r="A4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workbookViewId="0">
      <selection activeCell="A32" sqref="A32:XFD32"/>
    </sheetView>
  </sheetViews>
  <sheetFormatPr baseColWidth="10" defaultRowHeight="14" x14ac:dyDescent="0"/>
  <cols>
    <col min="24" max="24" width="10.5" customWidth="1"/>
    <col min="25" max="25" width="7.6640625" bestFit="1" customWidth="1"/>
    <col min="26" max="26" width="19.6640625" bestFit="1" customWidth="1"/>
    <col min="27" max="27" width="15.1640625" bestFit="1" customWidth="1"/>
  </cols>
  <sheetData>
    <row r="1" spans="1:26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6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6">
      <c r="A3" s="44">
        <v>5</v>
      </c>
      <c r="B3" s="52">
        <v>44169</v>
      </c>
      <c r="C3" s="53">
        <v>2992</v>
      </c>
      <c r="D3" s="42">
        <v>1442.8</v>
      </c>
      <c r="E3" s="54">
        <v>263.72000000000003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6">
      <c r="A4" s="44">
        <v>4.4000000000000004</v>
      </c>
      <c r="B4" s="52">
        <v>44169</v>
      </c>
      <c r="C4" s="53">
        <v>2992</v>
      </c>
      <c r="D4" s="54">
        <v>1302.5</v>
      </c>
      <c r="E4" s="54">
        <v>231.19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6">
      <c r="A5" s="44">
        <v>4</v>
      </c>
      <c r="B5" s="52">
        <v>44169</v>
      </c>
      <c r="C5" s="53">
        <v>2992</v>
      </c>
      <c r="D5" s="42">
        <v>1194.4000000000001</v>
      </c>
      <c r="E5" s="54">
        <v>205.89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6">
      <c r="A6" s="44">
        <v>3.4</v>
      </c>
      <c r="B6" s="52">
        <v>44169</v>
      </c>
      <c r="C6" s="53">
        <v>2992</v>
      </c>
      <c r="D6" s="54">
        <v>991.85</v>
      </c>
      <c r="E6" s="54">
        <v>189.99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6">
      <c r="A7" s="44">
        <v>3</v>
      </c>
      <c r="B7" s="52">
        <v>44169</v>
      </c>
      <c r="C7" s="53">
        <v>2992</v>
      </c>
      <c r="D7" s="42">
        <v>908.59</v>
      </c>
      <c r="E7" s="54">
        <v>164.59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6">
      <c r="A8" s="44">
        <v>2.4</v>
      </c>
      <c r="B8" s="52">
        <v>44169</v>
      </c>
      <c r="C8" s="53">
        <v>2992</v>
      </c>
      <c r="D8" s="54">
        <v>709.36</v>
      </c>
      <c r="E8" s="54">
        <v>142.44999999999999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6">
      <c r="A9" s="44">
        <v>2</v>
      </c>
      <c r="B9" s="52">
        <v>44169</v>
      </c>
      <c r="C9" s="53">
        <v>2992</v>
      </c>
      <c r="D9" s="42">
        <v>589.70000000000005</v>
      </c>
      <c r="E9" s="54">
        <v>116.46</v>
      </c>
      <c r="F9" s="55">
        <f t="shared" si="0"/>
        <v>5.984</v>
      </c>
      <c r="G9" s="58" t="s">
        <v>70</v>
      </c>
      <c r="H9" s="58"/>
      <c r="I9" s="59">
        <f>SLOPE(F3:F15,D3:D15)</f>
        <v>1.0152534278550829E-2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6">
      <c r="A10" s="44">
        <v>1.4</v>
      </c>
      <c r="B10" s="52">
        <v>44169</v>
      </c>
      <c r="C10" s="53">
        <v>2992</v>
      </c>
      <c r="D10" s="42">
        <v>446.68</v>
      </c>
      <c r="E10" s="54">
        <v>84.158000000000001</v>
      </c>
      <c r="F10" s="55">
        <f t="shared" si="0"/>
        <v>4.1887999999999996</v>
      </c>
      <c r="G10" s="58" t="s">
        <v>71</v>
      </c>
      <c r="H10" s="58"/>
      <c r="I10" s="59">
        <f>INTERCEPT(F3:F15,D3:D15)</f>
        <v>-1.7170692667094478E-2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6">
      <c r="A11" s="44">
        <v>1</v>
      </c>
      <c r="B11" s="52">
        <v>44169</v>
      </c>
      <c r="C11" s="53">
        <v>2992</v>
      </c>
      <c r="D11" s="42">
        <v>311.49</v>
      </c>
      <c r="E11" s="54">
        <v>64.179000000000002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6">
      <c r="A12" s="60">
        <v>0.4</v>
      </c>
      <c r="B12" s="52">
        <v>44169</v>
      </c>
      <c r="C12" s="53">
        <v>2992</v>
      </c>
      <c r="D12" s="60">
        <v>97.781000000000006</v>
      </c>
      <c r="E12" s="60">
        <v>23.872</v>
      </c>
      <c r="F12" s="55">
        <f t="shared" si="0"/>
        <v>1.1968000000000001</v>
      </c>
      <c r="G12" s="61" t="s">
        <v>72</v>
      </c>
      <c r="H12" s="61"/>
      <c r="I12" s="62">
        <f>SLOPE(F3:F15,E3:E15)</f>
        <v>5.6993962649864352E-2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6">
      <c r="A13" s="60">
        <v>0.2</v>
      </c>
      <c r="B13" s="52">
        <v>44169</v>
      </c>
      <c r="C13" s="53">
        <v>2992</v>
      </c>
      <c r="D13" s="60">
        <v>53.384999999999998</v>
      </c>
      <c r="E13" s="60">
        <v>12.634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-0.31466662880279106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6">
      <c r="A14" s="60">
        <v>0.1</v>
      </c>
      <c r="B14" s="52">
        <v>44169</v>
      </c>
      <c r="C14" s="53">
        <v>2992</v>
      </c>
      <c r="D14" s="60">
        <v>18.89</v>
      </c>
      <c r="E14" s="60">
        <v>5.8029999999999999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26">
      <c r="A15" s="60">
        <v>0</v>
      </c>
      <c r="B15" s="52">
        <v>44169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1:26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155" t="s">
        <v>278</v>
      </c>
      <c r="X16" s="155" t="s">
        <v>279</v>
      </c>
      <c r="Y16" s="155" t="s">
        <v>280</v>
      </c>
      <c r="Z16" s="155" t="s">
        <v>282</v>
      </c>
    </row>
    <row r="17" spans="1:27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1" t="s">
        <v>113</v>
      </c>
      <c r="W17" s="156"/>
      <c r="X17" s="190"/>
      <c r="Y17" s="190"/>
      <c r="Z17" s="156"/>
    </row>
    <row r="18" spans="1:27">
      <c r="A18" s="29" t="s">
        <v>292</v>
      </c>
      <c r="B18" s="71">
        <f t="shared" ref="B18:B39" si="1">$B$3+H18</f>
        <v>44169.479166666664</v>
      </c>
      <c r="C18" s="44">
        <v>1</v>
      </c>
      <c r="D18" s="80">
        <v>1612.6</v>
      </c>
      <c r="E18" s="81">
        <v>290.45</v>
      </c>
      <c r="F18" s="72">
        <f t="shared" ref="F18:F39" si="2">((I$9*D18)+I$10)/C18/1000</f>
        <v>1.635480608492397E-2</v>
      </c>
      <c r="G18" s="72">
        <f t="shared" ref="G18:G39" si="3">((I$12*E18)+I$13)/C18/1000</f>
        <v>1.623922982285031E-2</v>
      </c>
      <c r="H18" s="96">
        <v>0.47916666666666669</v>
      </c>
      <c r="I18" s="73">
        <f>jar_information!M3</f>
        <v>44165.4375</v>
      </c>
      <c r="J18" s="74">
        <f t="shared" ref="J18:J39" si="4">B18-I18</f>
        <v>4.0416666666642413</v>
      </c>
      <c r="K18" s="74">
        <f t="shared" ref="K18:K39" si="5">J18*24</f>
        <v>96.999999999941792</v>
      </c>
      <c r="L18" s="75">
        <f>jar_information!H3</f>
        <v>371.24882105804681</v>
      </c>
      <c r="M18" s="74">
        <f t="shared" ref="M18:M39" si="6">F18*L18</f>
        <v>6.0717024776609945</v>
      </c>
      <c r="N18" s="74">
        <f t="shared" ref="N18:N39" si="7">M18*1.83</f>
        <v>11.111215534119621</v>
      </c>
      <c r="O18" s="76">
        <f t="shared" ref="O18:O39" si="8">N18*(12/(12+(16*2)))</f>
        <v>3.0303315093053511</v>
      </c>
      <c r="P18" s="77">
        <f t="shared" ref="P18:P39" si="9">O18*(400/(400+L18))</f>
        <v>1.5716492143991379</v>
      </c>
      <c r="Q18" s="78"/>
      <c r="R18" s="78">
        <f t="shared" ref="R18:R39" si="10">Q18/314.7</f>
        <v>0</v>
      </c>
      <c r="S18" s="78">
        <f t="shared" ref="S18:S39" si="11">R18/P18*100</f>
        <v>0</v>
      </c>
      <c r="T18" s="79">
        <f t="shared" ref="T18:T39" si="12">F18*1000000</f>
        <v>16354.80608492397</v>
      </c>
      <c r="U18" s="7">
        <f t="shared" ref="U18:U39" si="13">M18/L18*100</f>
        <v>1.635480608492397</v>
      </c>
      <c r="V18" s="90">
        <f t="shared" ref="V18:V39" si="14">O18/K18</f>
        <v>3.1240531023785253E-2</v>
      </c>
      <c r="W18" s="137">
        <f>Y18*44/12</f>
        <v>21.650063430477442</v>
      </c>
      <c r="X18" s="137">
        <f t="shared" ref="X18:X39" si="15">IF((W18-N18)&lt;=0,"!",W18-N18)</f>
        <v>10.53884789635782</v>
      </c>
      <c r="Y18" s="137">
        <v>5.9045627537665748</v>
      </c>
      <c r="Z18" s="137">
        <f t="shared" ref="Z18:Z39" si="16">IF(Y18/V18/24-J18&lt;1,"&lt;1",Y18/V18/24-J18)</f>
        <v>3.8334698950765036</v>
      </c>
    </row>
    <row r="19" spans="1:27">
      <c r="A19" s="29" t="s">
        <v>293</v>
      </c>
      <c r="B19" s="71">
        <f t="shared" si="1"/>
        <v>44169.479166666664</v>
      </c>
      <c r="C19" s="44">
        <v>1</v>
      </c>
      <c r="D19" s="80">
        <v>901.3</v>
      </c>
      <c r="E19" s="81">
        <v>183.08</v>
      </c>
      <c r="F19" s="72">
        <f t="shared" si="2"/>
        <v>9.1333084525907684E-3</v>
      </c>
      <c r="G19" s="72">
        <f t="shared" si="3"/>
        <v>1.0119788053134375E-2</v>
      </c>
      <c r="H19" s="96">
        <v>0.47916666666666669</v>
      </c>
      <c r="I19" s="73">
        <f>jar_information!M4</f>
        <v>44165.4375</v>
      </c>
      <c r="J19" s="74">
        <f t="shared" si="4"/>
        <v>4.0416666666642413</v>
      </c>
      <c r="K19" s="74">
        <f t="shared" si="5"/>
        <v>96.999999999941792</v>
      </c>
      <c r="L19" s="75">
        <f>jar_information!H4</f>
        <v>396.0136460677399</v>
      </c>
      <c r="M19" s="74">
        <f t="shared" si="6"/>
        <v>3.6169147809717779</v>
      </c>
      <c r="N19" s="74">
        <f t="shared" si="7"/>
        <v>6.6189540491783534</v>
      </c>
      <c r="O19" s="76">
        <f t="shared" si="8"/>
        <v>1.8051692861395507</v>
      </c>
      <c r="P19" s="77">
        <f t="shared" si="9"/>
        <v>0.90710469352226797</v>
      </c>
      <c r="Q19" s="78"/>
      <c r="R19" s="78">
        <f t="shared" si="10"/>
        <v>0</v>
      </c>
      <c r="S19" s="78">
        <f t="shared" si="11"/>
        <v>0</v>
      </c>
      <c r="T19" s="79">
        <f t="shared" si="12"/>
        <v>9133.3084525907689</v>
      </c>
      <c r="U19" s="7">
        <f t="shared" si="13"/>
        <v>0.91333084525907682</v>
      </c>
      <c r="V19" s="90">
        <f t="shared" si="14"/>
        <v>1.8609992640625093E-2</v>
      </c>
      <c r="W19" s="137">
        <f t="shared" ref="W19:W39" si="17">Y19*44/12</f>
        <v>21.650063430477442</v>
      </c>
      <c r="X19" s="137">
        <f t="shared" si="15"/>
        <v>15.031109381299089</v>
      </c>
      <c r="Y19" s="137">
        <v>5.9045627537665748</v>
      </c>
      <c r="Z19" s="137">
        <f t="shared" si="16"/>
        <v>9.17829815677932</v>
      </c>
    </row>
    <row r="20" spans="1:27">
      <c r="A20" s="29" t="s">
        <v>294</v>
      </c>
      <c r="B20" s="71">
        <f t="shared" si="1"/>
        <v>44169.479166666664</v>
      </c>
      <c r="C20" s="44">
        <v>1</v>
      </c>
      <c r="D20" s="80">
        <v>940.68</v>
      </c>
      <c r="E20" s="81">
        <v>175.42</v>
      </c>
      <c r="F20" s="72">
        <f t="shared" si="2"/>
        <v>9.5331152524800976E-3</v>
      </c>
      <c r="G20" s="72">
        <f t="shared" si="3"/>
        <v>9.6832142992364107E-3</v>
      </c>
      <c r="H20" s="96">
        <v>0.47916666666666669</v>
      </c>
      <c r="I20" s="73">
        <f>jar_information!M5</f>
        <v>44165.4375</v>
      </c>
      <c r="J20" s="74">
        <f t="shared" si="4"/>
        <v>4.0416666666642413</v>
      </c>
      <c r="K20" s="74">
        <f t="shared" si="5"/>
        <v>96.999999999941792</v>
      </c>
      <c r="L20" s="75">
        <f>jar_information!H5</f>
        <v>356.00450368854933</v>
      </c>
      <c r="M20" s="74">
        <f t="shared" si="6"/>
        <v>3.3938319640649168</v>
      </c>
      <c r="N20" s="74">
        <f t="shared" si="7"/>
        <v>6.2107124942387983</v>
      </c>
      <c r="O20" s="76">
        <f t="shared" si="8"/>
        <v>1.6938306802469449</v>
      </c>
      <c r="P20" s="77">
        <f t="shared" si="9"/>
        <v>0.89620137022080559</v>
      </c>
      <c r="Q20" s="78"/>
      <c r="R20" s="78">
        <f t="shared" si="10"/>
        <v>0</v>
      </c>
      <c r="S20" s="78">
        <f t="shared" si="11"/>
        <v>0</v>
      </c>
      <c r="T20" s="79">
        <f t="shared" si="12"/>
        <v>9533.1152524800982</v>
      </c>
      <c r="U20" s="7">
        <f t="shared" si="13"/>
        <v>0.95331152524800977</v>
      </c>
      <c r="V20" s="90">
        <f t="shared" si="14"/>
        <v>1.7462171961319189E-2</v>
      </c>
      <c r="W20" s="137">
        <f t="shared" si="17"/>
        <v>8.9690216559265394</v>
      </c>
      <c r="X20" s="137">
        <f t="shared" si="15"/>
        <v>2.7583091616877411</v>
      </c>
      <c r="Y20" s="137">
        <v>2.4460968152526927</v>
      </c>
      <c r="Z20" s="137">
        <f t="shared" si="16"/>
        <v>1.7949898993858158</v>
      </c>
    </row>
    <row r="21" spans="1:27">
      <c r="A21" s="29" t="s">
        <v>295</v>
      </c>
      <c r="B21" s="71">
        <f t="shared" si="1"/>
        <v>44169.479166666664</v>
      </c>
      <c r="C21" s="44">
        <v>1</v>
      </c>
      <c r="D21" s="80">
        <v>987.69</v>
      </c>
      <c r="E21" s="81">
        <v>192.35</v>
      </c>
      <c r="F21" s="72">
        <f t="shared" si="2"/>
        <v>1.0010385888914775E-2</v>
      </c>
      <c r="G21" s="72">
        <f t="shared" si="3"/>
        <v>1.0648122086898616E-2</v>
      </c>
      <c r="H21" s="96">
        <v>0.47916666666666669</v>
      </c>
      <c r="I21" s="73">
        <f>jar_information!M6</f>
        <v>44165.4375</v>
      </c>
      <c r="J21" s="74">
        <f t="shared" si="4"/>
        <v>4.0416666666642413</v>
      </c>
      <c r="K21" s="74">
        <f t="shared" si="5"/>
        <v>96.999999999941792</v>
      </c>
      <c r="L21" s="75">
        <f>jar_information!H6</f>
        <v>362.08093473315461</v>
      </c>
      <c r="M21" s="74">
        <f t="shared" si="6"/>
        <v>3.6245698796978427</v>
      </c>
      <c r="N21" s="74">
        <f t="shared" si="7"/>
        <v>6.6329628798470521</v>
      </c>
      <c r="O21" s="76">
        <f t="shared" si="8"/>
        <v>1.8089898763219232</v>
      </c>
      <c r="P21" s="77">
        <f t="shared" si="9"/>
        <v>0.94950013515577447</v>
      </c>
      <c r="Q21" s="78"/>
      <c r="R21" s="78">
        <f t="shared" si="10"/>
        <v>0</v>
      </c>
      <c r="S21" s="78">
        <f t="shared" si="11"/>
        <v>0</v>
      </c>
      <c r="T21" s="79">
        <f t="shared" si="12"/>
        <v>10010.385888914776</v>
      </c>
      <c r="U21" s="7">
        <f t="shared" si="13"/>
        <v>1.0010385888914775</v>
      </c>
      <c r="V21" s="90">
        <f t="shared" si="14"/>
        <v>1.864938016827844E-2</v>
      </c>
      <c r="W21" s="137">
        <f t="shared" si="17"/>
        <v>8.9690216559265394</v>
      </c>
      <c r="X21" s="137">
        <f t="shared" si="15"/>
        <v>2.3360587760794873</v>
      </c>
      <c r="Y21" s="137">
        <v>2.4460968152526927</v>
      </c>
      <c r="Z21" s="137">
        <f t="shared" si="16"/>
        <v>1.4234318897419556</v>
      </c>
    </row>
    <row r="22" spans="1:27">
      <c r="A22" s="29" t="s">
        <v>296</v>
      </c>
      <c r="B22" s="71">
        <f t="shared" si="1"/>
        <v>44169.479166666664</v>
      </c>
      <c r="C22" s="44">
        <v>1</v>
      </c>
      <c r="D22" s="80">
        <v>335.39</v>
      </c>
      <c r="E22" s="81">
        <v>66.97</v>
      </c>
      <c r="F22" s="72">
        <f t="shared" si="2"/>
        <v>3.3878877790160682E-3</v>
      </c>
      <c r="G22" s="72">
        <f t="shared" si="3"/>
        <v>3.5022190498586246E-3</v>
      </c>
      <c r="H22" s="96">
        <v>0.47916666666666669</v>
      </c>
      <c r="I22" s="73">
        <f>jar_information!M7</f>
        <v>44165.4375</v>
      </c>
      <c r="J22" s="74">
        <f t="shared" si="4"/>
        <v>4.0416666666642413</v>
      </c>
      <c r="K22" s="74">
        <f t="shared" si="5"/>
        <v>96.999999999941792</v>
      </c>
      <c r="L22" s="75">
        <f>jar_information!H7</f>
        <v>368.18572718286885</v>
      </c>
      <c r="M22" s="74">
        <f t="shared" si="6"/>
        <v>1.2473719255309856</v>
      </c>
      <c r="N22" s="74">
        <f t="shared" si="7"/>
        <v>2.2826906237217037</v>
      </c>
      <c r="O22" s="76">
        <f t="shared" si="8"/>
        <v>0.62255198828773728</v>
      </c>
      <c r="P22" s="77">
        <f t="shared" si="9"/>
        <v>0.32416743308720025</v>
      </c>
      <c r="Q22" s="78"/>
      <c r="R22" s="78">
        <f t="shared" si="10"/>
        <v>0</v>
      </c>
      <c r="S22" s="78">
        <f t="shared" si="11"/>
        <v>0</v>
      </c>
      <c r="T22" s="79">
        <f t="shared" si="12"/>
        <v>3387.8877790160682</v>
      </c>
      <c r="U22" s="7">
        <f t="shared" si="13"/>
        <v>0.33878877790160683</v>
      </c>
      <c r="V22" s="90">
        <f t="shared" si="14"/>
        <v>6.418061734928978E-3</v>
      </c>
      <c r="W22" s="137">
        <f t="shared" si="17"/>
        <v>4.4310190566310377</v>
      </c>
      <c r="X22" s="137">
        <f t="shared" si="15"/>
        <v>2.148328432909334</v>
      </c>
      <c r="Y22" s="137">
        <v>1.2084597427175559</v>
      </c>
      <c r="Z22" s="137">
        <f t="shared" si="16"/>
        <v>3.8037688182992513</v>
      </c>
    </row>
    <row r="23" spans="1:27">
      <c r="A23" s="29" t="s">
        <v>297</v>
      </c>
      <c r="B23" s="71">
        <f t="shared" si="1"/>
        <v>44169.479166666664</v>
      </c>
      <c r="C23" s="44">
        <v>1</v>
      </c>
      <c r="D23" s="80">
        <v>272.81</v>
      </c>
      <c r="E23" s="81">
        <v>56.11</v>
      </c>
      <c r="F23" s="72">
        <f t="shared" si="2"/>
        <v>2.7525421838643571E-3</v>
      </c>
      <c r="G23" s="72">
        <f t="shared" si="3"/>
        <v>2.8832646154810975E-3</v>
      </c>
      <c r="H23" s="96">
        <v>0.47916666666666669</v>
      </c>
      <c r="I23" s="73">
        <f>jar_information!M8</f>
        <v>44165.4375</v>
      </c>
      <c r="J23" s="74">
        <f t="shared" si="4"/>
        <v>4.0416666666642413</v>
      </c>
      <c r="K23" s="74">
        <f t="shared" si="5"/>
        <v>96.999999999941792</v>
      </c>
      <c r="L23" s="75">
        <f>jar_information!H8</f>
        <v>405.42134882290139</v>
      </c>
      <c r="M23" s="74">
        <f t="shared" si="6"/>
        <v>1.1159393648742224</v>
      </c>
      <c r="N23" s="74">
        <f t="shared" si="7"/>
        <v>2.0421690377198272</v>
      </c>
      <c r="O23" s="76">
        <f t="shared" si="8"/>
        <v>0.55695519210540734</v>
      </c>
      <c r="P23" s="77">
        <f t="shared" si="9"/>
        <v>0.27660314339538195</v>
      </c>
      <c r="Q23" s="78"/>
      <c r="R23" s="78">
        <f t="shared" si="10"/>
        <v>0</v>
      </c>
      <c r="S23" s="78">
        <f t="shared" si="11"/>
        <v>0</v>
      </c>
      <c r="T23" s="79">
        <f t="shared" si="12"/>
        <v>2752.542183864357</v>
      </c>
      <c r="U23" s="7">
        <f t="shared" si="13"/>
        <v>0.27525421838643577</v>
      </c>
      <c r="V23" s="90">
        <f t="shared" si="14"/>
        <v>5.7418061041829022E-3</v>
      </c>
      <c r="W23" s="137">
        <f t="shared" si="17"/>
        <v>4.4310190566310377</v>
      </c>
      <c r="X23" s="137">
        <f t="shared" si="15"/>
        <v>2.3888500189112105</v>
      </c>
      <c r="Y23" s="137">
        <v>1.2084597427175559</v>
      </c>
      <c r="Z23" s="137">
        <f t="shared" si="16"/>
        <v>4.7277846812690161</v>
      </c>
    </row>
    <row r="24" spans="1:27" s="208" customFormat="1">
      <c r="A24" s="192" t="s">
        <v>298</v>
      </c>
      <c r="B24" s="193">
        <f t="shared" si="1"/>
        <v>44169.479166666664</v>
      </c>
      <c r="C24" s="194">
        <v>0.4</v>
      </c>
      <c r="D24" s="195">
        <v>794.59</v>
      </c>
      <c r="E24" s="196">
        <v>157.69999999999999</v>
      </c>
      <c r="F24" s="197">
        <f t="shared" si="2"/>
        <v>2.012482879931652E-2</v>
      </c>
      <c r="G24" s="197">
        <f t="shared" si="3"/>
        <v>2.1683203202702034E-2</v>
      </c>
      <c r="H24" s="96">
        <v>0.47916666666666669</v>
      </c>
      <c r="I24" s="198">
        <f>jar_information!M9</f>
        <v>44165.4375</v>
      </c>
      <c r="J24" s="199">
        <f t="shared" si="4"/>
        <v>4.0416666666642413</v>
      </c>
      <c r="K24" s="199">
        <f t="shared" si="5"/>
        <v>96.999999999941792</v>
      </c>
      <c r="L24" s="200">
        <f>jar_information!H9</f>
        <v>368.18572718286885</v>
      </c>
      <c r="M24" s="199">
        <f t="shared" si="6"/>
        <v>7.4096747259070943</v>
      </c>
      <c r="N24" s="199">
        <f t="shared" si="7"/>
        <v>13.559704748409983</v>
      </c>
      <c r="O24" s="201">
        <f t="shared" si="8"/>
        <v>3.698101295020904</v>
      </c>
      <c r="P24" s="202">
        <f t="shared" si="9"/>
        <v>1.9256287453206273</v>
      </c>
      <c r="Q24" s="203">
        <v>596.4</v>
      </c>
      <c r="R24" s="203">
        <f t="shared" si="10"/>
        <v>1.8951382268827455</v>
      </c>
      <c r="S24" s="203">
        <f t="shared" si="11"/>
        <v>98.416594137786149</v>
      </c>
      <c r="T24" s="204">
        <f t="shared" si="12"/>
        <v>20124.828799316521</v>
      </c>
      <c r="U24" s="205">
        <f t="shared" si="13"/>
        <v>2.0124828799316519</v>
      </c>
      <c r="V24" s="206">
        <f t="shared" si="14"/>
        <v>3.8124755618795081E-2</v>
      </c>
      <c r="W24" s="207">
        <f t="shared" si="17"/>
        <v>7.8060465850108978</v>
      </c>
      <c r="X24" s="207" t="str">
        <f t="shared" si="15"/>
        <v>!</v>
      </c>
      <c r="Y24" s="207">
        <v>2.128921795912063</v>
      </c>
      <c r="Z24" s="207" t="str">
        <f t="shared" si="16"/>
        <v>&lt;1</v>
      </c>
      <c r="AA24" s="209">
        <v>44169.5625</v>
      </c>
    </row>
    <row r="25" spans="1:27" s="208" customFormat="1">
      <c r="A25" s="192" t="s">
        <v>299</v>
      </c>
      <c r="B25" s="193">
        <f t="shared" si="1"/>
        <v>44169.479166666664</v>
      </c>
      <c r="C25" s="194">
        <v>0.4</v>
      </c>
      <c r="D25" s="195">
        <v>545.24</v>
      </c>
      <c r="E25" s="196">
        <v>102.69</v>
      </c>
      <c r="F25" s="197">
        <f t="shared" si="2"/>
        <v>1.37959927434249E-2</v>
      </c>
      <c r="G25" s="197">
        <f t="shared" si="3"/>
        <v>1.3845108489279447E-2</v>
      </c>
      <c r="H25" s="96">
        <v>0.47916666666666669</v>
      </c>
      <c r="I25" s="198">
        <f>jar_information!M10</f>
        <v>44165.4375</v>
      </c>
      <c r="J25" s="199">
        <f t="shared" si="4"/>
        <v>4.0416666666642413</v>
      </c>
      <c r="K25" s="199">
        <f t="shared" si="5"/>
        <v>96.999999999941792</v>
      </c>
      <c r="L25" s="200">
        <f>jar_information!H10</f>
        <v>365.12977338665411</v>
      </c>
      <c r="M25" s="199">
        <f t="shared" si="6"/>
        <v>5.0373277040506581</v>
      </c>
      <c r="N25" s="199">
        <f t="shared" si="7"/>
        <v>9.2183096984127051</v>
      </c>
      <c r="O25" s="201">
        <f t="shared" si="8"/>
        <v>2.5140844632034649</v>
      </c>
      <c r="P25" s="202">
        <f t="shared" si="9"/>
        <v>1.3143310066607414</v>
      </c>
      <c r="Q25" s="203">
        <v>391.7</v>
      </c>
      <c r="R25" s="203">
        <f t="shared" si="10"/>
        <v>1.2446774706069272</v>
      </c>
      <c r="S25" s="203">
        <f t="shared" si="11"/>
        <v>94.700457061362371</v>
      </c>
      <c r="T25" s="204">
        <f t="shared" si="12"/>
        <v>13795.9927434249</v>
      </c>
      <c r="U25" s="205">
        <f t="shared" si="13"/>
        <v>1.3795992743424901</v>
      </c>
      <c r="V25" s="206">
        <f t="shared" si="14"/>
        <v>2.5918396527886325E-2</v>
      </c>
      <c r="W25" s="207">
        <f t="shared" si="17"/>
        <v>7.8060465850108978</v>
      </c>
      <c r="X25" s="207" t="str">
        <f t="shared" si="15"/>
        <v>!</v>
      </c>
      <c r="Y25" s="207">
        <v>2.128921795912063</v>
      </c>
      <c r="Z25" s="207" t="str">
        <f t="shared" si="16"/>
        <v>&lt;1</v>
      </c>
      <c r="AA25" s="209">
        <v>44169.5625</v>
      </c>
    </row>
    <row r="26" spans="1:27">
      <c r="A26" s="29" t="s">
        <v>300</v>
      </c>
      <c r="B26" s="71">
        <f t="shared" si="1"/>
        <v>44169.479166666664</v>
      </c>
      <c r="C26" s="44">
        <v>1</v>
      </c>
      <c r="D26" s="80">
        <v>586.76</v>
      </c>
      <c r="E26" s="81">
        <v>116.89</v>
      </c>
      <c r="F26" s="72">
        <f t="shared" si="2"/>
        <v>5.9399303206153897E-3</v>
      </c>
      <c r="G26" s="72">
        <f t="shared" si="3"/>
        <v>6.3473576653398532E-3</v>
      </c>
      <c r="H26" s="96">
        <v>0.47916666666666669</v>
      </c>
      <c r="I26" s="73">
        <f>jar_information!M11</f>
        <v>44165.4375</v>
      </c>
      <c r="J26" s="74">
        <f t="shared" si="4"/>
        <v>4.0416666666642413</v>
      </c>
      <c r="K26" s="74">
        <f t="shared" si="5"/>
        <v>96.999999999941792</v>
      </c>
      <c r="L26" s="75">
        <f>jar_information!H11</f>
        <v>368.18572718286885</v>
      </c>
      <c r="M26" s="74">
        <f t="shared" si="6"/>
        <v>2.1869975645113486</v>
      </c>
      <c r="N26" s="74">
        <f t="shared" si="7"/>
        <v>4.0022055430557684</v>
      </c>
      <c r="O26" s="76">
        <f t="shared" si="8"/>
        <v>1.0915106026515731</v>
      </c>
      <c r="P26" s="77">
        <f t="shared" si="9"/>
        <v>0.56835765832537299</v>
      </c>
      <c r="Q26" s="78"/>
      <c r="R26" s="78">
        <f t="shared" si="10"/>
        <v>0</v>
      </c>
      <c r="S26" s="78">
        <f t="shared" si="11"/>
        <v>0</v>
      </c>
      <c r="T26" s="79">
        <f t="shared" si="12"/>
        <v>5939.93032061539</v>
      </c>
      <c r="U26" s="7">
        <f t="shared" si="13"/>
        <v>0.59399303206153897</v>
      </c>
      <c r="V26" s="90">
        <f t="shared" si="14"/>
        <v>1.1252686625280702E-2</v>
      </c>
      <c r="W26" s="137">
        <f t="shared" si="17"/>
        <v>6.8280955876189529</v>
      </c>
      <c r="X26" s="137">
        <f t="shared" si="15"/>
        <v>2.8258900445631845</v>
      </c>
      <c r="Y26" s="137">
        <v>1.8622078875324415</v>
      </c>
      <c r="Z26" s="137">
        <f t="shared" si="16"/>
        <v>2.8537528804802319</v>
      </c>
    </row>
    <row r="27" spans="1:27">
      <c r="A27" s="29" t="s">
        <v>301</v>
      </c>
      <c r="B27" s="71">
        <f t="shared" si="1"/>
        <v>44169.479166666664</v>
      </c>
      <c r="C27" s="44">
        <v>1</v>
      </c>
      <c r="D27" s="80">
        <v>315.01</v>
      </c>
      <c r="E27" s="81">
        <v>68.102999999999994</v>
      </c>
      <c r="F27" s="72">
        <f t="shared" si="2"/>
        <v>3.1809791304192024E-3</v>
      </c>
      <c r="G27" s="72">
        <f t="shared" si="3"/>
        <v>3.5667932095409206E-3</v>
      </c>
      <c r="H27" s="96">
        <v>0.47916666666666669</v>
      </c>
      <c r="I27" s="73">
        <f>jar_information!M12</f>
        <v>44165.4375</v>
      </c>
      <c r="J27" s="74">
        <f t="shared" si="4"/>
        <v>4.0416666666642413</v>
      </c>
      <c r="K27" s="74">
        <f t="shared" si="5"/>
        <v>96.999999999941792</v>
      </c>
      <c r="L27" s="75">
        <f>jar_information!H12</f>
        <v>374.31908006509644</v>
      </c>
      <c r="M27" s="74">
        <f t="shared" si="6"/>
        <v>1.1907011818047863</v>
      </c>
      <c r="N27" s="74">
        <f t="shared" si="7"/>
        <v>2.1789831627027589</v>
      </c>
      <c r="O27" s="76">
        <f t="shared" si="8"/>
        <v>0.59426813528257061</v>
      </c>
      <c r="P27" s="77">
        <f t="shared" si="9"/>
        <v>0.30698875984438401</v>
      </c>
      <c r="Q27" s="78"/>
      <c r="R27" s="78">
        <f t="shared" si="10"/>
        <v>0</v>
      </c>
      <c r="S27" s="78">
        <f t="shared" si="11"/>
        <v>0</v>
      </c>
      <c r="T27" s="79">
        <f t="shared" si="12"/>
        <v>3180.9791304192022</v>
      </c>
      <c r="U27" s="7">
        <f t="shared" si="13"/>
        <v>0.31809791304192025</v>
      </c>
      <c r="V27" s="90">
        <f t="shared" si="14"/>
        <v>6.1264756214734761E-3</v>
      </c>
      <c r="W27" s="137">
        <f t="shared" si="17"/>
        <v>6.8280955876189529</v>
      </c>
      <c r="X27" s="137">
        <f t="shared" si="15"/>
        <v>4.6491124249161935</v>
      </c>
      <c r="Y27" s="137">
        <v>1.8622078875324415</v>
      </c>
      <c r="Z27" s="137">
        <f t="shared" si="16"/>
        <v>8.623362969932943</v>
      </c>
    </row>
    <row r="28" spans="1:27">
      <c r="A28" t="s">
        <v>302</v>
      </c>
      <c r="B28" s="71">
        <f t="shared" si="1"/>
        <v>44169.479166666664</v>
      </c>
      <c r="C28" s="44">
        <v>1</v>
      </c>
      <c r="D28" s="80">
        <v>439.85</v>
      </c>
      <c r="E28" s="81">
        <v>82.759</v>
      </c>
      <c r="F28" s="72">
        <f t="shared" si="2"/>
        <v>4.4484215097534878E-3</v>
      </c>
      <c r="G28" s="72">
        <f t="shared" si="3"/>
        <v>4.4020967261373329E-3</v>
      </c>
      <c r="H28" s="96">
        <v>0.47916666666666669</v>
      </c>
      <c r="I28" s="73">
        <f>jar_information!M13</f>
        <v>44165.4375</v>
      </c>
      <c r="J28" s="74">
        <f t="shared" si="4"/>
        <v>4.0416666666642413</v>
      </c>
      <c r="K28" s="74">
        <f t="shared" si="5"/>
        <v>96.999999999941792</v>
      </c>
      <c r="L28" s="75">
        <f>jar_information!H13</f>
        <v>371.24882105804681</v>
      </c>
      <c r="M28" s="74">
        <f t="shared" si="6"/>
        <v>1.651471241065239</v>
      </c>
      <c r="N28" s="74">
        <f t="shared" si="7"/>
        <v>3.0221923711493877</v>
      </c>
      <c r="O28" s="76">
        <f t="shared" si="8"/>
        <v>0.82423428304074198</v>
      </c>
      <c r="P28" s="77">
        <f t="shared" si="9"/>
        <v>0.42748034643865335</v>
      </c>
      <c r="Q28" s="78"/>
      <c r="R28" s="78">
        <f t="shared" si="10"/>
        <v>0</v>
      </c>
      <c r="S28" s="78">
        <f t="shared" si="11"/>
        <v>0</v>
      </c>
      <c r="T28" s="79">
        <f t="shared" si="12"/>
        <v>4448.421509753488</v>
      </c>
      <c r="U28" s="7">
        <f t="shared" si="13"/>
        <v>0.44484215097534879</v>
      </c>
      <c r="V28" s="90">
        <f t="shared" si="14"/>
        <v>8.4972606499096551E-3</v>
      </c>
      <c r="W28" s="137">
        <f t="shared" si="17"/>
        <v>3.8242757661929319</v>
      </c>
      <c r="X28" s="137">
        <f t="shared" si="15"/>
        <v>0.8020833950435442</v>
      </c>
      <c r="Y28" s="137">
        <v>1.0429842998707997</v>
      </c>
      <c r="Z28" s="137">
        <f t="shared" si="16"/>
        <v>1.0726496938378185</v>
      </c>
    </row>
    <row r="29" spans="1:27">
      <c r="A29" t="s">
        <v>303</v>
      </c>
      <c r="B29" s="71">
        <f t="shared" si="1"/>
        <v>44169.479166666664</v>
      </c>
      <c r="C29" s="44">
        <v>1</v>
      </c>
      <c r="D29" s="80">
        <v>466.76</v>
      </c>
      <c r="E29" s="81">
        <v>88.358000000000004</v>
      </c>
      <c r="F29" s="72">
        <f t="shared" si="2"/>
        <v>4.7216262071892905E-3</v>
      </c>
      <c r="G29" s="72">
        <f t="shared" si="3"/>
        <v>4.7212059230139231E-3</v>
      </c>
      <c r="H29" s="96">
        <v>0.47916666666666669</v>
      </c>
      <c r="I29" s="73">
        <f>jar_information!M14</f>
        <v>44165.4375</v>
      </c>
      <c r="J29" s="74">
        <f t="shared" si="4"/>
        <v>4.0416666666642413</v>
      </c>
      <c r="K29" s="74">
        <f t="shared" si="5"/>
        <v>96.999999999941792</v>
      </c>
      <c r="L29" s="75">
        <f>jar_information!H14</f>
        <v>368.18572718286885</v>
      </c>
      <c r="M29" s="74">
        <f t="shared" si="6"/>
        <v>1.7384353785796798</v>
      </c>
      <c r="N29" s="74">
        <f t="shared" si="7"/>
        <v>3.1813367428008141</v>
      </c>
      <c r="O29" s="76">
        <f t="shared" si="8"/>
        <v>0.86763729349113106</v>
      </c>
      <c r="P29" s="77">
        <f t="shared" si="9"/>
        <v>0.4517851674609869</v>
      </c>
      <c r="Q29" s="78"/>
      <c r="R29" s="78">
        <f t="shared" si="10"/>
        <v>0</v>
      </c>
      <c r="S29" s="78">
        <f t="shared" si="11"/>
        <v>0</v>
      </c>
      <c r="T29" s="79">
        <f t="shared" si="12"/>
        <v>4721.6262071892907</v>
      </c>
      <c r="U29" s="7">
        <f t="shared" si="13"/>
        <v>0.47216262071892906</v>
      </c>
      <c r="V29" s="90">
        <f t="shared" si="14"/>
        <v>8.9447143658933168E-3</v>
      </c>
      <c r="W29" s="137">
        <f t="shared" si="17"/>
        <v>3.8242757661929319</v>
      </c>
      <c r="X29" s="137">
        <f t="shared" si="15"/>
        <v>0.64293902339211773</v>
      </c>
      <c r="Y29" s="137">
        <v>1.0429842998707997</v>
      </c>
      <c r="Z29" s="137" t="str">
        <f t="shared" si="16"/>
        <v>&lt;1</v>
      </c>
    </row>
    <row r="30" spans="1:27">
      <c r="A30" t="s">
        <v>304</v>
      </c>
      <c r="B30" s="71">
        <f t="shared" si="1"/>
        <v>44169.479166666664</v>
      </c>
      <c r="C30" s="44">
        <v>1</v>
      </c>
      <c r="D30" s="80">
        <v>1414.9</v>
      </c>
      <c r="E30" s="81">
        <v>273.07</v>
      </c>
      <c r="F30" s="72">
        <f t="shared" si="2"/>
        <v>1.4347650058054476E-2</v>
      </c>
      <c r="G30" s="72">
        <f t="shared" si="3"/>
        <v>1.5248674751995669E-2</v>
      </c>
      <c r="H30" s="96">
        <v>0.47916666666666669</v>
      </c>
      <c r="I30" s="73">
        <f>jar_information!M15</f>
        <v>44165.4375</v>
      </c>
      <c r="J30" s="74">
        <f t="shared" si="4"/>
        <v>4.0416666666642413</v>
      </c>
      <c r="K30" s="74">
        <f t="shared" si="5"/>
        <v>96.999999999941792</v>
      </c>
      <c r="L30" s="75">
        <f>jar_information!H15</f>
        <v>368.18572718286885</v>
      </c>
      <c r="M30" s="74">
        <f t="shared" si="6"/>
        <v>5.2825999699901178</v>
      </c>
      <c r="N30" s="74">
        <f t="shared" si="7"/>
        <v>9.6671579450819163</v>
      </c>
      <c r="O30" s="76">
        <f t="shared" si="8"/>
        <v>2.6364976213859768</v>
      </c>
      <c r="P30" s="77">
        <f t="shared" si="9"/>
        <v>1.3728438465289792</v>
      </c>
      <c r="Q30" s="78"/>
      <c r="R30" s="78">
        <f t="shared" si="10"/>
        <v>0</v>
      </c>
      <c r="S30" s="78">
        <f>R30/O30*100</f>
        <v>0</v>
      </c>
      <c r="T30" s="79">
        <f t="shared" si="12"/>
        <v>14347.650058054476</v>
      </c>
      <c r="U30" s="7">
        <f t="shared" si="13"/>
        <v>1.4347650058054475</v>
      </c>
      <c r="V30" s="90">
        <f t="shared" si="14"/>
        <v>2.7180387849356277E-2</v>
      </c>
      <c r="W30" s="137">
        <f t="shared" si="17"/>
        <v>13.11505575573193</v>
      </c>
      <c r="X30" s="137">
        <f t="shared" si="15"/>
        <v>3.447897810650014</v>
      </c>
      <c r="Y30" s="137">
        <v>3.5768333879268903</v>
      </c>
      <c r="Z30" s="137">
        <f t="shared" si="16"/>
        <v>1.441504703919545</v>
      </c>
    </row>
    <row r="31" spans="1:27">
      <c r="A31" t="s">
        <v>305</v>
      </c>
      <c r="B31" s="71">
        <f t="shared" si="1"/>
        <v>44169.479166666664</v>
      </c>
      <c r="C31" s="44">
        <v>1</v>
      </c>
      <c r="D31" s="80">
        <v>1015.6</v>
      </c>
      <c r="E31" s="81">
        <v>194.26</v>
      </c>
      <c r="F31" s="72">
        <f t="shared" si="2"/>
        <v>1.0293743120629128E-2</v>
      </c>
      <c r="G31" s="72">
        <f t="shared" si="3"/>
        <v>1.0756980555559856E-2</v>
      </c>
      <c r="H31" s="96">
        <v>0.47916666666666669</v>
      </c>
      <c r="I31" s="73">
        <f>jar_information!M16</f>
        <v>44165.4375</v>
      </c>
      <c r="J31" s="74">
        <f t="shared" si="4"/>
        <v>4.0416666666642413</v>
      </c>
      <c r="K31" s="74">
        <f t="shared" si="5"/>
        <v>96.999999999941792</v>
      </c>
      <c r="L31" s="75">
        <f>jar_information!H16</f>
        <v>377.39652937427036</v>
      </c>
      <c r="M31" s="74">
        <f t="shared" si="6"/>
        <v>3.8848229279957041</v>
      </c>
      <c r="N31" s="74">
        <f t="shared" si="7"/>
        <v>7.1092259582321384</v>
      </c>
      <c r="O31" s="76">
        <f t="shared" si="8"/>
        <v>1.938879806790583</v>
      </c>
      <c r="P31" s="77">
        <f t="shared" si="9"/>
        <v>0.99762719977728498</v>
      </c>
      <c r="Q31" s="78"/>
      <c r="R31" s="78">
        <f t="shared" si="10"/>
        <v>0</v>
      </c>
      <c r="S31" s="78">
        <f>R31/O31*100</f>
        <v>0</v>
      </c>
      <c r="T31" s="79">
        <f t="shared" si="12"/>
        <v>10293.743120629128</v>
      </c>
      <c r="U31" s="7">
        <f t="shared" si="13"/>
        <v>1.0293743120629129</v>
      </c>
      <c r="V31" s="90">
        <f t="shared" si="14"/>
        <v>1.9988451616409757E-2</v>
      </c>
      <c r="W31" s="137">
        <f t="shared" si="17"/>
        <v>13.11505575573193</v>
      </c>
      <c r="X31" s="137">
        <f t="shared" si="15"/>
        <v>6.0058297974997918</v>
      </c>
      <c r="Y31" s="137">
        <v>3.5768333879268903</v>
      </c>
      <c r="Z31" s="137">
        <f t="shared" si="16"/>
        <v>3.4143748195408206</v>
      </c>
    </row>
    <row r="32" spans="1:27" s="208" customFormat="1">
      <c r="A32" s="208" t="s">
        <v>306</v>
      </c>
      <c r="B32" s="193">
        <f t="shared" si="1"/>
        <v>44169.479166666664</v>
      </c>
      <c r="C32" s="194">
        <v>1</v>
      </c>
      <c r="D32" s="195">
        <v>704.18</v>
      </c>
      <c r="E32" s="196">
        <v>127.76</v>
      </c>
      <c r="F32" s="197">
        <f t="shared" si="2"/>
        <v>7.1320408956028281E-3</v>
      </c>
      <c r="G32" s="197">
        <f t="shared" si="3"/>
        <v>6.9668820393438795E-3</v>
      </c>
      <c r="H32" s="96">
        <v>0.47916666666666669</v>
      </c>
      <c r="I32" s="198">
        <f>jar_information!M17</f>
        <v>44165.4375</v>
      </c>
      <c r="J32" s="199">
        <f t="shared" si="4"/>
        <v>4.0416666666642413</v>
      </c>
      <c r="K32" s="199">
        <f t="shared" si="5"/>
        <v>96.999999999941792</v>
      </c>
      <c r="L32" s="200">
        <f>jar_information!H17</f>
        <v>371.24882105804681</v>
      </c>
      <c r="M32" s="199">
        <f t="shared" si="6"/>
        <v>2.6477617742303261</v>
      </c>
      <c r="N32" s="199">
        <f t="shared" si="7"/>
        <v>4.8454040468414972</v>
      </c>
      <c r="O32" s="201">
        <f t="shared" si="8"/>
        <v>1.321473830956772</v>
      </c>
      <c r="P32" s="202">
        <f t="shared" si="9"/>
        <v>0.68536835058957624</v>
      </c>
      <c r="Q32" s="203">
        <v>200.1</v>
      </c>
      <c r="R32" s="203">
        <f t="shared" si="10"/>
        <v>0.63584366062917064</v>
      </c>
      <c r="S32" s="203">
        <f t="shared" si="11"/>
        <v>92.774003947249255</v>
      </c>
      <c r="T32" s="204">
        <f t="shared" si="12"/>
        <v>7132.0408956028277</v>
      </c>
      <c r="U32" s="205">
        <f t="shared" si="13"/>
        <v>0.71320408956028269</v>
      </c>
      <c r="V32" s="206">
        <f t="shared" si="14"/>
        <v>1.3623441556263556E-2</v>
      </c>
      <c r="W32" s="207">
        <f t="shared" si="17"/>
        <v>4.5824768522907515</v>
      </c>
      <c r="X32" s="207" t="str">
        <f t="shared" si="15"/>
        <v>!</v>
      </c>
      <c r="Y32" s="207">
        <v>1.249766414261114</v>
      </c>
      <c r="Z32" s="207" t="str">
        <f t="shared" si="16"/>
        <v>&lt;1</v>
      </c>
      <c r="AA32" s="209">
        <v>44169.5625</v>
      </c>
    </row>
    <row r="33" spans="1:27" s="208" customFormat="1">
      <c r="A33" s="208" t="s">
        <v>307</v>
      </c>
      <c r="B33" s="193">
        <f t="shared" si="1"/>
        <v>44169.479166666664</v>
      </c>
      <c r="C33" s="194">
        <v>1</v>
      </c>
      <c r="D33" s="195">
        <v>626.97</v>
      </c>
      <c r="E33" s="196">
        <v>119.66</v>
      </c>
      <c r="F33" s="197">
        <f t="shared" si="2"/>
        <v>6.3481637239559199E-3</v>
      </c>
      <c r="G33" s="197">
        <f t="shared" si="3"/>
        <v>6.5052309418799767E-3</v>
      </c>
      <c r="H33" s="96">
        <v>0.47916666666666669</v>
      </c>
      <c r="I33" s="198">
        <f>jar_information!M18</f>
        <v>44165.4375</v>
      </c>
      <c r="J33" s="199">
        <f t="shared" si="4"/>
        <v>4.0416666666642413</v>
      </c>
      <c r="K33" s="199">
        <f t="shared" si="5"/>
        <v>96.999999999941792</v>
      </c>
      <c r="L33" s="200">
        <f>jar_information!H18</f>
        <v>368.18572718286885</v>
      </c>
      <c r="M33" s="199">
        <f t="shared" si="6"/>
        <v>2.3373032769806192</v>
      </c>
      <c r="N33" s="199">
        <f t="shared" si="7"/>
        <v>4.2772649968745338</v>
      </c>
      <c r="O33" s="201">
        <f t="shared" si="8"/>
        <v>1.1665268173294183</v>
      </c>
      <c r="P33" s="202">
        <f t="shared" si="9"/>
        <v>0.60741915713918138</v>
      </c>
      <c r="Q33" s="203">
        <v>187.4</v>
      </c>
      <c r="R33" s="203">
        <f t="shared" si="10"/>
        <v>0.5954877661264697</v>
      </c>
      <c r="S33" s="203">
        <f t="shared" si="11"/>
        <v>98.035723623056924</v>
      </c>
      <c r="T33" s="204">
        <f t="shared" si="12"/>
        <v>6348.1637239559195</v>
      </c>
      <c r="U33" s="205">
        <f t="shared" si="13"/>
        <v>0.63481637239559208</v>
      </c>
      <c r="V33" s="206">
        <f t="shared" si="14"/>
        <v>1.2026049663197097E-2</v>
      </c>
      <c r="W33" s="207">
        <f t="shared" si="17"/>
        <v>4.5824768522907515</v>
      </c>
      <c r="X33" s="207">
        <f t="shared" si="15"/>
        <v>0.30521185541621776</v>
      </c>
      <c r="Y33" s="207">
        <v>1.249766414261114</v>
      </c>
      <c r="Z33" s="207" t="str">
        <f t="shared" si="16"/>
        <v>&lt;1</v>
      </c>
      <c r="AA33" s="209">
        <v>44169.5625</v>
      </c>
    </row>
    <row r="34" spans="1:27">
      <c r="A34" t="s">
        <v>308</v>
      </c>
      <c r="B34" s="71">
        <f t="shared" si="1"/>
        <v>44169.479166666664</v>
      </c>
      <c r="C34" s="44">
        <v>1</v>
      </c>
      <c r="D34" s="80">
        <v>1022.2</v>
      </c>
      <c r="E34" s="81">
        <v>184.66</v>
      </c>
      <c r="F34" s="72">
        <f t="shared" si="2"/>
        <v>1.0360749846867563E-2</v>
      </c>
      <c r="G34" s="72">
        <f t="shared" si="3"/>
        <v>1.0209838514121159E-2</v>
      </c>
      <c r="H34" s="96">
        <v>0.47916666666666669</v>
      </c>
      <c r="I34" s="73">
        <f>jar_information!M19</f>
        <v>44165.4375</v>
      </c>
      <c r="J34" s="74">
        <f t="shared" si="4"/>
        <v>4.0416666666642413</v>
      </c>
      <c r="K34" s="74">
        <f t="shared" si="5"/>
        <v>96.999999999941792</v>
      </c>
      <c r="L34" s="75">
        <f>jar_information!H19</f>
        <v>374.31908006509644</v>
      </c>
      <c r="M34" s="74">
        <f t="shared" si="6"/>
        <v>3.8782263514640549</v>
      </c>
      <c r="N34" s="74">
        <f t="shared" si="7"/>
        <v>7.0971542231792206</v>
      </c>
      <c r="O34" s="76">
        <f t="shared" si="8"/>
        <v>1.9355875154125146</v>
      </c>
      <c r="P34" s="77">
        <f t="shared" si="9"/>
        <v>0.99989142215108073</v>
      </c>
      <c r="Q34" s="78"/>
      <c r="R34" s="78">
        <f t="shared" si="10"/>
        <v>0</v>
      </c>
      <c r="S34" s="78">
        <f t="shared" si="11"/>
        <v>0</v>
      </c>
      <c r="T34" s="79">
        <f t="shared" si="12"/>
        <v>10360.749846867562</v>
      </c>
      <c r="U34" s="7">
        <f t="shared" si="13"/>
        <v>1.0360749846867563</v>
      </c>
      <c r="V34" s="90">
        <f t="shared" si="14"/>
        <v>1.9954510468182227E-2</v>
      </c>
      <c r="W34" s="137">
        <f t="shared" si="17"/>
        <v>12.14735031673621</v>
      </c>
      <c r="X34" s="137">
        <f t="shared" si="15"/>
        <v>5.0501960935569894</v>
      </c>
      <c r="Y34" s="137">
        <v>3.3129137227462393</v>
      </c>
      <c r="Z34" s="137">
        <f t="shared" si="16"/>
        <v>2.8759709271618332</v>
      </c>
    </row>
    <row r="35" spans="1:27" ht="15" customHeight="1">
      <c r="A35" t="s">
        <v>309</v>
      </c>
      <c r="B35" s="71">
        <f t="shared" si="1"/>
        <v>44169.479166666664</v>
      </c>
      <c r="C35" s="44">
        <v>1</v>
      </c>
      <c r="D35" s="80">
        <v>1522.9</v>
      </c>
      <c r="E35" s="81">
        <v>275.06</v>
      </c>
      <c r="F35" s="72">
        <f t="shared" si="2"/>
        <v>1.5444123760137967E-2</v>
      </c>
      <c r="G35" s="72">
        <f t="shared" si="3"/>
        <v>1.5362092737668899E-2</v>
      </c>
      <c r="H35" s="96">
        <v>0.47916666666666669</v>
      </c>
      <c r="I35" s="73">
        <f>jar_information!M20</f>
        <v>44165.4375</v>
      </c>
      <c r="J35" s="74">
        <f t="shared" si="4"/>
        <v>4.0416666666642413</v>
      </c>
      <c r="K35" s="74">
        <f t="shared" si="5"/>
        <v>96.999999999941792</v>
      </c>
      <c r="L35" s="75">
        <f>jar_information!H20</f>
        <v>368.18572718286885</v>
      </c>
      <c r="M35" s="74">
        <f t="shared" si="6"/>
        <v>5.68630593732862</v>
      </c>
      <c r="N35" s="74">
        <f t="shared" si="7"/>
        <v>10.405939865311375</v>
      </c>
      <c r="O35" s="76">
        <f t="shared" si="8"/>
        <v>2.8379835996303746</v>
      </c>
      <c r="P35" s="77">
        <f t="shared" si="9"/>
        <v>1.4777590883069267</v>
      </c>
      <c r="Q35" s="78"/>
      <c r="R35" s="78">
        <f t="shared" si="10"/>
        <v>0</v>
      </c>
      <c r="S35" s="78">
        <f t="shared" si="11"/>
        <v>0</v>
      </c>
      <c r="T35" s="79">
        <f t="shared" si="12"/>
        <v>15444.123760137967</v>
      </c>
      <c r="U35" s="7">
        <f t="shared" si="13"/>
        <v>1.5444123760137967</v>
      </c>
      <c r="V35" s="90">
        <f t="shared" si="14"/>
        <v>2.9257562882804924E-2</v>
      </c>
      <c r="W35" s="137">
        <f t="shared" si="17"/>
        <v>12.14735031673621</v>
      </c>
      <c r="X35" s="137">
        <f t="shared" si="15"/>
        <v>1.7414104514248354</v>
      </c>
      <c r="Y35" s="137">
        <v>3.3129137227462393</v>
      </c>
      <c r="Z35" s="137" t="str">
        <f t="shared" si="16"/>
        <v>&lt;1</v>
      </c>
    </row>
    <row r="36" spans="1:27">
      <c r="A36" t="s">
        <v>310</v>
      </c>
      <c r="B36" s="71">
        <f t="shared" si="1"/>
        <v>44169.479166666664</v>
      </c>
      <c r="C36" s="44">
        <v>1</v>
      </c>
      <c r="D36" s="80">
        <v>551.29999999999995</v>
      </c>
      <c r="E36" s="81">
        <v>105.07</v>
      </c>
      <c r="F36" s="72">
        <f t="shared" si="2"/>
        <v>5.5799214550979774E-3</v>
      </c>
      <c r="G36" s="72">
        <f t="shared" si="3"/>
        <v>5.6736890268184563E-3</v>
      </c>
      <c r="H36" s="96">
        <v>0.47916666666666669</v>
      </c>
      <c r="I36" s="73">
        <f>jar_information!M21</f>
        <v>44165.4375</v>
      </c>
      <c r="J36" s="74">
        <f t="shared" si="4"/>
        <v>4.0416666666642413</v>
      </c>
      <c r="K36" s="74">
        <f t="shared" si="5"/>
        <v>96.999999999941792</v>
      </c>
      <c r="L36" s="75">
        <f>jar_information!H21</f>
        <v>380.48119427385262</v>
      </c>
      <c r="M36" s="74">
        <f t="shared" si="6"/>
        <v>2.1230551791899721</v>
      </c>
      <c r="N36" s="74">
        <f t="shared" si="7"/>
        <v>3.8851909779176492</v>
      </c>
      <c r="O36" s="76">
        <f t="shared" si="8"/>
        <v>1.059597539432086</v>
      </c>
      <c r="P36" s="77">
        <f t="shared" si="9"/>
        <v>0.54304833848965128</v>
      </c>
      <c r="Q36" s="78"/>
      <c r="R36" s="78">
        <f t="shared" si="10"/>
        <v>0</v>
      </c>
      <c r="S36" s="78">
        <f>R36/O36*100</f>
        <v>0</v>
      </c>
      <c r="T36" s="79">
        <f t="shared" si="12"/>
        <v>5579.9214550979777</v>
      </c>
      <c r="U36" s="7">
        <f t="shared" si="13"/>
        <v>0.55799214550979781</v>
      </c>
      <c r="V36" s="90">
        <f t="shared" si="14"/>
        <v>1.0923685973533215E-2</v>
      </c>
      <c r="W36" s="137">
        <f t="shared" si="17"/>
        <v>4.7370562835765471</v>
      </c>
      <c r="X36" s="137">
        <f t="shared" si="15"/>
        <v>0.85186530565889784</v>
      </c>
      <c r="Y36" s="137">
        <v>1.2919244409754218</v>
      </c>
      <c r="Z36" s="137" t="str">
        <f t="shared" si="16"/>
        <v>&lt;1</v>
      </c>
    </row>
    <row r="37" spans="1:27" s="208" customFormat="1">
      <c r="A37" s="208" t="s">
        <v>311</v>
      </c>
      <c r="B37" s="193">
        <f t="shared" si="1"/>
        <v>44169.479166666664</v>
      </c>
      <c r="C37" s="194">
        <v>1</v>
      </c>
      <c r="D37" s="195">
        <v>736.87</v>
      </c>
      <c r="E37" s="196">
        <v>134.19</v>
      </c>
      <c r="F37" s="197">
        <f t="shared" si="2"/>
        <v>7.4639272411686558E-3</v>
      </c>
      <c r="G37" s="197">
        <f t="shared" si="3"/>
        <v>7.3333532191825063E-3</v>
      </c>
      <c r="H37" s="96">
        <v>0.47916666666666669</v>
      </c>
      <c r="I37" s="198">
        <f>jar_information!M22</f>
        <v>44165.4375</v>
      </c>
      <c r="J37" s="199">
        <f t="shared" si="4"/>
        <v>4.0416666666642413</v>
      </c>
      <c r="K37" s="199">
        <f t="shared" si="5"/>
        <v>96.999999999941792</v>
      </c>
      <c r="L37" s="200">
        <f>jar_information!H22</f>
        <v>368.18572718286885</v>
      </c>
      <c r="M37" s="199">
        <f t="shared" si="6"/>
        <v>2.7481114789297054</v>
      </c>
      <c r="N37" s="199">
        <f t="shared" si="7"/>
        <v>5.0290440064413611</v>
      </c>
      <c r="O37" s="201">
        <f t="shared" si="8"/>
        <v>1.3715574563021893</v>
      </c>
      <c r="P37" s="202">
        <f t="shared" si="9"/>
        <v>0.71418013002248137</v>
      </c>
      <c r="Q37" s="203">
        <v>205.5</v>
      </c>
      <c r="R37" s="203">
        <f t="shared" si="10"/>
        <v>0.65300285986653961</v>
      </c>
      <c r="S37" s="203">
        <f>R37/P37*100</f>
        <v>91.433915957026699</v>
      </c>
      <c r="T37" s="204">
        <f t="shared" si="12"/>
        <v>7463.9272411686561</v>
      </c>
      <c r="U37" s="205">
        <f t="shared" si="13"/>
        <v>0.74639272411686552</v>
      </c>
      <c r="V37" s="206">
        <f t="shared" si="14"/>
        <v>1.4139767590752705E-2</v>
      </c>
      <c r="W37" s="207">
        <f t="shared" si="17"/>
        <v>4.7370562835765471</v>
      </c>
      <c r="X37" s="207" t="str">
        <f t="shared" si="15"/>
        <v>!</v>
      </c>
      <c r="Y37" s="207">
        <v>1.2919244409754218</v>
      </c>
      <c r="Z37" s="207" t="str">
        <f t="shared" si="16"/>
        <v>&lt;1</v>
      </c>
      <c r="AA37" s="209">
        <v>44169.5625</v>
      </c>
    </row>
    <row r="38" spans="1:27">
      <c r="A38" t="s">
        <v>312</v>
      </c>
      <c r="B38" s="71">
        <f t="shared" si="1"/>
        <v>44169.479166666664</v>
      </c>
      <c r="C38" s="44">
        <v>1</v>
      </c>
      <c r="D38" s="80">
        <v>197.58</v>
      </c>
      <c r="E38" s="81">
        <v>39.591000000000001</v>
      </c>
      <c r="F38" s="72">
        <f t="shared" si="2"/>
        <v>1.9887670300889784E-3</v>
      </c>
      <c r="G38" s="72">
        <f t="shared" si="3"/>
        <v>1.9417813464679887E-3</v>
      </c>
      <c r="H38" s="96">
        <v>0.47916666666666669</v>
      </c>
      <c r="I38" s="73">
        <f>jar_information!M23</f>
        <v>44165.4375</v>
      </c>
      <c r="J38" s="74">
        <f t="shared" si="4"/>
        <v>4.0416666666642413</v>
      </c>
      <c r="K38" s="74">
        <f t="shared" si="5"/>
        <v>96.999999999941792</v>
      </c>
      <c r="L38" s="75">
        <f>jar_information!H23</f>
        <v>389.7787371829466</v>
      </c>
      <c r="M38" s="74">
        <f t="shared" si="6"/>
        <v>0.77517910153916114</v>
      </c>
      <c r="N38" s="74">
        <f t="shared" si="7"/>
        <v>1.418577755816665</v>
      </c>
      <c r="O38" s="76">
        <f t="shared" si="8"/>
        <v>0.38688484249545407</v>
      </c>
      <c r="P38" s="77">
        <f t="shared" si="9"/>
        <v>0.1959459399352429</v>
      </c>
      <c r="Q38" s="78"/>
      <c r="R38" s="78">
        <f t="shared" si="10"/>
        <v>0</v>
      </c>
      <c r="S38" s="78">
        <f t="shared" si="11"/>
        <v>0</v>
      </c>
      <c r="T38" s="79">
        <f t="shared" si="12"/>
        <v>1988.7670300889783</v>
      </c>
      <c r="U38" s="7">
        <f t="shared" si="13"/>
        <v>0.19887670300889784</v>
      </c>
      <c r="V38" s="90">
        <f t="shared" si="14"/>
        <v>3.9885035308833633E-3</v>
      </c>
      <c r="W38" s="137">
        <f t="shared" si="17"/>
        <v>4.0044384396609969</v>
      </c>
      <c r="X38" s="137">
        <f t="shared" si="15"/>
        <v>2.5858606838443317</v>
      </c>
      <c r="Y38" s="137">
        <v>1.0921195744529992</v>
      </c>
      <c r="Z38" s="137">
        <f t="shared" si="16"/>
        <v>7.3673698094289986</v>
      </c>
    </row>
    <row r="39" spans="1:27">
      <c r="A39" t="s">
        <v>313</v>
      </c>
      <c r="B39" s="71">
        <f t="shared" si="1"/>
        <v>44169.479166666664</v>
      </c>
      <c r="C39" s="44">
        <v>1</v>
      </c>
      <c r="D39" s="80">
        <v>230.72</v>
      </c>
      <c r="E39" s="81">
        <v>46.325000000000003</v>
      </c>
      <c r="F39" s="72">
        <f t="shared" si="2"/>
        <v>2.3252220160801529E-3</v>
      </c>
      <c r="G39" s="72">
        <f t="shared" si="3"/>
        <v>2.3255786909521753E-3</v>
      </c>
      <c r="H39" s="96">
        <v>0.47916666666666669</v>
      </c>
      <c r="I39" s="73">
        <f>jar_information!M24</f>
        <v>44165.4375</v>
      </c>
      <c r="J39" s="74">
        <f t="shared" si="4"/>
        <v>4.0416666666642413</v>
      </c>
      <c r="K39" s="74">
        <f t="shared" si="5"/>
        <v>96.999999999941792</v>
      </c>
      <c r="L39" s="75">
        <f>jar_information!H24</f>
        <v>380.48119427385262</v>
      </c>
      <c r="M39" s="74">
        <f t="shared" si="6"/>
        <v>0.88470324963003188</v>
      </c>
      <c r="N39" s="74">
        <f t="shared" si="7"/>
        <v>1.6190069468229584</v>
      </c>
      <c r="O39" s="76">
        <f t="shared" si="8"/>
        <v>0.44154734913353411</v>
      </c>
      <c r="P39" s="77">
        <f t="shared" si="9"/>
        <v>0.22629493311204904</v>
      </c>
      <c r="Q39" s="78"/>
      <c r="R39" s="78">
        <f t="shared" si="10"/>
        <v>0</v>
      </c>
      <c r="S39" s="78">
        <f t="shared" si="11"/>
        <v>0</v>
      </c>
      <c r="T39" s="79">
        <f t="shared" si="12"/>
        <v>2325.222016080153</v>
      </c>
      <c r="U39" s="7">
        <f t="shared" si="13"/>
        <v>0.23252220160801529</v>
      </c>
      <c r="V39" s="90">
        <f t="shared" si="14"/>
        <v>4.5520345271525681E-3</v>
      </c>
      <c r="W39" s="137">
        <f t="shared" si="17"/>
        <v>4.0044384396609969</v>
      </c>
      <c r="X39" s="137">
        <f t="shared" si="15"/>
        <v>2.3854314928380385</v>
      </c>
      <c r="Y39" s="137">
        <v>1.0921195744529992</v>
      </c>
      <c r="Z39" s="137">
        <f t="shared" si="16"/>
        <v>5.9549583583527976</v>
      </c>
    </row>
    <row r="40" spans="1:27">
      <c r="B40" s="29"/>
    </row>
    <row r="41" spans="1:27">
      <c r="B41" s="29"/>
    </row>
    <row r="42" spans="1:27">
      <c r="B42" s="29"/>
    </row>
    <row r="43" spans="1:27">
      <c r="B43" s="29"/>
    </row>
    <row r="44" spans="1:27">
      <c r="B44" s="29"/>
    </row>
    <row r="45" spans="1:27">
      <c r="B45" s="29"/>
    </row>
    <row r="46" spans="1:27">
      <c r="B46" s="29"/>
    </row>
    <row r="47" spans="1:27">
      <c r="B47" s="29"/>
    </row>
    <row r="48" spans="1:27">
      <c r="B48" s="29"/>
    </row>
    <row r="49" spans="2:2">
      <c r="B49" s="29"/>
    </row>
    <row r="50" spans="2:2">
      <c r="B50" s="29"/>
    </row>
    <row r="51" spans="2:2">
      <c r="B51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</sheetData>
  <conditionalFormatting sqref="O18:O39">
    <cfRule type="cellIs" dxfId="12" priority="1" operator="greaterThan">
      <formula>4</formula>
    </cfRule>
    <cfRule type="cellIs" dxfId="11" priority="2" operator="between">
      <formula>2</formula>
      <formula>3.9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workbookViewId="0">
      <selection activeCell="H23" sqref="H23:H24"/>
    </sheetView>
  </sheetViews>
  <sheetFormatPr baseColWidth="10" defaultRowHeight="14" x14ac:dyDescent="0"/>
  <cols>
    <col min="1" max="1" width="20.6640625" bestFit="1" customWidth="1"/>
    <col min="11" max="11" width="14.1640625" customWidth="1"/>
    <col min="12" max="13" width="17" customWidth="1"/>
  </cols>
  <sheetData>
    <row r="1" spans="1:23">
      <c r="B1" s="125" t="e">
        <f>'2001_Inc_01.12.20'!#REF!</f>
        <v>#REF!</v>
      </c>
      <c r="C1" s="125" t="e">
        <f>'2001_Inc_02.12.20'!#REF!</f>
        <v>#REF!</v>
      </c>
      <c r="D1" s="125" t="e">
        <f>'2001_Inc_04.12.20'!#REF!</f>
        <v>#REF!</v>
      </c>
      <c r="E1" s="125" t="e">
        <f>'2001_Inc_07.12.20'!#REF!</f>
        <v>#REF!</v>
      </c>
      <c r="F1" s="125" t="e">
        <f>'2001_Inc_08.12.20'!#REF!</f>
        <v>#REF!</v>
      </c>
      <c r="G1" s="125" t="e">
        <f>'2001_Inc_11.12.20'!#REF!</f>
        <v>#REF!</v>
      </c>
      <c r="H1" s="125" t="e">
        <f>'2001_Inc_14.12.20'!#REF!</f>
        <v>#REF!</v>
      </c>
      <c r="I1" s="125" t="e">
        <f>#REF!</f>
        <v>#REF!</v>
      </c>
      <c r="J1" s="125" t="e">
        <f>#REF!</f>
        <v>#REF!</v>
      </c>
      <c r="K1" s="125" t="e">
        <f>#REF!</f>
        <v>#REF!</v>
      </c>
      <c r="L1" s="125" t="e">
        <f>#REF!</f>
        <v>#REF!</v>
      </c>
      <c r="M1" s="125" t="e">
        <f>#REF!</f>
        <v>#REF!</v>
      </c>
    </row>
    <row r="2" spans="1:23">
      <c r="A2" s="64" t="s">
        <v>84</v>
      </c>
      <c r="B2" s="130">
        <f>'2001_Inc_01.12.20'!B3</f>
        <v>44166</v>
      </c>
      <c r="C2" s="130">
        <f>'2001_Inc_02.12.20'!B3</f>
        <v>44167</v>
      </c>
      <c r="D2" s="130">
        <f>'2001_Inc_04.12.20'!B3</f>
        <v>44169</v>
      </c>
      <c r="E2" s="130">
        <f>'2001_Inc_07.12.20'!B3</f>
        <v>44172</v>
      </c>
      <c r="F2" s="130">
        <f>'2001_Inc_08.12.20'!B3</f>
        <v>44173</v>
      </c>
      <c r="G2" s="130">
        <f>'2001_Inc_11.12.20'!B3</f>
        <v>44176</v>
      </c>
      <c r="H2" s="130">
        <f>'2001_Inc_14.12.20'!B3</f>
        <v>44179</v>
      </c>
      <c r="I2" s="130" t="e">
        <f>#REF!</f>
        <v>#REF!</v>
      </c>
      <c r="J2" s="130" t="e">
        <f>#REF!</f>
        <v>#REF!</v>
      </c>
      <c r="K2" s="130" t="e">
        <f>#REF!</f>
        <v>#REF!</v>
      </c>
      <c r="L2" s="130" t="e">
        <f>#REF!</f>
        <v>#REF!</v>
      </c>
      <c r="M2" s="130" t="e">
        <f>#REF!</f>
        <v>#REF!</v>
      </c>
      <c r="N2" t="s">
        <v>192</v>
      </c>
      <c r="O2" s="130">
        <v>43874</v>
      </c>
      <c r="P2" s="130">
        <v>43875</v>
      </c>
      <c r="Q2" s="130">
        <v>43878</v>
      </c>
      <c r="R2" s="130">
        <v>43880</v>
      </c>
      <c r="S2" s="130">
        <v>43888</v>
      </c>
      <c r="T2" s="130">
        <v>43892</v>
      </c>
      <c r="U2" s="130">
        <v>43899</v>
      </c>
      <c r="V2" s="130">
        <v>43906</v>
      </c>
      <c r="W2" s="130">
        <v>43913</v>
      </c>
    </row>
    <row r="3" spans="1:23">
      <c r="A3" t="s">
        <v>292</v>
      </c>
      <c r="B3" s="7">
        <f>'2001_Inc_01.12.20'!O18</f>
        <v>1.0946654055159228</v>
      </c>
      <c r="C3" s="7">
        <f>'2001_Inc_02.12.20'!O18</f>
        <v>1.8099217668978487</v>
      </c>
      <c r="D3" s="7">
        <f>'2001_Inc_04.12.20'!O18</f>
        <v>3.0303315093053511</v>
      </c>
      <c r="E3" s="7">
        <f>'2001_Inc_07.12.20'!O18</f>
        <v>3.7720793214160144</v>
      </c>
      <c r="F3" s="7">
        <f>'2001_Inc_08.12.20'!$O18</f>
        <v>4.9356826718121516</v>
      </c>
      <c r="G3" s="7">
        <f>'2001_Inc_11.12.20'!$O18</f>
        <v>5.2821563272886074</v>
      </c>
      <c r="H3" s="7">
        <f>'2001_Inc_14.12.20'!$O18</f>
        <v>4.9748119692932393</v>
      </c>
      <c r="I3" s="7" t="e">
        <f>#REF!</f>
        <v>#REF!</v>
      </c>
      <c r="J3" s="142" t="e">
        <f>#REF!</f>
        <v>#REF!</v>
      </c>
      <c r="K3" s="7" t="e">
        <f>#REF!</f>
        <v>#REF!</v>
      </c>
      <c r="L3" s="7" t="e">
        <f>#REF!</f>
        <v>#REF!</v>
      </c>
      <c r="M3" s="7" t="e">
        <f>#REF!</f>
        <v>#REF!</v>
      </c>
      <c r="N3" t="s">
        <v>131</v>
      </c>
      <c r="O3" s="7">
        <v>9.8386967048060811E-2</v>
      </c>
      <c r="P3" s="7">
        <v>0.16784869060678501</v>
      </c>
      <c r="Q3" s="7">
        <v>0.33346591625923161</v>
      </c>
      <c r="R3" s="7">
        <v>0.41631711842159513</v>
      </c>
      <c r="S3" s="7">
        <v>0.58434048653907111</v>
      </c>
      <c r="T3" s="7">
        <v>0.65455444628965287</v>
      </c>
      <c r="U3" s="7">
        <v>0.67761231637802832</v>
      </c>
      <c r="V3" s="141">
        <v>0.70674977644182613</v>
      </c>
      <c r="W3" s="7">
        <v>0.74112581693448454</v>
      </c>
    </row>
    <row r="4" spans="1:23">
      <c r="A4" t="s">
        <v>293</v>
      </c>
      <c r="B4" s="7">
        <f>'2001_Inc_01.12.20'!O19</f>
        <v>0.95618552547040936</v>
      </c>
      <c r="C4" s="7">
        <f>'2001_Inc_02.12.20'!O19</f>
        <v>1.492587136592286</v>
      </c>
      <c r="D4" s="7">
        <f>'2001_Inc_04.12.20'!O19</f>
        <v>1.8051692861395507</v>
      </c>
      <c r="E4" s="7">
        <f>'2001_Inc_07.12.20'!O19</f>
        <v>2.1109442887416821</v>
      </c>
      <c r="F4" s="7">
        <f>'2001_Inc_08.12.20'!$O19</f>
        <v>2.0302748820661241</v>
      </c>
      <c r="G4" s="7">
        <f>'2001_Inc_11.12.20'!$O19</f>
        <v>2.0135572284233567</v>
      </c>
      <c r="H4" s="7">
        <f>'2001_Inc_14.12.20'!$O19</f>
        <v>1.5929360487967519</v>
      </c>
      <c r="I4" s="7" t="e">
        <f>#REF!</f>
        <v>#REF!</v>
      </c>
      <c r="J4" s="142" t="e">
        <f>#REF!</f>
        <v>#REF!</v>
      </c>
      <c r="K4" s="7" t="e">
        <f>#REF!</f>
        <v>#REF!</v>
      </c>
      <c r="L4" s="7" t="e">
        <f>#REF!</f>
        <v>#REF!</v>
      </c>
      <c r="M4" s="7" t="e">
        <f>#REF!</f>
        <v>#REF!</v>
      </c>
      <c r="N4" t="s">
        <v>132</v>
      </c>
      <c r="O4" s="7">
        <v>0.35569385020449384</v>
      </c>
      <c r="P4" s="7">
        <v>0.59972288368833371</v>
      </c>
      <c r="Q4" s="7">
        <v>1.2257211691097347</v>
      </c>
      <c r="R4" s="7">
        <v>1.5426905842276379</v>
      </c>
      <c r="S4" s="7">
        <v>2.2983914470819555</v>
      </c>
      <c r="T4" s="7">
        <v>2.7682130676264141</v>
      </c>
      <c r="U4" s="7">
        <v>2.9793926615083244</v>
      </c>
      <c r="V4" s="141">
        <v>3.3778173527503417</v>
      </c>
      <c r="W4" s="7">
        <v>3.5282933575030606</v>
      </c>
    </row>
    <row r="5" spans="1:23">
      <c r="A5" t="s">
        <v>294</v>
      </c>
      <c r="B5" s="7">
        <f>'2001_Inc_01.12.20'!O20</f>
        <v>0.59674907502133701</v>
      </c>
      <c r="C5" s="7">
        <f>'2001_Inc_02.12.20'!O20</f>
        <v>1.0020780571276644</v>
      </c>
      <c r="D5" s="7">
        <f>'2001_Inc_04.12.20'!O20</f>
        <v>1.6938306802469449</v>
      </c>
      <c r="E5" s="7">
        <f>'2001_Inc_07.12.20'!O20</f>
        <v>2.334416277062771</v>
      </c>
      <c r="F5" s="7">
        <f>'2001_Inc_08.12.20'!$O20</f>
        <v>2.588904703841103</v>
      </c>
      <c r="G5" s="7" t="e">
        <f>'2001_Inc_11.12.20'!$O20</f>
        <v>#DIV/0!</v>
      </c>
      <c r="H5" s="7" t="e">
        <f>'2001_Inc_14.12.20'!$O20</f>
        <v>#DIV/0!</v>
      </c>
      <c r="I5" s="7" t="e">
        <f>#REF!</f>
        <v>#REF!</v>
      </c>
      <c r="J5" s="142" t="e">
        <f>#REF!</f>
        <v>#REF!</v>
      </c>
      <c r="K5" s="7" t="e">
        <f>#REF!</f>
        <v>#REF!</v>
      </c>
      <c r="L5" s="7" t="e">
        <f>#REF!</f>
        <v>#REF!</v>
      </c>
      <c r="M5" s="7" t="e">
        <f>#REF!</f>
        <v>#REF!</v>
      </c>
      <c r="N5" t="s">
        <v>133</v>
      </c>
      <c r="O5" s="7">
        <v>0.25095383997262161</v>
      </c>
      <c r="P5" s="7">
        <v>0.40725635652944858</v>
      </c>
      <c r="Q5" s="7">
        <v>0.73026275650175476</v>
      </c>
      <c r="R5" s="7">
        <v>0.88968968752321431</v>
      </c>
      <c r="S5" s="7">
        <v>1.1943486636119554</v>
      </c>
      <c r="T5" s="7">
        <v>1.3106009052982641</v>
      </c>
      <c r="U5" s="7">
        <v>1.3522676700050393</v>
      </c>
      <c r="V5" s="141">
        <v>1.3524587569187352</v>
      </c>
      <c r="W5" s="7">
        <v>1.3326221496900876</v>
      </c>
    </row>
    <row r="6" spans="1:23">
      <c r="A6" t="s">
        <v>295</v>
      </c>
      <c r="B6" s="7">
        <f>'2001_Inc_01.12.20'!O21</f>
        <v>0.63508414018752002</v>
      </c>
      <c r="C6" s="7">
        <f>'2001_Inc_02.12.20'!O21</f>
        <v>1.0025211232185622</v>
      </c>
      <c r="D6" s="7">
        <f>'2001_Inc_04.12.20'!O21</f>
        <v>1.8089898763219232</v>
      </c>
      <c r="E6" s="7">
        <f>'2001_Inc_07.12.20'!O21</f>
        <v>2.3546397595978981</v>
      </c>
      <c r="F6" s="7">
        <f>'2001_Inc_08.12.20'!$O21</f>
        <v>3.0393508535886946</v>
      </c>
      <c r="G6" s="7" t="e">
        <f>'2001_Inc_11.12.20'!$O21</f>
        <v>#DIV/0!</v>
      </c>
      <c r="H6" s="7" t="e">
        <f>'2001_Inc_14.12.20'!$O21</f>
        <v>#DIV/0!</v>
      </c>
      <c r="I6" s="7" t="e">
        <f>#REF!</f>
        <v>#REF!</v>
      </c>
      <c r="J6" s="142" t="e">
        <f>#REF!</f>
        <v>#REF!</v>
      </c>
      <c r="K6" s="7" t="e">
        <f>#REF!</f>
        <v>#REF!</v>
      </c>
      <c r="L6" s="7" t="e">
        <f>#REF!</f>
        <v>#REF!</v>
      </c>
      <c r="M6" s="7" t="e">
        <f>#REF!</f>
        <v>#REF!</v>
      </c>
      <c r="N6" t="s">
        <v>134</v>
      </c>
      <c r="O6" s="7">
        <v>0.24723062448589561</v>
      </c>
      <c r="P6" s="7">
        <v>0.39380781829242523</v>
      </c>
      <c r="Q6" s="7">
        <v>0.76554773125577402</v>
      </c>
      <c r="R6" s="7">
        <v>0.96169256352149934</v>
      </c>
      <c r="S6" s="7">
        <v>1.5056295848768737</v>
      </c>
      <c r="T6" s="7">
        <v>1.8257912689824949</v>
      </c>
      <c r="U6" s="7">
        <v>2.1640067222777137</v>
      </c>
      <c r="V6" s="7">
        <v>2.5817806045256955</v>
      </c>
      <c r="W6" s="135">
        <v>2.8802362980426377</v>
      </c>
    </row>
    <row r="7" spans="1:23">
      <c r="A7" t="s">
        <v>296</v>
      </c>
      <c r="B7" s="7">
        <f>'2001_Inc_01.12.20'!O22</f>
        <v>0.24759030201964338</v>
      </c>
      <c r="C7" s="7">
        <f>'2001_Inc_02.12.20'!O22</f>
        <v>0.39474424418462017</v>
      </c>
      <c r="D7" s="7">
        <f>'2001_Inc_04.12.20'!O22</f>
        <v>0.62255198828773728</v>
      </c>
      <c r="E7" s="7">
        <f>'2001_Inc_07.12.20'!O22</f>
        <v>0.95305119483444201</v>
      </c>
      <c r="F7" s="142">
        <f>'2001_Inc_08.12.20'!$O22</f>
        <v>1.2693496361599943</v>
      </c>
      <c r="G7" s="7" t="e">
        <f>'2001_Inc_11.12.20'!$O22</f>
        <v>#DIV/0!</v>
      </c>
      <c r="H7" s="7" t="e">
        <f>'2001_Inc_14.12.20'!$O22</f>
        <v>#DIV/0!</v>
      </c>
      <c r="I7" s="7" t="e">
        <f>#REF!</f>
        <v>#REF!</v>
      </c>
      <c r="J7" s="142" t="e">
        <f>#REF!</f>
        <v>#REF!</v>
      </c>
      <c r="K7" s="7" t="e">
        <f>#REF!</f>
        <v>#REF!</v>
      </c>
      <c r="L7" s="7" t="e">
        <f>#REF!</f>
        <v>#REF!</v>
      </c>
      <c r="M7" s="7" t="e">
        <f>#REF!</f>
        <v>#REF!</v>
      </c>
      <c r="N7" t="s">
        <v>135</v>
      </c>
      <c r="O7" s="7">
        <v>0.53419683845204136</v>
      </c>
      <c r="P7" s="7">
        <v>0.94959728986179603</v>
      </c>
      <c r="Q7" s="7">
        <v>2.415224974519754</v>
      </c>
      <c r="R7" s="7">
        <v>3.2974264198247787</v>
      </c>
      <c r="S7" s="135">
        <v>5.5726942770254215</v>
      </c>
      <c r="T7" s="7" t="e">
        <v>#DIV/0!</v>
      </c>
      <c r="U7" s="7" t="e">
        <v>#DIV/0!</v>
      </c>
      <c r="V7" s="7" t="e">
        <v>#VALUE!</v>
      </c>
      <c r="W7" s="7" t="e">
        <v>#VALUE!</v>
      </c>
    </row>
    <row r="8" spans="1:23">
      <c r="A8" t="s">
        <v>297</v>
      </c>
      <c r="B8" s="7">
        <f>'2001_Inc_01.12.20'!O23</f>
        <v>0.20924281022606728</v>
      </c>
      <c r="C8" s="7">
        <f>'2001_Inc_02.12.20'!O23</f>
        <v>0.3400258812851118</v>
      </c>
      <c r="D8" s="7">
        <f>'2001_Inc_04.12.20'!O23</f>
        <v>0.55695519210540734</v>
      </c>
      <c r="E8" s="7">
        <f>'2001_Inc_07.12.20'!O23</f>
        <v>0.59371389402933905</v>
      </c>
      <c r="F8" s="7">
        <f>'2001_Inc_08.12.20'!$O23</f>
        <v>0.76417698376252996</v>
      </c>
      <c r="G8" s="7">
        <f>'2001_Inc_11.12.20'!$O23</f>
        <v>0.68034389458267208</v>
      </c>
      <c r="H8" s="7">
        <f>'2001_Inc_14.12.20'!$O23</f>
        <v>0.67758453654806083</v>
      </c>
      <c r="I8" s="7" t="e">
        <f>#REF!</f>
        <v>#REF!</v>
      </c>
      <c r="J8" s="142" t="e">
        <f>#REF!</f>
        <v>#REF!</v>
      </c>
      <c r="K8" s="7" t="e">
        <f>#REF!</f>
        <v>#REF!</v>
      </c>
      <c r="L8" s="7" t="e">
        <f>#REF!</f>
        <v>#REF!</v>
      </c>
      <c r="M8" s="7" t="e">
        <f>#REF!</f>
        <v>#REF!</v>
      </c>
      <c r="N8" t="s">
        <v>136</v>
      </c>
      <c r="O8" s="7">
        <v>0.50952380796076102</v>
      </c>
      <c r="P8" s="7">
        <v>0.94178120150211087</v>
      </c>
      <c r="Q8" s="7">
        <v>1.8039582824344171</v>
      </c>
      <c r="R8" s="7">
        <v>2.6449348478507715</v>
      </c>
      <c r="S8" s="7">
        <v>3.6966563467515456</v>
      </c>
      <c r="T8" s="7">
        <v>3.9713043500839893</v>
      </c>
      <c r="U8" s="7">
        <v>3.9716371235829793</v>
      </c>
      <c r="V8" s="142">
        <v>3.8425568060010384</v>
      </c>
      <c r="W8" s="7">
        <v>3.6692968965476362</v>
      </c>
    </row>
    <row r="9" spans="1:23">
      <c r="A9" t="s">
        <v>298</v>
      </c>
      <c r="B9" s="7">
        <f>'2001_Inc_01.12.20'!O24</f>
        <v>1.2404275555838096</v>
      </c>
      <c r="C9" s="7">
        <f>'2001_Inc_02.12.20'!O24</f>
        <v>2.1391865365786549</v>
      </c>
      <c r="D9" s="7">
        <f>'2001_Inc_04.12.20'!O24</f>
        <v>3.698101295020904</v>
      </c>
      <c r="E9" s="7" t="e">
        <f>'2001_Inc_07.12.20'!O24</f>
        <v>#DIV/0!</v>
      </c>
      <c r="F9" s="7" t="e">
        <f>'2001_Inc_08.12.20'!$O24</f>
        <v>#DIV/0!</v>
      </c>
      <c r="G9" s="7" t="e">
        <f>'2001_Inc_11.12.20'!$O24</f>
        <v>#DIV/0!</v>
      </c>
      <c r="H9" s="142" t="e">
        <f>'2001_Inc_14.12.20'!$O24</f>
        <v>#DIV/0!</v>
      </c>
      <c r="I9" s="142" t="e">
        <f>#REF!</f>
        <v>#REF!</v>
      </c>
      <c r="J9" s="142" t="e">
        <f>#REF!</f>
        <v>#REF!</v>
      </c>
      <c r="K9" s="7" t="e">
        <f>#REF!</f>
        <v>#REF!</v>
      </c>
      <c r="L9" s="7" t="e">
        <f>#REF!</f>
        <v>#REF!</v>
      </c>
      <c r="M9" s="7" t="e">
        <f>#REF!</f>
        <v>#REF!</v>
      </c>
      <c r="N9" t="s">
        <v>137</v>
      </c>
      <c r="O9" s="7">
        <v>0.2096402781119979</v>
      </c>
      <c r="P9" s="7">
        <v>0.38864425681301878</v>
      </c>
      <c r="Q9" s="7">
        <v>0.82525178847848191</v>
      </c>
      <c r="R9" s="7">
        <v>1.0473795404593043</v>
      </c>
      <c r="S9" s="7">
        <v>1.8894251284235071</v>
      </c>
      <c r="T9" s="7">
        <v>2.2451697841304852</v>
      </c>
      <c r="U9" s="7">
        <v>2.7986477928650109</v>
      </c>
      <c r="V9" s="141">
        <v>3.3519317364350187</v>
      </c>
      <c r="W9" s="7">
        <v>3.7417244207415452</v>
      </c>
    </row>
    <row r="10" spans="1:23">
      <c r="A10" t="s">
        <v>299</v>
      </c>
      <c r="B10" s="7">
        <f>'2001_Inc_01.12.20'!O25</f>
        <v>1.0427993281699668</v>
      </c>
      <c r="C10" s="7">
        <f>'2001_Inc_02.12.20'!O25</f>
        <v>1.7014036399674912</v>
      </c>
      <c r="D10" s="7">
        <f>'2001_Inc_04.12.20'!O25</f>
        <v>2.5140844632034649</v>
      </c>
      <c r="E10" s="7" t="e">
        <f>'2001_Inc_07.12.20'!O25</f>
        <v>#DIV/0!</v>
      </c>
      <c r="F10" s="7" t="e">
        <f>'2001_Inc_08.12.20'!$O25</f>
        <v>#DIV/0!</v>
      </c>
      <c r="G10" s="7" t="e">
        <f>'2001_Inc_11.12.20'!$O25</f>
        <v>#DIV/0!</v>
      </c>
      <c r="H10" s="7" t="e">
        <f>'2001_Inc_14.12.20'!$O25</f>
        <v>#DIV/0!</v>
      </c>
      <c r="I10" s="7" t="e">
        <f>#REF!</f>
        <v>#REF!</v>
      </c>
      <c r="J10" s="142" t="e">
        <f>#REF!</f>
        <v>#REF!</v>
      </c>
      <c r="K10" s="7" t="e">
        <f>#REF!</f>
        <v>#REF!</v>
      </c>
      <c r="L10" s="7" t="e">
        <f>#REF!</f>
        <v>#REF!</v>
      </c>
      <c r="M10" s="7" t="e">
        <f>#REF!</f>
        <v>#REF!</v>
      </c>
      <c r="N10" t="s">
        <v>138</v>
      </c>
      <c r="O10" s="7">
        <v>0.32665717607204975</v>
      </c>
      <c r="P10" s="7">
        <v>0.56603668278662111</v>
      </c>
      <c r="Q10" s="7">
        <v>1.0604014076396988</v>
      </c>
      <c r="R10" s="7">
        <v>1.2898535805169737</v>
      </c>
      <c r="S10" s="7">
        <v>1.8138266551579836</v>
      </c>
      <c r="T10" s="7">
        <v>1.937405656064775</v>
      </c>
      <c r="U10" s="7">
        <v>2.0653824073863722</v>
      </c>
      <c r="V10" s="7">
        <v>2.1240114403522612</v>
      </c>
      <c r="W10" s="7">
        <v>2.0276801750820401</v>
      </c>
    </row>
    <row r="11" spans="1:23">
      <c r="A11" t="s">
        <v>300</v>
      </c>
      <c r="B11" s="7">
        <f>'2001_Inc_01.12.20'!O26</f>
        <v>0.38192784709075739</v>
      </c>
      <c r="C11" s="7">
        <f>'2001_Inc_02.12.20'!O26</f>
        <v>0.62804430436675251</v>
      </c>
      <c r="D11" s="7">
        <f>'2001_Inc_04.12.20'!O26</f>
        <v>1.0915106026515731</v>
      </c>
      <c r="E11" s="7">
        <f>'2001_Inc_07.12.20'!O26</f>
        <v>1.5890761023105018</v>
      </c>
      <c r="F11" s="7">
        <f>'2001_Inc_08.12.20'!$O26</f>
        <v>1.8507351747707141</v>
      </c>
      <c r="G11" s="7" t="e">
        <f>'2001_Inc_11.12.20'!$O26</f>
        <v>#DIV/0!</v>
      </c>
      <c r="H11" s="7" t="e">
        <f>'2001_Inc_14.12.20'!$O26</f>
        <v>#DIV/0!</v>
      </c>
      <c r="I11" s="7" t="e">
        <f>#REF!</f>
        <v>#REF!</v>
      </c>
      <c r="J11" s="142" t="e">
        <f>#REF!</f>
        <v>#REF!</v>
      </c>
      <c r="K11" s="7" t="e">
        <f>#REF!</f>
        <v>#REF!</v>
      </c>
      <c r="L11" s="7" t="e">
        <f>#REF!</f>
        <v>#REF!</v>
      </c>
      <c r="M11" s="7" t="e">
        <f>#REF!</f>
        <v>#REF!</v>
      </c>
      <c r="N11" t="s">
        <v>139</v>
      </c>
      <c r="O11" s="7">
        <v>0.32414730158979638</v>
      </c>
      <c r="P11" s="7">
        <v>0.50166410893764546</v>
      </c>
      <c r="Q11" s="7">
        <v>0.94289467082491196</v>
      </c>
      <c r="R11" s="7">
        <v>1.1610616733855197</v>
      </c>
      <c r="S11" s="7">
        <v>1.7574492182303094</v>
      </c>
      <c r="T11" s="7">
        <v>2.1139645794377513</v>
      </c>
      <c r="U11" s="7">
        <v>2.6074092994528453</v>
      </c>
      <c r="V11" s="140">
        <v>3.1099935144920883</v>
      </c>
      <c r="W11" s="7">
        <v>3.2678465356196909</v>
      </c>
    </row>
    <row r="12" spans="1:23">
      <c r="A12" t="s">
        <v>301</v>
      </c>
      <c r="B12" s="7">
        <f>'2001_Inc_01.12.20'!O27</f>
        <v>0.29336605928064707</v>
      </c>
      <c r="C12" s="7">
        <f>'2001_Inc_02.12.20'!O27</f>
        <v>0.45331149658854891</v>
      </c>
      <c r="D12" s="7">
        <f>'2001_Inc_04.12.20'!O27</f>
        <v>0.59426813528257061</v>
      </c>
      <c r="E12" s="7">
        <f>'2001_Inc_07.12.20'!O27</f>
        <v>0.69794948367515641</v>
      </c>
      <c r="F12" s="7">
        <f>'2001_Inc_08.12.20'!$O27</f>
        <v>0.8246988732766346</v>
      </c>
      <c r="G12" s="7">
        <f>'2001_Inc_11.12.20'!$O27</f>
        <v>0.7657096426314457</v>
      </c>
      <c r="H12" s="7">
        <f>'2001_Inc_14.12.20'!$O27</f>
        <v>0.62611775265385561</v>
      </c>
      <c r="I12" s="7" t="e">
        <f>#REF!</f>
        <v>#REF!</v>
      </c>
      <c r="J12" s="142" t="e">
        <f>#REF!</f>
        <v>#REF!</v>
      </c>
      <c r="K12" s="7" t="e">
        <f>#REF!</f>
        <v>#REF!</v>
      </c>
      <c r="L12" s="7" t="e">
        <f>#REF!</f>
        <v>#REF!</v>
      </c>
      <c r="M12" s="7" t="e">
        <f>#REF!</f>
        <v>#REF!</v>
      </c>
      <c r="N12" t="s">
        <v>140</v>
      </c>
      <c r="O12" s="7">
        <v>0.39716471437351758</v>
      </c>
      <c r="P12" s="7">
        <v>0.64318773525198181</v>
      </c>
      <c r="Q12" s="7">
        <v>1.1919721747536312</v>
      </c>
      <c r="R12" s="7">
        <v>1.4888253844507937</v>
      </c>
      <c r="S12" s="7">
        <v>2.4991677021250061</v>
      </c>
      <c r="T12" s="7">
        <v>3.0156434878545704</v>
      </c>
      <c r="U12" s="7">
        <v>3.4797679118678859</v>
      </c>
      <c r="V12" s="7">
        <v>4.1485780029811998</v>
      </c>
      <c r="W12" s="135">
        <v>4.4189935623583496</v>
      </c>
    </row>
    <row r="13" spans="1:23">
      <c r="A13" t="s">
        <v>302</v>
      </c>
      <c r="B13" s="7">
        <f>'2001_Inc_01.12.20'!O28</f>
        <v>0.31922036082960353</v>
      </c>
      <c r="C13" s="7">
        <f>'2001_Inc_02.12.20'!O28</f>
        <v>0.47374403328803938</v>
      </c>
      <c r="D13" s="7">
        <f>'2001_Inc_04.12.20'!O28</f>
        <v>0.82423428304074198</v>
      </c>
      <c r="E13" s="7">
        <f>'2001_Inc_07.12.20'!O28</f>
        <v>1.212249511669977</v>
      </c>
      <c r="F13" s="7" t="e">
        <f>'2001_Inc_08.12.20'!$O28</f>
        <v>#DIV/0!</v>
      </c>
      <c r="G13" s="7" t="e">
        <f>'2001_Inc_11.12.20'!$O28</f>
        <v>#DIV/0!</v>
      </c>
      <c r="H13" s="7" t="e">
        <f>'2001_Inc_14.12.20'!$O28</f>
        <v>#DIV/0!</v>
      </c>
      <c r="I13" s="7" t="e">
        <f>#REF!</f>
        <v>#REF!</v>
      </c>
      <c r="J13" s="142" t="e">
        <f>#REF!</f>
        <v>#REF!</v>
      </c>
      <c r="K13" s="7" t="e">
        <f>#REF!</f>
        <v>#REF!</v>
      </c>
      <c r="L13" s="7" t="e">
        <f>#REF!</f>
        <v>#REF!</v>
      </c>
      <c r="M13" s="7" t="e">
        <f>#REF!</f>
        <v>#REF!</v>
      </c>
      <c r="N13" t="s">
        <v>141</v>
      </c>
      <c r="O13" s="7">
        <v>0.35798941324156286</v>
      </c>
      <c r="P13" s="7">
        <v>0.55266811656971737</v>
      </c>
      <c r="Q13" s="7">
        <v>0.98980024894943808</v>
      </c>
      <c r="R13" s="7">
        <v>1.218472171785751</v>
      </c>
      <c r="S13" s="7">
        <v>2.0878270500515805</v>
      </c>
      <c r="T13" s="7">
        <v>2.4429525279070083</v>
      </c>
      <c r="U13" s="7">
        <v>3.048509442222437</v>
      </c>
      <c r="V13" s="7">
        <v>3.7294107018988636</v>
      </c>
      <c r="W13" s="7">
        <v>4.0798012235183982</v>
      </c>
    </row>
    <row r="14" spans="1:23">
      <c r="A14" t="s">
        <v>303</v>
      </c>
      <c r="B14" s="7">
        <f>'2001_Inc_01.12.20'!O29</f>
        <v>0.38151759917410488</v>
      </c>
      <c r="C14" s="7">
        <f>'2001_Inc_02.12.20'!O29</f>
        <v>0.57435236884203944</v>
      </c>
      <c r="D14" s="7">
        <f>'2001_Inc_04.12.20'!O29</f>
        <v>0.86763729349113106</v>
      </c>
      <c r="E14" s="7">
        <f>'2001_Inc_07.12.20'!O29</f>
        <v>1.1043889106594649</v>
      </c>
      <c r="F14" s="7" t="e">
        <f>'2001_Inc_08.12.20'!$O29</f>
        <v>#DIV/0!</v>
      </c>
      <c r="G14" s="7" t="e">
        <f>'2001_Inc_11.12.20'!$O29</f>
        <v>#DIV/0!</v>
      </c>
      <c r="H14" s="7" t="e">
        <f>'2001_Inc_14.12.20'!$O29</f>
        <v>#DIV/0!</v>
      </c>
      <c r="I14" s="7" t="e">
        <f>#REF!</f>
        <v>#REF!</v>
      </c>
      <c r="J14" s="142" t="e">
        <f>#REF!</f>
        <v>#REF!</v>
      </c>
      <c r="K14" s="7" t="e">
        <f>#REF!</f>
        <v>#REF!</v>
      </c>
      <c r="L14" s="7" t="e">
        <f>#REF!</f>
        <v>#REF!</v>
      </c>
      <c r="M14" s="7" t="e">
        <f>#REF!</f>
        <v>#REF!</v>
      </c>
      <c r="N14" t="s">
        <v>142</v>
      </c>
      <c r="O14" s="7">
        <v>0.43761948011398893</v>
      </c>
      <c r="P14" s="7">
        <v>0.63670977964053743</v>
      </c>
      <c r="Q14" s="7">
        <v>1.0804259019434437</v>
      </c>
      <c r="R14" s="7">
        <v>1.2669895314872268</v>
      </c>
      <c r="S14" s="7">
        <v>1.910197412259262</v>
      </c>
      <c r="T14" s="7">
        <v>1.9700644178015754</v>
      </c>
      <c r="U14" s="7">
        <v>2.2437046969871184</v>
      </c>
      <c r="V14" s="7">
        <v>2.4409082058238036</v>
      </c>
      <c r="W14" s="7">
        <v>2.4463188562581415</v>
      </c>
    </row>
    <row r="15" spans="1:23">
      <c r="A15" t="s">
        <v>304</v>
      </c>
      <c r="B15" s="7">
        <f>'2001_Inc_01.12.20'!O30</f>
        <v>1.0402265722573965</v>
      </c>
      <c r="C15" s="7">
        <f>'2001_Inc_02.12.20'!O30</f>
        <v>1.5819778071425445</v>
      </c>
      <c r="D15" s="7">
        <f>'2001_Inc_04.12.20'!O30</f>
        <v>2.6364976213859768</v>
      </c>
      <c r="E15" s="7">
        <f>'2001_Inc_07.12.20'!O30</f>
        <v>4.3208266720469757</v>
      </c>
      <c r="F15" s="7" t="e">
        <f>'2001_Inc_08.12.20'!$O30</f>
        <v>#DIV/0!</v>
      </c>
      <c r="G15" s="7" t="e">
        <f>'2001_Inc_11.12.20'!$O30</f>
        <v>#DIV/0!</v>
      </c>
      <c r="H15" s="7" t="e">
        <f>'2001_Inc_14.12.20'!$O30</f>
        <v>#DIV/0!</v>
      </c>
      <c r="I15" s="7" t="e">
        <f>#REF!</f>
        <v>#REF!</v>
      </c>
      <c r="J15" s="142" t="e">
        <f>#REF!</f>
        <v>#REF!</v>
      </c>
      <c r="K15" s="7" t="e">
        <f>#REF!</f>
        <v>#REF!</v>
      </c>
      <c r="L15" s="7" t="e">
        <f>#REF!</f>
        <v>#REF!</v>
      </c>
      <c r="M15" s="7" t="e">
        <f>#REF!</f>
        <v>#REF!</v>
      </c>
      <c r="N15" t="s">
        <v>143</v>
      </c>
      <c r="O15" s="7">
        <v>0.49933211190860755</v>
      </c>
      <c r="P15" s="7">
        <v>0.7299829665337717</v>
      </c>
      <c r="Q15" s="7">
        <v>1.2385386452146039</v>
      </c>
      <c r="R15" s="7">
        <v>1.4906162815968051</v>
      </c>
      <c r="S15" s="7">
        <v>2.3275373826921171</v>
      </c>
      <c r="T15" s="7">
        <v>3.0510043568364917</v>
      </c>
      <c r="U15" s="7">
        <v>3.4835825692910638</v>
      </c>
      <c r="V15" s="140">
        <v>3.9210808730087892</v>
      </c>
      <c r="W15" s="7">
        <v>4.4297144532274375</v>
      </c>
    </row>
    <row r="16" spans="1:23">
      <c r="A16" t="s">
        <v>305</v>
      </c>
      <c r="B16" s="7">
        <f>'2001_Inc_01.12.20'!O31</f>
        <v>0.83493037174768669</v>
      </c>
      <c r="C16" s="7">
        <f>'2001_Inc_02.12.20'!O31</f>
        <v>1.3443116311113019</v>
      </c>
      <c r="D16" s="7">
        <f>'2001_Inc_04.12.20'!O31</f>
        <v>1.938879806790583</v>
      </c>
      <c r="E16" s="7">
        <f>'2001_Inc_07.12.20'!O31</f>
        <v>2.0927465205631139</v>
      </c>
      <c r="F16" s="7">
        <f>'2001_Inc_08.12.20'!$O31</f>
        <v>2.5360657356667895</v>
      </c>
      <c r="G16" s="7">
        <f>'2001_Inc_11.12.20'!$O31</f>
        <v>2.5731003392436831</v>
      </c>
      <c r="H16" s="7">
        <f>'2001_Inc_14.12.20'!$O31</f>
        <v>2.0219159749017712</v>
      </c>
      <c r="I16" s="7" t="e">
        <f>#REF!</f>
        <v>#REF!</v>
      </c>
      <c r="J16" s="142" t="e">
        <f>#REF!</f>
        <v>#REF!</v>
      </c>
      <c r="K16" s="7" t="e">
        <f>#REF!</f>
        <v>#REF!</v>
      </c>
      <c r="L16" s="7" t="e">
        <f>#REF!</f>
        <v>#REF!</v>
      </c>
      <c r="M16" s="7" t="e">
        <f>#REF!</f>
        <v>#REF!</v>
      </c>
      <c r="N16" t="s">
        <v>144</v>
      </c>
      <c r="O16" s="7">
        <v>0.56864108030307325</v>
      </c>
      <c r="P16" s="7">
        <v>0.97271457091114022</v>
      </c>
      <c r="Q16" s="7">
        <v>2.0054609444250424</v>
      </c>
      <c r="R16" s="7">
        <v>2.8411280222875499</v>
      </c>
      <c r="S16" s="7">
        <v>4.4598614462693753</v>
      </c>
      <c r="T16" s="135">
        <v>5.6363279981200067</v>
      </c>
      <c r="U16" s="7" t="e">
        <v>#DIV/0!</v>
      </c>
      <c r="V16" s="7" t="e">
        <v>#VALUE!</v>
      </c>
      <c r="W16" s="7" t="e">
        <v>#VALUE!</v>
      </c>
    </row>
    <row r="17" spans="1:23">
      <c r="A17" t="s">
        <v>306</v>
      </c>
      <c r="B17" s="7">
        <f>'2001_Inc_01.12.20'!O32</f>
        <v>0.56017786059088925</v>
      </c>
      <c r="C17" s="7">
        <f>'2001_Inc_02.12.20'!O32</f>
        <v>0.84003292991921197</v>
      </c>
      <c r="D17" s="7">
        <f>'2001_Inc_04.12.20'!O32</f>
        <v>1.321473830956772</v>
      </c>
      <c r="E17" s="7" t="e">
        <f>'2001_Inc_07.12.20'!O32</f>
        <v>#DIV/0!</v>
      </c>
      <c r="F17" s="7" t="e">
        <f>'2001_Inc_08.12.20'!$O32</f>
        <v>#DIV/0!</v>
      </c>
      <c r="G17" s="7" t="e">
        <f>'2001_Inc_11.12.20'!$O32</f>
        <v>#DIV/0!</v>
      </c>
      <c r="H17" s="7" t="e">
        <f>'2001_Inc_14.12.20'!$O32</f>
        <v>#DIV/0!</v>
      </c>
      <c r="I17" s="7" t="e">
        <f>#REF!</f>
        <v>#REF!</v>
      </c>
      <c r="J17" s="142" t="e">
        <f>#REF!</f>
        <v>#REF!</v>
      </c>
      <c r="K17" s="7" t="e">
        <f>#REF!</f>
        <v>#REF!</v>
      </c>
      <c r="L17" s="7" t="e">
        <f>#REF!</f>
        <v>#REF!</v>
      </c>
      <c r="M17" s="7" t="e">
        <f>#REF!</f>
        <v>#REF!</v>
      </c>
      <c r="N17" t="s">
        <v>145</v>
      </c>
      <c r="O17" s="7">
        <v>0.35949388113732905</v>
      </c>
      <c r="P17" s="7">
        <v>0.55865681425476732</v>
      </c>
      <c r="Q17" s="7">
        <v>1.125050815789137</v>
      </c>
      <c r="R17" s="7">
        <v>1.2667689182702997</v>
      </c>
      <c r="S17" s="7">
        <v>1.8806242166028724</v>
      </c>
      <c r="T17" s="7">
        <v>2.0852498358905542</v>
      </c>
      <c r="U17" s="7">
        <v>2.3394785007204058</v>
      </c>
      <c r="V17" s="7">
        <v>2.3455498303387992</v>
      </c>
      <c r="W17" s="135">
        <v>2.5092360759679884</v>
      </c>
    </row>
    <row r="18" spans="1:23">
      <c r="A18" t="s">
        <v>307</v>
      </c>
      <c r="B18" s="7">
        <f>'2001_Inc_01.12.20'!O33</f>
        <v>0.50563624159405696</v>
      </c>
      <c r="C18" s="7">
        <f>'2001_Inc_02.12.20'!O33</f>
        <v>0.75127867102233736</v>
      </c>
      <c r="D18" s="7">
        <f>'2001_Inc_04.12.20'!O33</f>
        <v>1.1665268173294183</v>
      </c>
      <c r="E18" s="7" t="e">
        <f>'2001_Inc_07.12.20'!O33</f>
        <v>#DIV/0!</v>
      </c>
      <c r="F18" s="7" t="e">
        <f>'2001_Inc_08.12.20'!$O33</f>
        <v>#DIV/0!</v>
      </c>
      <c r="G18" s="7" t="e">
        <f>'2001_Inc_11.12.20'!$O33</f>
        <v>#DIV/0!</v>
      </c>
      <c r="H18" s="7" t="e">
        <f>'2001_Inc_14.12.20'!$O33</f>
        <v>#DIV/0!</v>
      </c>
      <c r="I18" s="7" t="e">
        <f>#REF!</f>
        <v>#REF!</v>
      </c>
      <c r="J18" s="142" t="e">
        <f>#REF!</f>
        <v>#REF!</v>
      </c>
      <c r="K18" s="7" t="e">
        <f>#REF!</f>
        <v>#REF!</v>
      </c>
      <c r="L18" s="7" t="e">
        <f>#REF!</f>
        <v>#REF!</v>
      </c>
      <c r="M18" s="7" t="e">
        <f>#REF!</f>
        <v>#REF!</v>
      </c>
      <c r="N18" t="s">
        <v>146</v>
      </c>
      <c r="O18" s="7">
        <v>0.35238278195713579</v>
      </c>
      <c r="P18" s="7">
        <v>0.59132161144047224</v>
      </c>
      <c r="Q18" s="7">
        <v>1.1293902443248363</v>
      </c>
      <c r="R18" s="7">
        <v>1.3783710693500337</v>
      </c>
      <c r="S18" s="7">
        <v>2.0923879921808726</v>
      </c>
      <c r="T18" s="7">
        <v>2.3935674242690888</v>
      </c>
      <c r="U18" s="7">
        <v>2.640277154954247</v>
      </c>
      <c r="V18" s="141">
        <v>2.8265838210602729</v>
      </c>
      <c r="W18" s="7">
        <v>2.8952120046553667</v>
      </c>
    </row>
    <row r="19" spans="1:23">
      <c r="A19" t="s">
        <v>308</v>
      </c>
      <c r="B19" s="7">
        <f>'2001_Inc_01.12.20'!O34</f>
        <v>0.89280761943604081</v>
      </c>
      <c r="C19" s="7">
        <f>'2001_Inc_02.12.20'!O34</f>
        <v>1.3784213690404448</v>
      </c>
      <c r="D19" s="7">
        <f>'2001_Inc_04.12.20'!O34</f>
        <v>1.9355875154125146</v>
      </c>
      <c r="E19" s="7">
        <f>'2001_Inc_07.12.20'!O34</f>
        <v>2.1703739028159603</v>
      </c>
      <c r="F19" s="7">
        <f>'2001_Inc_08.12.20'!$O34</f>
        <v>2.4778514062171717</v>
      </c>
      <c r="G19" s="7">
        <f>'2001_Inc_11.12.20'!$O34</f>
        <v>2.188724119822298</v>
      </c>
      <c r="H19" s="7">
        <f>'2001_Inc_14.12.20'!$O34</f>
        <v>1.7636758769235568</v>
      </c>
      <c r="I19" s="7" t="e">
        <f>#REF!</f>
        <v>#REF!</v>
      </c>
      <c r="J19" s="142" t="e">
        <f>#REF!</f>
        <v>#REF!</v>
      </c>
      <c r="K19" s="7" t="e">
        <f>#REF!</f>
        <v>#REF!</v>
      </c>
      <c r="L19" s="7" t="e">
        <f>#REF!</f>
        <v>#REF!</v>
      </c>
      <c r="M19" s="7" t="e">
        <f>#REF!</f>
        <v>#REF!</v>
      </c>
      <c r="N19" t="s">
        <v>147</v>
      </c>
      <c r="O19" s="7">
        <v>0.29259309060283489</v>
      </c>
      <c r="P19" s="7">
        <v>0.4784682186248882</v>
      </c>
      <c r="Q19" s="7">
        <v>0.95472366920850371</v>
      </c>
      <c r="R19" s="7">
        <v>1.2214855596223364</v>
      </c>
      <c r="S19" s="7">
        <v>2.04079738836844</v>
      </c>
      <c r="T19" s="7">
        <v>2.2987879900640018</v>
      </c>
      <c r="U19" s="7">
        <v>2.605196281704528</v>
      </c>
      <c r="V19" s="141">
        <v>2.735626846683255</v>
      </c>
      <c r="W19" s="7">
        <v>2.9667256840035496</v>
      </c>
    </row>
    <row r="20" spans="1:23">
      <c r="A20" t="s">
        <v>309</v>
      </c>
      <c r="B20" s="7">
        <f>'2001_Inc_01.12.20'!O35</f>
        <v>0.97300185682411389</v>
      </c>
      <c r="C20" s="7">
        <f>'2001_Inc_02.12.20'!O35</f>
        <v>1.7278134639156624</v>
      </c>
      <c r="D20" s="7">
        <f>'2001_Inc_04.12.20'!O35</f>
        <v>2.8379835996303746</v>
      </c>
      <c r="E20" s="7">
        <f>'2001_Inc_07.12.20'!O35</f>
        <v>3.6696325640012204</v>
      </c>
      <c r="F20" s="7" t="e">
        <f>'2001_Inc_08.12.20'!$O35</f>
        <v>#DIV/0!</v>
      </c>
      <c r="G20" s="7" t="e">
        <f>'2001_Inc_11.12.20'!$O35</f>
        <v>#DIV/0!</v>
      </c>
      <c r="H20" s="7" t="e">
        <f>'2001_Inc_14.12.20'!$O35</f>
        <v>#DIV/0!</v>
      </c>
      <c r="I20" s="7" t="e">
        <f>#REF!</f>
        <v>#REF!</v>
      </c>
      <c r="J20" s="142" t="e">
        <f>#REF!</f>
        <v>#REF!</v>
      </c>
      <c r="K20" s="7" t="e">
        <f>#REF!</f>
        <v>#REF!</v>
      </c>
      <c r="L20" s="7" t="e">
        <f>#REF!</f>
        <v>#REF!</v>
      </c>
      <c r="M20" s="7" t="e">
        <f>#REF!</f>
        <v>#REF!</v>
      </c>
      <c r="N20" t="s">
        <v>148</v>
      </c>
      <c r="O20" s="7">
        <v>0.39847539771179413</v>
      </c>
      <c r="P20" s="7">
        <v>0.57448076476744214</v>
      </c>
      <c r="Q20" s="7">
        <v>0.9680618319359332</v>
      </c>
      <c r="R20" s="7">
        <v>1.2004212450328817</v>
      </c>
      <c r="S20" s="7">
        <v>1.9175934622622317</v>
      </c>
      <c r="T20" s="7">
        <v>2.2717437051468266</v>
      </c>
      <c r="U20" s="7">
        <v>2.7230290460851707</v>
      </c>
      <c r="V20" s="7">
        <v>3.3163535881919857</v>
      </c>
      <c r="W20" s="135">
        <v>3.4062831252149928</v>
      </c>
    </row>
    <row r="21" spans="1:23">
      <c r="A21" t="s">
        <v>310</v>
      </c>
      <c r="B21" s="7">
        <f>'2001_Inc_01.12.20'!O36</f>
        <v>0.45258967686709917</v>
      </c>
      <c r="C21" s="7">
        <f>'2001_Inc_02.12.20'!O36</f>
        <v>0.6617086962080948</v>
      </c>
      <c r="D21" s="7">
        <f>'2001_Inc_04.12.20'!O36</f>
        <v>1.059597539432086</v>
      </c>
      <c r="E21" s="7">
        <f>'2001_Inc_07.12.20'!O36</f>
        <v>1.1467807814693518</v>
      </c>
      <c r="F21" s="7">
        <f>'2001_Inc_08.12.20'!$O36</f>
        <v>1.4085988123092479</v>
      </c>
      <c r="G21" s="7" t="e">
        <f>'2001_Inc_11.12.20'!$O36</f>
        <v>#DIV/0!</v>
      </c>
      <c r="H21" s="142" t="e">
        <f>'2001_Inc_14.12.20'!$O36</f>
        <v>#DIV/0!</v>
      </c>
      <c r="I21" s="214" t="e">
        <f>#REF!</f>
        <v>#REF!</v>
      </c>
      <c r="J21" s="142" t="e">
        <f>#REF!</f>
        <v>#REF!</v>
      </c>
      <c r="K21" s="7" t="e">
        <f>#REF!</f>
        <v>#REF!</v>
      </c>
      <c r="L21" s="7" t="e">
        <f>#REF!</f>
        <v>#REF!</v>
      </c>
      <c r="M21" s="7" t="e">
        <f>#REF!</f>
        <v>#REF!</v>
      </c>
      <c r="N21" t="s">
        <v>149</v>
      </c>
      <c r="O21" s="7">
        <v>0.47380059889197401</v>
      </c>
      <c r="P21" s="7">
        <v>0.63988709751668371</v>
      </c>
      <c r="Q21" s="7">
        <v>1.0266529835771403</v>
      </c>
      <c r="R21" s="7">
        <v>1.1682060888978159</v>
      </c>
      <c r="S21" s="7">
        <v>1.7329845579008658</v>
      </c>
      <c r="T21" s="7">
        <v>1.9316085854525875</v>
      </c>
      <c r="U21" s="7">
        <v>2.0754990049892541</v>
      </c>
      <c r="V21" s="7">
        <v>2.4314912126996355</v>
      </c>
      <c r="W21" s="135">
        <v>2.5287354322070028</v>
      </c>
    </row>
    <row r="22" spans="1:23">
      <c r="A22" t="s">
        <v>311</v>
      </c>
      <c r="B22" s="7">
        <f>'2001_Inc_01.12.20'!O37</f>
        <v>0.48253182483349194</v>
      </c>
      <c r="C22" s="7">
        <f>'2001_Inc_02.12.20'!O37</f>
        <v>0.80548847571504623</v>
      </c>
      <c r="D22" s="7">
        <f>'2001_Inc_04.12.20'!O37</f>
        <v>1.3715574563021893</v>
      </c>
      <c r="E22" s="7" t="e">
        <f>'2001_Inc_07.12.20'!O37</f>
        <v>#DIV/0!</v>
      </c>
      <c r="F22" s="7" t="e">
        <f>'2001_Inc_08.12.20'!$O37</f>
        <v>#DIV/0!</v>
      </c>
      <c r="G22" s="7" t="e">
        <f>'2001_Inc_11.12.20'!$O37</f>
        <v>#DIV/0!</v>
      </c>
      <c r="H22" s="142" t="e">
        <f>'2001_Inc_14.12.20'!$O37</f>
        <v>#DIV/0!</v>
      </c>
      <c r="I22" s="142" t="e">
        <f>#REF!</f>
        <v>#REF!</v>
      </c>
      <c r="J22" s="142" t="e">
        <f>#REF!</f>
        <v>#REF!</v>
      </c>
      <c r="K22" s="7" t="e">
        <f>#REF!</f>
        <v>#REF!</v>
      </c>
      <c r="L22" s="7" t="e">
        <f>#REF!</f>
        <v>#REF!</v>
      </c>
      <c r="M22" s="7" t="e">
        <f>#REF!</f>
        <v>#REF!</v>
      </c>
      <c r="N22" t="s">
        <v>150</v>
      </c>
      <c r="O22" s="7">
        <v>0.33245259944707811</v>
      </c>
      <c r="P22" s="7">
        <v>0.49562074394676547</v>
      </c>
      <c r="Q22" s="7">
        <v>0.89655466312499166</v>
      </c>
      <c r="R22" s="7">
        <v>1.1168788152062594</v>
      </c>
      <c r="S22" s="7">
        <v>1.8403554210540085</v>
      </c>
      <c r="T22" s="7">
        <v>2.2639150560839214</v>
      </c>
      <c r="U22" s="7">
        <v>2.662482886976131</v>
      </c>
      <c r="V22" s="7">
        <v>3.4426014392475208</v>
      </c>
      <c r="W22" s="135">
        <v>3.8312962886721937</v>
      </c>
    </row>
    <row r="23" spans="1:23">
      <c r="A23" t="s">
        <v>312</v>
      </c>
      <c r="B23" s="7">
        <f>'2001_Inc_01.12.20'!O38</f>
        <v>0.17123777064344992</v>
      </c>
      <c r="C23" s="7">
        <f>'2001_Inc_02.12.20'!O38</f>
        <v>0.26021689994978076</v>
      </c>
      <c r="D23" s="7">
        <f>'2001_Inc_04.12.20'!O38</f>
        <v>0.38688484249545407</v>
      </c>
      <c r="E23" s="7">
        <f>'2001_Inc_07.12.20'!O38</f>
        <v>0.37924526917077561</v>
      </c>
      <c r="F23" s="7">
        <f>'2001_Inc_08.12.20'!$O38</f>
        <v>0.42755517377004232</v>
      </c>
      <c r="G23" s="7">
        <f>'2001_Inc_11.12.20'!$O38</f>
        <v>0.50260522097646099</v>
      </c>
      <c r="H23" s="142">
        <f>'2001_Inc_14.12.20'!$O38</f>
        <v>0.37621943593101348</v>
      </c>
      <c r="I23" s="142" t="e">
        <f>#REF!</f>
        <v>#REF!</v>
      </c>
      <c r="J23" s="142" t="e">
        <f>#REF!</f>
        <v>#REF!</v>
      </c>
      <c r="K23" s="7" t="e">
        <f>#REF!</f>
        <v>#REF!</v>
      </c>
      <c r="L23" s="7" t="e">
        <f>#REF!</f>
        <v>#REF!</v>
      </c>
      <c r="M23" s="7" t="e">
        <f>#REF!</f>
        <v>#REF!</v>
      </c>
      <c r="N23" t="s">
        <v>151</v>
      </c>
      <c r="O23" s="7">
        <v>0.49320704025661943</v>
      </c>
      <c r="P23" s="7">
        <v>0.65491063376368475</v>
      </c>
      <c r="Q23" s="7">
        <v>1.0361099595507142</v>
      </c>
      <c r="R23" s="7">
        <v>1.187940221201609</v>
      </c>
      <c r="S23" s="7">
        <v>1.4603190764724912</v>
      </c>
      <c r="T23" s="7">
        <v>1.6288152294419052</v>
      </c>
      <c r="U23" s="7">
        <v>1.6992476958943312</v>
      </c>
      <c r="V23" s="141">
        <v>1.7081898082423401</v>
      </c>
      <c r="W23" s="7">
        <v>1.5984156785231762</v>
      </c>
    </row>
    <row r="24" spans="1:23">
      <c r="A24" t="s">
        <v>313</v>
      </c>
      <c r="B24" s="7">
        <f>'2001_Inc_01.12.20'!O39</f>
        <v>0.1606166619414186</v>
      </c>
      <c r="C24" s="7">
        <f>'2001_Inc_02.12.20'!O39</f>
        <v>0.25571090032878047</v>
      </c>
      <c r="D24" s="7">
        <f>'2001_Inc_04.12.20'!O39</f>
        <v>0.44154734913353411</v>
      </c>
      <c r="E24" s="7">
        <f>'2001_Inc_07.12.20'!O39</f>
        <v>0.58256860320247161</v>
      </c>
      <c r="F24" s="7">
        <f>'2001_Inc_08.12.20'!$O39</f>
        <v>0.71572139474698027</v>
      </c>
      <c r="G24" s="7">
        <f>'2001_Inc_11.12.20'!$O39</f>
        <v>0.72016925776283436</v>
      </c>
      <c r="H24" s="7">
        <f>'2001_Inc_14.12.20'!$O39</f>
        <v>0.72248269202251791</v>
      </c>
      <c r="I24" s="7" t="e">
        <f>#REF!</f>
        <v>#REF!</v>
      </c>
      <c r="J24" s="142" t="e">
        <f>#REF!</f>
        <v>#REF!</v>
      </c>
      <c r="K24" s="7" t="e">
        <f>#REF!</f>
        <v>#REF!</v>
      </c>
      <c r="L24" s="7" t="e">
        <f>#REF!</f>
        <v>#REF!</v>
      </c>
      <c r="M24" s="7" t="e">
        <f>#REF!</f>
        <v>#REF!</v>
      </c>
      <c r="N24" t="s">
        <v>152</v>
      </c>
      <c r="O24" s="7">
        <v>0.27657142860764899</v>
      </c>
      <c r="P24" s="7">
        <v>0.32689462512804496</v>
      </c>
      <c r="Q24" s="7">
        <v>0.46443571535504391</v>
      </c>
      <c r="R24" s="7">
        <v>0.53215110827126499</v>
      </c>
      <c r="S24" s="7">
        <v>0.64127925195237867</v>
      </c>
      <c r="T24" s="7">
        <v>0.73690344991942858</v>
      </c>
      <c r="U24" s="7">
        <v>0.78747272096360876</v>
      </c>
      <c r="V24" s="141">
        <v>0.82101312707264396</v>
      </c>
      <c r="W24" s="7">
        <v>0.87964732838044657</v>
      </c>
    </row>
    <row r="25" spans="1:23">
      <c r="E25" s="7"/>
      <c r="J25" s="4"/>
    </row>
    <row r="26" spans="1:23">
      <c r="A26" s="67" t="s">
        <v>87</v>
      </c>
      <c r="B26" s="130">
        <v>43874</v>
      </c>
      <c r="C26" s="130">
        <v>43875</v>
      </c>
      <c r="D26" s="130">
        <v>43878</v>
      </c>
      <c r="E26" s="130">
        <v>43880</v>
      </c>
      <c r="F26" s="130">
        <v>43888</v>
      </c>
      <c r="G26" s="130">
        <v>43892</v>
      </c>
      <c r="H26" s="130">
        <v>43899</v>
      </c>
      <c r="I26" s="130">
        <v>43906</v>
      </c>
      <c r="J26" s="130">
        <v>43913</v>
      </c>
      <c r="K26" s="130">
        <v>43920</v>
      </c>
    </row>
    <row r="27" spans="1:23">
      <c r="A27" t="s">
        <v>251</v>
      </c>
      <c r="B27" s="7">
        <f>'2001_Inc_01.12.20'!T18</f>
        <v>5907.9478202672071</v>
      </c>
      <c r="C27" s="7">
        <f>'2001_Inc_02.12.20'!T18</f>
        <v>9768.211641399841</v>
      </c>
      <c r="D27" s="7">
        <f>'2001_Inc_04.12.20'!T18</f>
        <v>16354.80608492397</v>
      </c>
      <c r="E27" s="7">
        <f>'2001_Inc_07.12.20'!$T18</f>
        <v>20358.045200425026</v>
      </c>
      <c r="F27" s="7">
        <f>'2001_Inc_08.12.20'!$T18</f>
        <v>26638.053541776124</v>
      </c>
      <c r="G27" s="7">
        <f>'2001_Inc_11.12.20'!$T18</f>
        <v>28507.984086157761</v>
      </c>
      <c r="H27" s="7">
        <f>'2001_Inc_14.12.20'!$T18</f>
        <v>26849.235741009892</v>
      </c>
      <c r="I27" s="7" t="e">
        <f>#REF!</f>
        <v>#REF!</v>
      </c>
      <c r="J27" s="7" t="e">
        <f>#REF!</f>
        <v>#REF!</v>
      </c>
    </row>
    <row r="28" spans="1:23">
      <c r="A28" t="s">
        <v>252</v>
      </c>
      <c r="B28" s="7">
        <f>'2001_Inc_01.12.20'!T19</f>
        <v>4837.8495075661885</v>
      </c>
      <c r="C28" s="7">
        <f>'2001_Inc_02.12.20'!T19</f>
        <v>7551.7896385329486</v>
      </c>
      <c r="D28" s="7">
        <f>'2001_Inc_04.12.20'!T19</f>
        <v>9133.3084525907689</v>
      </c>
      <c r="E28" s="7">
        <f>'2001_Inc_07.12.20'!$T19</f>
        <v>10680.386301355536</v>
      </c>
      <c r="F28" s="7">
        <f>'2001_Inc_08.12.20'!$T19</f>
        <v>10272.237005047158</v>
      </c>
      <c r="G28" s="7">
        <f>'2001_Inc_11.12.20'!$T19</f>
        <v>10187.653532186558</v>
      </c>
      <c r="H28" s="7">
        <f>'2001_Inc_14.12.20'!$T19</f>
        <v>8059.5079866582673</v>
      </c>
      <c r="I28" s="7" t="e">
        <f>#REF!</f>
        <v>#REF!</v>
      </c>
      <c r="J28" s="7" t="e">
        <f>#REF!</f>
        <v>#REF!</v>
      </c>
    </row>
    <row r="29" spans="1:23">
      <c r="A29" t="s">
        <v>253</v>
      </c>
      <c r="B29" s="7">
        <f>'2001_Inc_01.12.20'!T20</f>
        <v>3358.5870036076526</v>
      </c>
      <c r="C29" s="7">
        <f>'2001_Inc_02.12.20'!T20</f>
        <v>5639.8350330899848</v>
      </c>
      <c r="D29" s="7">
        <f>'2001_Inc_04.12.20'!T20</f>
        <v>9533.1152524800982</v>
      </c>
      <c r="E29" s="7">
        <f>'2001_Inc_07.12.20'!$T20</f>
        <v>13138.420313215984</v>
      </c>
      <c r="F29" s="7">
        <f>'2001_Inc_08.12.20'!$T20</f>
        <v>14570.716664434802</v>
      </c>
      <c r="G29" s="7" t="e">
        <f>'2001_Inc_11.12.20'!$T20</f>
        <v>#DIV/0!</v>
      </c>
      <c r="H29" s="7" t="e">
        <f>'2001_Inc_14.12.20'!$T20</f>
        <v>#DIV/0!</v>
      </c>
      <c r="I29" s="7" t="e">
        <f>#REF!</f>
        <v>#REF!</v>
      </c>
      <c r="J29" s="7" t="e">
        <f>#REF!</f>
        <v>#REF!</v>
      </c>
    </row>
    <row r="30" spans="1:23">
      <c r="A30" t="s">
        <v>254</v>
      </c>
      <c r="B30" s="7">
        <f>'2001_Inc_01.12.20'!T21</f>
        <v>3514.3575972535573</v>
      </c>
      <c r="C30" s="7">
        <f>'2001_Inc_02.12.20'!T21</f>
        <v>5547.6392856386392</v>
      </c>
      <c r="D30" s="7">
        <f>'2001_Inc_04.12.20'!T21</f>
        <v>10010.385888914776</v>
      </c>
      <c r="E30" s="7">
        <f>'2001_Inc_07.12.20'!$T21</f>
        <v>13029.84219617704</v>
      </c>
      <c r="F30" s="7">
        <f>'2001_Inc_08.12.20'!$T21</f>
        <v>16818.81988089743</v>
      </c>
      <c r="G30" s="7" t="e">
        <f>'2001_Inc_11.12.20'!$T21</f>
        <v>#DIV/0!</v>
      </c>
      <c r="H30" s="7" t="e">
        <f>'2001_Inc_14.12.20'!$T21</f>
        <v>#DIV/0!</v>
      </c>
      <c r="I30" s="7" t="e">
        <f>#REF!</f>
        <v>#REF!</v>
      </c>
      <c r="J30" s="7" t="e">
        <f>#REF!</f>
        <v>#REF!</v>
      </c>
    </row>
    <row r="31" spans="1:23">
      <c r="A31" t="s">
        <v>255</v>
      </c>
      <c r="B31" s="7">
        <f>'2001_Inc_01.12.20'!T22</f>
        <v>1347.370459328705</v>
      </c>
      <c r="C31" s="7">
        <f>'2001_Inc_02.12.20'!T22</f>
        <v>2148.1727243185674</v>
      </c>
      <c r="D31" s="7">
        <f>'2001_Inc_04.12.20'!T22</f>
        <v>3387.8877790160682</v>
      </c>
      <c r="E31" s="7">
        <f>'2001_Inc_07.12.20'!$T22</f>
        <v>5186.4431509355882</v>
      </c>
      <c r="F31" s="7">
        <f>'2001_Inc_08.12.20'!$T22</f>
        <v>6907.718874166264</v>
      </c>
      <c r="G31" s="7" t="e">
        <f>'2001_Inc_11.12.20'!$T22</f>
        <v>#DIV/0!</v>
      </c>
      <c r="H31" s="7" t="e">
        <f>'2001_Inc_14.12.20'!$T22</f>
        <v>#DIV/0!</v>
      </c>
      <c r="I31" s="7" t="e">
        <f>#REF!</f>
        <v>#REF!</v>
      </c>
      <c r="J31" s="7" t="e">
        <f>#REF!</f>
        <v>#REF!</v>
      </c>
    </row>
    <row r="32" spans="1:23">
      <c r="A32" t="s">
        <v>256</v>
      </c>
      <c r="B32" s="7">
        <f>'2001_Inc_01.12.20'!T23</f>
        <v>1034.1041253971691</v>
      </c>
      <c r="C32" s="7">
        <f>'2001_Inc_02.12.20'!T23</f>
        <v>1680.4504116478233</v>
      </c>
      <c r="D32" s="7">
        <f>'2001_Inc_04.12.20'!T23</f>
        <v>2752.542183864357</v>
      </c>
      <c r="E32" s="7">
        <f>'2001_Inc_07.12.20'!$T23</f>
        <v>2934.2082839454733</v>
      </c>
      <c r="F32" s="7">
        <f>'2001_Inc_08.12.20'!$T23</f>
        <v>3776.6581828480453</v>
      </c>
      <c r="G32" s="7">
        <f>'2001_Inc_11.12.20'!$T23</f>
        <v>3362.3445762203332</v>
      </c>
      <c r="H32" s="7">
        <f>'2001_Inc_14.12.20'!$T23</f>
        <v>3348.7074838683607</v>
      </c>
      <c r="I32" s="7" t="e">
        <f>#REF!</f>
        <v>#REF!</v>
      </c>
      <c r="J32" s="7" t="e">
        <f>#REF!</f>
        <v>#REF!</v>
      </c>
    </row>
    <row r="33" spans="1:10">
      <c r="A33" t="s">
        <v>257</v>
      </c>
      <c r="B33" s="7">
        <f>'2001_Inc_01.12.20'!T24</f>
        <v>6750.3267765243118</v>
      </c>
      <c r="C33" s="7">
        <f>'2001_Inc_02.12.20'!T24</f>
        <v>11641.315200427716</v>
      </c>
      <c r="D33" s="7">
        <f>'2001_Inc_04.12.20'!T24</f>
        <v>20124.828799316521</v>
      </c>
      <c r="E33" s="7" t="e">
        <f>'2001_Inc_07.12.20'!$T24</f>
        <v>#DIV/0!</v>
      </c>
      <c r="F33" s="7" t="e">
        <f>'2001_Inc_08.12.20'!$T24</f>
        <v>#DIV/0!</v>
      </c>
      <c r="G33" s="7" t="e">
        <f>'2001_Inc_11.12.20'!$T24</f>
        <v>#DIV/0!</v>
      </c>
      <c r="H33" s="7" t="e">
        <f>'2001_Inc_14.12.20'!$T24</f>
        <v>#DIV/0!</v>
      </c>
      <c r="I33" s="7" t="e">
        <f>#REF!</f>
        <v>#REF!</v>
      </c>
      <c r="J33" s="7" t="e">
        <f>#REF!</f>
        <v>#REF!</v>
      </c>
    </row>
    <row r="34" spans="1:10">
      <c r="A34" t="s">
        <v>258</v>
      </c>
      <c r="B34" s="7">
        <f>'2001_Inc_01.12.20'!T25</f>
        <v>5722.3423376754426</v>
      </c>
      <c r="C34" s="7">
        <f>'2001_Inc_02.12.20'!T25</f>
        <v>9336.4215141440873</v>
      </c>
      <c r="D34" s="7">
        <f>'2001_Inc_04.12.20'!T25</f>
        <v>13795.9927434249</v>
      </c>
      <c r="E34" s="7" t="e">
        <f>'2001_Inc_07.12.20'!$T25</f>
        <v>#DIV/0!</v>
      </c>
      <c r="F34" s="7" t="e">
        <f>'2001_Inc_08.12.20'!$T25</f>
        <v>#DIV/0!</v>
      </c>
      <c r="G34" s="7" t="e">
        <f>'2001_Inc_11.12.20'!$T25</f>
        <v>#DIV/0!</v>
      </c>
      <c r="H34" s="7" t="e">
        <f>'2001_Inc_14.12.20'!$T25</f>
        <v>#DIV/0!</v>
      </c>
      <c r="I34" s="7" t="e">
        <f>#REF!</f>
        <v>#REF!</v>
      </c>
      <c r="J34" s="7" t="e">
        <f>#REF!</f>
        <v>#REF!</v>
      </c>
    </row>
    <row r="35" spans="1:10">
      <c r="A35" t="s">
        <v>259</v>
      </c>
      <c r="B35" s="7">
        <f>'2001_Inc_01.12.20'!T26</f>
        <v>2078.4267177163902</v>
      </c>
      <c r="C35" s="7">
        <f>'2001_Inc_02.12.20'!T26</f>
        <v>3417.776608981525</v>
      </c>
      <c r="D35" s="7">
        <f>'2001_Inc_04.12.20'!T26</f>
        <v>5939.93032061539</v>
      </c>
      <c r="E35" s="7">
        <f>'2001_Inc_07.12.20'!$T26</f>
        <v>8647.6496874602944</v>
      </c>
      <c r="F35" s="7">
        <f>'2001_Inc_08.12.20'!$T26</f>
        <v>10071.581488392741</v>
      </c>
      <c r="G35" s="7" t="e">
        <f>'2001_Inc_11.12.20'!$T26</f>
        <v>#DIV/0!</v>
      </c>
      <c r="H35" s="7" t="e">
        <f>'2001_Inc_14.12.20'!$T26</f>
        <v>#DIV/0!</v>
      </c>
      <c r="I35" s="7" t="e">
        <f>#REF!</f>
        <v>#REF!</v>
      </c>
      <c r="J35" s="7" t="e">
        <f>#REF!</f>
        <v>#REF!</v>
      </c>
    </row>
    <row r="36" spans="1:10">
      <c r="A36" t="s">
        <v>260</v>
      </c>
      <c r="B36" s="7">
        <f>'2001_Inc_01.12.20'!T27</f>
        <v>1570.3202927098466</v>
      </c>
      <c r="C36" s="7">
        <f>'2001_Inc_02.12.20'!T27</f>
        <v>2426.4710231209356</v>
      </c>
      <c r="D36" s="7">
        <f>'2001_Inc_04.12.20'!T27</f>
        <v>3180.9791304192022</v>
      </c>
      <c r="E36" s="7">
        <f>'2001_Inc_07.12.20'!$T27</f>
        <v>3735.9612771461448</v>
      </c>
      <c r="F36" s="7">
        <f>'2001_Inc_08.12.20'!$T27</f>
        <v>4414.4212839643833</v>
      </c>
      <c r="G36" s="7">
        <f>'2001_Inc_11.12.20'!$T27</f>
        <v>4098.665650335116</v>
      </c>
      <c r="H36" s="7">
        <f>'2001_Inc_14.12.20'!$T27</f>
        <v>3351.4627255420014</v>
      </c>
      <c r="I36" s="7" t="e">
        <f>#REF!</f>
        <v>#REF!</v>
      </c>
      <c r="J36" s="7" t="e">
        <f>#REF!</f>
        <v>#REF!</v>
      </c>
    </row>
    <row r="37" spans="1:10">
      <c r="A37" t="s">
        <v>261</v>
      </c>
      <c r="B37" s="7">
        <f>'2001_Inc_01.12.20'!T28</f>
        <v>1722.8435515045012</v>
      </c>
      <c r="C37" s="7">
        <f>'2001_Inc_02.12.20'!T28</f>
        <v>2556.8132643321719</v>
      </c>
      <c r="D37" s="7">
        <f>'2001_Inc_04.12.20'!T28</f>
        <v>4448.421509753488</v>
      </c>
      <c r="E37" s="7">
        <f>'2001_Inc_07.12.20'!$T28</f>
        <v>6542.553390289313</v>
      </c>
      <c r="F37" s="7" t="e">
        <f>'2001_Inc_08.12.20'!$T28</f>
        <v>#DIV/0!</v>
      </c>
      <c r="G37" s="7" t="e">
        <f>'2001_Inc_11.12.20'!$T28</f>
        <v>#DIV/0!</v>
      </c>
      <c r="H37" s="7" t="e">
        <f>'2001_Inc_14.12.20'!$T28</f>
        <v>#DIV/0!</v>
      </c>
      <c r="I37" s="7" t="e">
        <f>#REF!</f>
        <v>#REF!</v>
      </c>
      <c r="J37" s="7" t="e">
        <f>#REF!</f>
        <v>#REF!</v>
      </c>
    </row>
    <row r="38" spans="1:10">
      <c r="A38" t="s">
        <v>262</v>
      </c>
      <c r="B38" s="7">
        <f>'2001_Inc_01.12.20'!T29</f>
        <v>2076.194175006156</v>
      </c>
      <c r="C38" s="7">
        <f>'2001_Inc_02.12.20'!T29</f>
        <v>3125.5885578338662</v>
      </c>
      <c r="D38" s="7">
        <f>'2001_Inc_04.12.20'!T29</f>
        <v>4721.6262071892907</v>
      </c>
      <c r="E38" s="7">
        <f>'2001_Inc_07.12.20'!$T29</f>
        <v>6010.0132424197873</v>
      </c>
      <c r="F38" s="7" t="e">
        <f>'2001_Inc_08.12.20'!$T29</f>
        <v>#DIV/0!</v>
      </c>
      <c r="G38" s="7" t="e">
        <f>'2001_Inc_11.12.20'!$T29</f>
        <v>#DIV/0!</v>
      </c>
      <c r="H38" s="7" t="e">
        <f>'2001_Inc_14.12.20'!$T29</f>
        <v>#DIV/0!</v>
      </c>
      <c r="I38" s="7" t="e">
        <f>#REF!</f>
        <v>#REF!</v>
      </c>
      <c r="J38" s="7" t="e">
        <f>#REF!</f>
        <v>#REF!</v>
      </c>
    </row>
    <row r="39" spans="1:10">
      <c r="A39" t="s">
        <v>263</v>
      </c>
      <c r="B39" s="7">
        <f>'2001_Inc_01.12.20'!T30</f>
        <v>5660.8459339298934</v>
      </c>
      <c r="C39" s="7">
        <f>'2001_Inc_02.12.20'!T30</f>
        <v>8609.0212228440087</v>
      </c>
      <c r="D39" s="7">
        <f>'2001_Inc_04.12.20'!T30</f>
        <v>14347.650058054476</v>
      </c>
      <c r="E39" s="7">
        <f>'2001_Inc_07.12.20'!$T30</f>
        <v>23513.66014866675</v>
      </c>
      <c r="F39" s="7" t="e">
        <f>'2001_Inc_08.12.20'!$T30</f>
        <v>#DIV/0!</v>
      </c>
      <c r="G39" s="7" t="e">
        <f>'2001_Inc_11.12.20'!$T30</f>
        <v>#DIV/0!</v>
      </c>
      <c r="H39" s="7" t="e">
        <f>'2001_Inc_14.12.20'!$T30</f>
        <v>#DIV/0!</v>
      </c>
      <c r="I39" s="7" t="e">
        <f>#REF!</f>
        <v>#REF!</v>
      </c>
      <c r="J39" s="7" t="e">
        <f>#REF!</f>
        <v>#REF!</v>
      </c>
    </row>
    <row r="40" spans="1:10">
      <c r="A40" t="s">
        <v>264</v>
      </c>
      <c r="B40" s="7">
        <f>'2001_Inc_01.12.20'!T31</f>
        <v>4432.7444848727346</v>
      </c>
      <c r="C40" s="7">
        <f>'2001_Inc_02.12.20'!T31</f>
        <v>7137.1100757605227</v>
      </c>
      <c r="D40" s="7">
        <f>'2001_Inc_04.12.20'!T31</f>
        <v>10293.743120629128</v>
      </c>
      <c r="E40" s="7">
        <f>'2001_Inc_07.12.20'!$T31</f>
        <v>11110.63977448183</v>
      </c>
      <c r="F40" s="7">
        <f>'2001_Inc_08.12.20'!$T31</f>
        <v>13464.274128057343</v>
      </c>
      <c r="G40" s="7">
        <f>'2001_Inc_11.12.20'!$T31</f>
        <v>13660.895236008282</v>
      </c>
      <c r="H40" s="7">
        <f>'2001_Inc_14.12.20'!$T31</f>
        <v>10734.591997008327</v>
      </c>
      <c r="I40" s="7" t="e">
        <f>#REF!</f>
        <v>#REF!</v>
      </c>
      <c r="J40" s="7" t="e">
        <f>#REF!</f>
        <v>#REF!</v>
      </c>
    </row>
    <row r="41" spans="1:10">
      <c r="A41" t="s">
        <v>265</v>
      </c>
      <c r="B41" s="7">
        <f>'2001_Inc_01.12.20'!T32</f>
        <v>3023.2996802160769</v>
      </c>
      <c r="C41" s="7">
        <f>'2001_Inc_02.12.20'!T32</f>
        <v>4533.6873644324687</v>
      </c>
      <c r="D41" s="7">
        <f>'2001_Inc_04.12.20'!T32</f>
        <v>7132.0408956028277</v>
      </c>
      <c r="E41" s="7" t="e">
        <f>'2001_Inc_07.12.20'!$T32</f>
        <v>#DIV/0!</v>
      </c>
      <c r="F41" s="7" t="e">
        <f>'2001_Inc_08.12.20'!$T32</f>
        <v>#DIV/0!</v>
      </c>
      <c r="G41" s="7" t="e">
        <f>'2001_Inc_11.12.20'!$T32</f>
        <v>#DIV/0!</v>
      </c>
      <c r="H41" s="7" t="e">
        <f>'2001_Inc_14.12.20'!$T32</f>
        <v>#DIV/0!</v>
      </c>
      <c r="I41" s="7" t="e">
        <f>#REF!</f>
        <v>#REF!</v>
      </c>
      <c r="J41" s="7" t="e">
        <f>#REF!</f>
        <v>#REF!</v>
      </c>
    </row>
    <row r="42" spans="1:10">
      <c r="A42" t="s">
        <v>266</v>
      </c>
      <c r="B42" s="7">
        <f>'2001_Inc_01.12.20'!T33</f>
        <v>2751.6398240661824</v>
      </c>
      <c r="C42" s="7">
        <f>'2001_Inc_02.12.20'!T33</f>
        <v>4088.4100863486788</v>
      </c>
      <c r="D42" s="7">
        <f>'2001_Inc_04.12.20'!T33</f>
        <v>6348.1637239559195</v>
      </c>
      <c r="E42" s="7" t="e">
        <f>'2001_Inc_07.12.20'!$T33</f>
        <v>#DIV/0!</v>
      </c>
      <c r="F42" s="7" t="e">
        <f>'2001_Inc_08.12.20'!$T33</f>
        <v>#DIV/0!</v>
      </c>
      <c r="G42" s="7" t="e">
        <f>'2001_Inc_11.12.20'!$T33</f>
        <v>#DIV/0!</v>
      </c>
      <c r="H42" s="7" t="e">
        <f>'2001_Inc_14.12.20'!$T33</f>
        <v>#DIV/0!</v>
      </c>
      <c r="I42" s="7" t="e">
        <f>#REF!</f>
        <v>#REF!</v>
      </c>
      <c r="J42" s="7" t="e">
        <f>#REF!</f>
        <v>#REF!</v>
      </c>
    </row>
    <row r="43" spans="1:10">
      <c r="A43" t="s">
        <v>267</v>
      </c>
      <c r="B43" s="7">
        <f>'2001_Inc_01.12.20'!T34</f>
        <v>4778.9915633872797</v>
      </c>
      <c r="C43" s="7">
        <f>'2001_Inc_02.12.20'!T34</f>
        <v>7378.3690349754506</v>
      </c>
      <c r="D43" s="7">
        <f>'2001_Inc_04.12.20'!T34</f>
        <v>10360.749846867562</v>
      </c>
      <c r="E43" s="7">
        <f>'2001_Inc_07.12.20'!$T34</f>
        <v>11617.50677878981</v>
      </c>
      <c r="F43" s="7">
        <f>'2001_Inc_08.12.20'!$T34</f>
        <v>13263.362350244239</v>
      </c>
      <c r="G43" s="7">
        <f>'2001_Inc_11.12.20'!$T34</f>
        <v>11715.731223060357</v>
      </c>
      <c r="H43" s="7">
        <f>'2001_Inc_14.12.20'!$T34</f>
        <v>9440.5468242883308</v>
      </c>
      <c r="I43" s="7" t="e">
        <f>#REF!</f>
        <v>#REF!</v>
      </c>
      <c r="J43" s="7" t="e">
        <f>#REF!</f>
        <v>#REF!</v>
      </c>
    </row>
    <row r="44" spans="1:10">
      <c r="A44" t="s">
        <v>268</v>
      </c>
      <c r="B44" s="7">
        <f>'2001_Inc_01.12.20'!T35</f>
        <v>5295.0133670937457</v>
      </c>
      <c r="C44" s="7">
        <f>'2001_Inc_02.12.20'!T35</f>
        <v>9402.6494637324977</v>
      </c>
      <c r="D44" s="7">
        <f>'2001_Inc_04.12.20'!T35</f>
        <v>15444.123760137967</v>
      </c>
      <c r="E44" s="7">
        <f>'2001_Inc_07.12.20'!$T35</f>
        <v>19969.903800729728</v>
      </c>
      <c r="F44" s="7" t="e">
        <f>'2001_Inc_08.12.20'!$T35</f>
        <v>#DIV/0!</v>
      </c>
      <c r="G44" s="7" t="e">
        <f>'2001_Inc_11.12.20'!$T35</f>
        <v>#DIV/0!</v>
      </c>
      <c r="H44" s="7" t="e">
        <f>'2001_Inc_14.12.20'!$T35</f>
        <v>#DIV/0!</v>
      </c>
      <c r="I44" s="7" t="e">
        <f>#REF!</f>
        <v>#REF!</v>
      </c>
      <c r="J44" s="7" t="e">
        <f>#REF!</f>
        <v>#REF!</v>
      </c>
    </row>
    <row r="45" spans="1:10">
      <c r="A45" t="s">
        <v>269</v>
      </c>
      <c r="B45" s="7">
        <f>'2001_Inc_01.12.20'!T36</f>
        <v>2383.3717560915984</v>
      </c>
      <c r="C45" s="7">
        <f>'2001_Inc_02.12.20'!T36</f>
        <v>3484.6084608458186</v>
      </c>
      <c r="D45" s="7">
        <f>'2001_Inc_04.12.20'!T36</f>
        <v>5579.9214550979777</v>
      </c>
      <c r="E45" s="7">
        <f>'2001_Inc_07.12.20'!$T36</f>
        <v>6039.0350568806653</v>
      </c>
      <c r="F45" s="7">
        <f>'2001_Inc_08.12.20'!$T36</f>
        <v>7417.7887753897267</v>
      </c>
      <c r="G45" s="7" t="e">
        <f>'2001_Inc_11.12.20'!$T36</f>
        <v>#DIV/0!</v>
      </c>
      <c r="H45" s="7" t="e">
        <f>'2001_Inc_14.12.20'!$T36</f>
        <v>#DIV/0!</v>
      </c>
      <c r="I45" s="7" t="e">
        <f>#REF!</f>
        <v>#REF!</v>
      </c>
      <c r="J45" s="7" t="e">
        <f>#REF!</f>
        <v>#REF!</v>
      </c>
    </row>
    <row r="46" spans="1:10">
      <c r="A46" t="s">
        <v>270</v>
      </c>
      <c r="B46" s="7">
        <f>'2001_Inc_01.12.20'!T37</f>
        <v>2625.9070777943421</v>
      </c>
      <c r="C46" s="7">
        <f>'2001_Inc_02.12.20'!T37</f>
        <v>4383.4163481171217</v>
      </c>
      <c r="D46" s="7">
        <f>'2001_Inc_04.12.20'!T37</f>
        <v>7463.9272411686561</v>
      </c>
      <c r="E46" s="7" t="e">
        <f>'2001_Inc_07.12.20'!$T37</f>
        <v>#DIV/0!</v>
      </c>
      <c r="F46" s="7" t="e">
        <f>'2001_Inc_08.12.20'!$T37</f>
        <v>#DIV/0!</v>
      </c>
      <c r="G46" s="7" t="e">
        <f>'2001_Inc_11.12.20'!$T37</f>
        <v>#DIV/0!</v>
      </c>
      <c r="H46" s="7" t="e">
        <f>'2001_Inc_14.12.20'!$T37</f>
        <v>#DIV/0!</v>
      </c>
      <c r="I46" s="7" t="e">
        <f>#REF!</f>
        <v>#REF!</v>
      </c>
      <c r="J46" s="7" t="e">
        <f>#REF!</f>
        <v>#REF!</v>
      </c>
    </row>
    <row r="47" spans="1:10">
      <c r="A47" t="s">
        <v>271</v>
      </c>
      <c r="B47" s="7">
        <f>'2001_Inc_01.12.20'!T38</f>
        <v>880.24134097637352</v>
      </c>
      <c r="C47" s="7">
        <f>'2001_Inc_02.12.20'!T38</f>
        <v>1337.6352197053757</v>
      </c>
      <c r="D47" s="7">
        <f>'2001_Inc_04.12.20'!T38</f>
        <v>1988.7670300889783</v>
      </c>
      <c r="E47" s="7">
        <f>'2001_Inc_07.12.20'!$T38</f>
        <v>1949.49608979039</v>
      </c>
      <c r="F47" s="7">
        <f>'2001_Inc_08.12.20'!$T38</f>
        <v>2197.8313434386237</v>
      </c>
      <c r="G47" s="7">
        <f>'2001_Inc_11.12.20'!$T38</f>
        <v>2583.623297778372</v>
      </c>
      <c r="H47" s="7">
        <f>'2001_Inc_14.12.20'!$T38</f>
        <v>1933.9419074477285</v>
      </c>
      <c r="I47" s="7" t="e">
        <f>#REF!</f>
        <v>#REF!</v>
      </c>
      <c r="J47" s="7" t="e">
        <f>#REF!</f>
        <v>#REF!</v>
      </c>
    </row>
    <row r="48" spans="1:10">
      <c r="A48" t="s">
        <v>272</v>
      </c>
      <c r="B48" s="7">
        <f>'2001_Inc_01.12.20'!T39</f>
        <v>845.81959155312234</v>
      </c>
      <c r="C48" s="7">
        <f>'2001_Inc_02.12.20'!T39</f>
        <v>1346.5931034642942</v>
      </c>
      <c r="D48" s="7">
        <f>'2001_Inc_04.12.20'!T39</f>
        <v>2325.222016080153</v>
      </c>
      <c r="E48" s="7">
        <f>'2001_Inc_07.12.20'!$T39</f>
        <v>3067.8506952915418</v>
      </c>
      <c r="F48" s="7">
        <f>'2001_Inc_08.12.20'!$T39</f>
        <v>3769.043450744342</v>
      </c>
      <c r="G48" s="7">
        <f>'2001_Inc_11.12.20'!$T39</f>
        <v>3792.4662366115153</v>
      </c>
      <c r="H48" s="7">
        <f>'2001_Inc_14.12.20'!$T39</f>
        <v>3804.648957861968</v>
      </c>
      <c r="I48" s="7" t="e">
        <f>#REF!</f>
        <v>#REF!</v>
      </c>
      <c r="J48" s="7" t="e">
        <f>#REF!</f>
        <v>#REF!</v>
      </c>
    </row>
    <row r="49" spans="1:10">
      <c r="A49" t="s">
        <v>273</v>
      </c>
      <c r="B49" s="7" t="e">
        <f>'2001_Inc_01.12.20'!#REF!</f>
        <v>#REF!</v>
      </c>
      <c r="C49" s="7" t="e">
        <f>'2001_Inc_02.12.20'!#REF!</f>
        <v>#REF!</v>
      </c>
      <c r="D49" s="7" t="e">
        <f>'2001_Inc_04.12.20'!#REF!</f>
        <v>#REF!</v>
      </c>
      <c r="E49" s="7" t="e">
        <f>'2001_Inc_07.12.20'!#REF!</f>
        <v>#REF!</v>
      </c>
      <c r="F49" s="7" t="e">
        <f>'2001_Inc_08.12.20'!#REF!</f>
        <v>#REF!</v>
      </c>
      <c r="G49" s="7" t="e">
        <f>'2001_Inc_11.12.20'!#REF!</f>
        <v>#REF!</v>
      </c>
      <c r="H49" s="7" t="e">
        <f>'2001_Inc_14.12.20'!#REF!</f>
        <v>#REF!</v>
      </c>
      <c r="I49" s="7" t="e">
        <f>#REF!</f>
        <v>#REF!</v>
      </c>
      <c r="J49" s="7" t="e">
        <f>#REF!</f>
        <v>#REF!</v>
      </c>
    </row>
    <row r="50" spans="1:10">
      <c r="A50" t="s">
        <v>274</v>
      </c>
      <c r="B50" s="7" t="e">
        <f>'2001_Inc_01.12.20'!#REF!</f>
        <v>#REF!</v>
      </c>
      <c r="C50" s="7" t="e">
        <f>'2001_Inc_02.12.20'!#REF!</f>
        <v>#REF!</v>
      </c>
      <c r="D50" s="7" t="e">
        <f>'2001_Inc_04.12.20'!#REF!</f>
        <v>#REF!</v>
      </c>
      <c r="E50" s="7" t="e">
        <f>'2001_Inc_07.12.20'!#REF!</f>
        <v>#REF!</v>
      </c>
      <c r="F50" s="7" t="e">
        <f>'2001_Inc_08.12.20'!#REF!</f>
        <v>#REF!</v>
      </c>
      <c r="G50" s="7" t="e">
        <f>'2001_Inc_11.12.20'!#REF!</f>
        <v>#REF!</v>
      </c>
      <c r="H50" s="7" t="e">
        <f>'2001_Inc_14.12.20'!#REF!</f>
        <v>#REF!</v>
      </c>
      <c r="I50" s="7" t="e">
        <f>#REF!</f>
        <v>#REF!</v>
      </c>
      <c r="J50" s="7" t="e">
        <f>#REF!</f>
        <v>#REF!</v>
      </c>
    </row>
  </sheetData>
  <conditionalFormatting sqref="B27:J50">
    <cfRule type="cellIs" dxfId="10" priority="1" operator="greaterThan">
      <formula>10000</formula>
    </cfRule>
  </conditionalFormatting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workbookViewId="0">
      <selection activeCell="A35" sqref="A35:XFD35"/>
    </sheetView>
  </sheetViews>
  <sheetFormatPr baseColWidth="10" defaultRowHeight="14" x14ac:dyDescent="0"/>
  <cols>
    <col min="1" max="1" width="27.6640625" bestFit="1" customWidth="1"/>
    <col min="2" max="2" width="15.1640625" bestFit="1" customWidth="1"/>
    <col min="24" max="24" width="15.33203125" bestFit="1" customWidth="1"/>
    <col min="26" max="26" width="12.5" bestFit="1" customWidth="1"/>
    <col min="27" max="27" width="17.5" bestFit="1" customWidth="1"/>
    <col min="28" max="28" width="22.1640625" bestFit="1" customWidth="1"/>
    <col min="29" max="29" width="15.6640625" bestFit="1" customWidth="1"/>
    <col min="30" max="30" width="13.6640625" bestFit="1" customWidth="1"/>
  </cols>
  <sheetData>
    <row r="1" spans="1:26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6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6">
      <c r="A3" s="44">
        <v>5</v>
      </c>
      <c r="B3" s="52">
        <v>44172</v>
      </c>
      <c r="C3" s="53">
        <v>2992</v>
      </c>
      <c r="D3" s="42">
        <v>1455.9</v>
      </c>
      <c r="E3" s="54">
        <v>247.41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6">
      <c r="A4" s="44">
        <v>4.4000000000000004</v>
      </c>
      <c r="B4" s="52">
        <v>44172</v>
      </c>
      <c r="C4" s="53">
        <v>2992</v>
      </c>
      <c r="D4" s="54">
        <v>1301.8</v>
      </c>
      <c r="E4" s="54">
        <v>238.8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6">
      <c r="A5" s="44">
        <v>4</v>
      </c>
      <c r="B5" s="52">
        <v>44172</v>
      </c>
      <c r="C5" s="53">
        <v>2992</v>
      </c>
      <c r="D5" s="42">
        <v>1166.5</v>
      </c>
      <c r="E5" s="54">
        <v>201.81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6">
      <c r="A6" s="44">
        <v>3.4</v>
      </c>
      <c r="B6" s="52">
        <v>44172</v>
      </c>
      <c r="C6" s="53">
        <v>2992</v>
      </c>
      <c r="D6" s="54">
        <v>1013.4</v>
      </c>
      <c r="E6" s="54">
        <v>188.44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6">
      <c r="A7" s="44">
        <v>3</v>
      </c>
      <c r="B7" s="52">
        <v>44172</v>
      </c>
      <c r="C7" s="53">
        <v>2992</v>
      </c>
      <c r="D7" s="42">
        <v>892.3</v>
      </c>
      <c r="E7" s="54">
        <v>159.25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6">
      <c r="A8" s="44">
        <v>2.4</v>
      </c>
      <c r="B8" s="52">
        <v>44172</v>
      </c>
      <c r="C8" s="53">
        <v>2992</v>
      </c>
      <c r="D8" s="54">
        <v>708.04</v>
      </c>
      <c r="E8" s="54">
        <v>126.59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6">
      <c r="A9" s="44">
        <v>2</v>
      </c>
      <c r="B9" s="52">
        <v>44172</v>
      </c>
      <c r="C9" s="53">
        <v>2992</v>
      </c>
      <c r="D9" s="42">
        <v>592.72</v>
      </c>
      <c r="E9" s="54">
        <v>114.1</v>
      </c>
      <c r="F9" s="55">
        <f t="shared" si="0"/>
        <v>5.984</v>
      </c>
      <c r="G9" s="58" t="s">
        <v>70</v>
      </c>
      <c r="H9" s="58"/>
      <c r="I9" s="59">
        <f>SLOPE(F3:F15,D3:D15)</f>
        <v>1.0147487573733342E-2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6">
      <c r="A10" s="44">
        <v>1.4</v>
      </c>
      <c r="B10" s="52">
        <v>44172</v>
      </c>
      <c r="C10" s="53">
        <v>2992</v>
      </c>
      <c r="D10" s="42">
        <v>416.65</v>
      </c>
      <c r="E10" s="54">
        <v>80.185000000000002</v>
      </c>
      <c r="F10" s="55">
        <f t="shared" si="0"/>
        <v>4.1887999999999996</v>
      </c>
      <c r="G10" s="58" t="s">
        <v>71</v>
      </c>
      <c r="H10" s="58"/>
      <c r="I10" s="59">
        <f>INTERCEPT(F3:F15,D3:D15)</f>
        <v>2.1777875408266922E-2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6">
      <c r="A11" s="44">
        <v>1</v>
      </c>
      <c r="B11" s="52">
        <v>44172</v>
      </c>
      <c r="C11" s="53">
        <v>2992</v>
      </c>
      <c r="D11" s="42">
        <v>288.77999999999997</v>
      </c>
      <c r="E11" s="54">
        <v>62.735999999999997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6">
      <c r="A12" s="60">
        <v>0.4</v>
      </c>
      <c r="B12" s="52">
        <v>44172</v>
      </c>
      <c r="C12" s="53">
        <v>2992</v>
      </c>
      <c r="D12" s="60">
        <v>112.48</v>
      </c>
      <c r="E12" s="60">
        <v>24.100999999999999</v>
      </c>
      <c r="F12" s="55">
        <f t="shared" si="0"/>
        <v>1.1968000000000001</v>
      </c>
      <c r="G12" s="61" t="s">
        <v>72</v>
      </c>
      <c r="H12" s="61"/>
      <c r="I12" s="62">
        <f>SLOPE(F3:F15,E3:E15)</f>
        <v>5.8323102759423755E-2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6">
      <c r="A13" s="60">
        <v>0.2</v>
      </c>
      <c r="B13" s="52">
        <v>44172</v>
      </c>
      <c r="C13" s="53">
        <v>2992</v>
      </c>
      <c r="D13" s="60">
        <v>52.969000000000001</v>
      </c>
      <c r="E13" s="60">
        <v>12.785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-0.27704540787526444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6">
      <c r="A14" s="60">
        <v>0.1</v>
      </c>
      <c r="B14" s="52">
        <v>44172</v>
      </c>
      <c r="C14" s="53">
        <v>2992</v>
      </c>
      <c r="D14" s="60">
        <v>20.001999999999999</v>
      </c>
      <c r="E14" s="60">
        <v>6.0469999999999997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26">
      <c r="A15" s="60">
        <v>0</v>
      </c>
      <c r="B15" s="52">
        <v>44172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1:26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155" t="s">
        <v>278</v>
      </c>
      <c r="X16" s="155" t="s">
        <v>279</v>
      </c>
      <c r="Y16" s="155" t="s">
        <v>280</v>
      </c>
      <c r="Z16" s="155" t="s">
        <v>282</v>
      </c>
    </row>
    <row r="17" spans="1:29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1" t="s">
        <v>113</v>
      </c>
      <c r="W17" s="156"/>
      <c r="X17" s="191"/>
      <c r="Y17" s="191"/>
      <c r="Z17" s="156"/>
    </row>
    <row r="18" spans="1:29">
      <c r="A18" s="29" t="s">
        <v>292</v>
      </c>
      <c r="B18" s="71">
        <f>$B$3+H18</f>
        <v>44172.479166666664</v>
      </c>
      <c r="C18" s="44">
        <v>0.4</v>
      </c>
      <c r="D18" s="80">
        <v>800.34</v>
      </c>
      <c r="E18" s="81">
        <v>153.1</v>
      </c>
      <c r="F18" s="72">
        <f t="shared" ref="F18:F39" si="1">((I$9*D18)+I$10)/C18/1000</f>
        <v>2.0358045200425025E-2</v>
      </c>
      <c r="G18" s="72">
        <f t="shared" ref="G18:G39" si="2">((I$12*E18)+I$13)/C18/1000</f>
        <v>2.1630554061481285E-2</v>
      </c>
      <c r="H18" s="96">
        <v>0.47916666666666669</v>
      </c>
      <c r="I18" s="73">
        <f>jar_information!M3</f>
        <v>44165.4375</v>
      </c>
      <c r="J18" s="74">
        <f t="shared" ref="J18:J39" si="3">B18-I18</f>
        <v>7.0416666666642413</v>
      </c>
      <c r="K18" s="74">
        <f t="shared" ref="K18:K39" si="4">J18*24</f>
        <v>168.99999999994179</v>
      </c>
      <c r="L18" s="75">
        <f>jar_information!H3</f>
        <v>371.24882105804681</v>
      </c>
      <c r="M18" s="74">
        <f>F18*L18</f>
        <v>7.557900279704219</v>
      </c>
      <c r="N18" s="74">
        <f>M18*1.83</f>
        <v>13.83095751185872</v>
      </c>
      <c r="O18" s="76">
        <f>N18*(12/(12+(16*2)))</f>
        <v>3.7720793214160144</v>
      </c>
      <c r="P18" s="77">
        <f>O18*(400/(400+L18))</f>
        <v>1.9563488298063096</v>
      </c>
      <c r="R18" s="78">
        <f>Q18/314.7</f>
        <v>0</v>
      </c>
      <c r="S18" s="78">
        <f t="shared" ref="S18:S39" si="5">R18/P18*100</f>
        <v>0</v>
      </c>
      <c r="T18" s="79">
        <f t="shared" ref="T18:T39" si="6">F18*1000000</f>
        <v>20358.045200425026</v>
      </c>
      <c r="U18" s="7">
        <f t="shared" ref="U18:U39" si="7">M18/L18*100</f>
        <v>2.0358045200425026</v>
      </c>
      <c r="V18" s="90">
        <f>O18/K18</f>
        <v>2.2319995984717834E-2</v>
      </c>
      <c r="W18" s="137">
        <f>Y18*44/12</f>
        <v>21.650063430477442</v>
      </c>
      <c r="X18" s="137">
        <f t="shared" ref="X18:X39" si="8">IF((W18-N18)&lt;=0,"!",W18-N18)</f>
        <v>7.8191059186187211</v>
      </c>
      <c r="Y18" s="137">
        <v>5.9045627537665748</v>
      </c>
      <c r="Z18" s="137">
        <f t="shared" ref="Z18:Z39" si="9">IF(Y18/V18/24-J18&lt;1,"&lt;1",Y18/V18/24-J18)</f>
        <v>3.9808912335278492</v>
      </c>
      <c r="AB18" s="156"/>
      <c r="AC18" t="s">
        <v>292</v>
      </c>
    </row>
    <row r="19" spans="1:29">
      <c r="A19" s="29" t="s">
        <v>293</v>
      </c>
      <c r="B19" s="71">
        <f t="shared" ref="B19:B39" si="10">$B$3+H19</f>
        <v>44172.479166666664</v>
      </c>
      <c r="C19" s="44">
        <v>0.4</v>
      </c>
      <c r="D19" s="80">
        <v>418.86</v>
      </c>
      <c r="E19" s="81">
        <v>78.727999999999994</v>
      </c>
      <c r="F19" s="72">
        <f t="shared" si="1"/>
        <v>1.0680386301355536E-2</v>
      </c>
      <c r="G19" s="72">
        <f t="shared" si="2"/>
        <v>1.0786539565421622E-2</v>
      </c>
      <c r="H19" s="96">
        <v>0.47916666666666669</v>
      </c>
      <c r="I19" s="73">
        <f>jar_information!M4</f>
        <v>44165.4375</v>
      </c>
      <c r="J19" s="74">
        <f t="shared" si="3"/>
        <v>7.0416666666642413</v>
      </c>
      <c r="K19" s="74">
        <f t="shared" si="4"/>
        <v>168.99999999994179</v>
      </c>
      <c r="L19" s="75">
        <f>jar_information!H4</f>
        <v>396.0136460677399</v>
      </c>
      <c r="M19" s="74">
        <f t="shared" ref="M19:M39" si="11">F19*L19</f>
        <v>4.229578720611749</v>
      </c>
      <c r="N19" s="74">
        <f t="shared" ref="N19:N39" si="12">M19*1.83</f>
        <v>7.7401290587195009</v>
      </c>
      <c r="O19" s="76">
        <f t="shared" ref="O19:O39" si="13">N19*(12/(12+(16*2)))</f>
        <v>2.1109442887416821</v>
      </c>
      <c r="P19" s="77">
        <f t="shared" ref="P19:P39" si="14">O19*(400/(400+L19))</f>
        <v>1.0607578396021835</v>
      </c>
      <c r="R19" s="78">
        <f>Q19/314.7</f>
        <v>0</v>
      </c>
      <c r="S19" s="78">
        <f t="shared" si="5"/>
        <v>0</v>
      </c>
      <c r="T19" s="79">
        <f t="shared" si="6"/>
        <v>10680.386301355536</v>
      </c>
      <c r="U19" s="7">
        <f t="shared" si="7"/>
        <v>1.0680386301355536</v>
      </c>
      <c r="V19" s="90">
        <f t="shared" ref="V19:V39" si="15">O19/K19</f>
        <v>1.2490794607943249E-2</v>
      </c>
      <c r="W19" s="137">
        <f t="shared" ref="W19:W39" si="16">Y19*44/12</f>
        <v>21.650063430477442</v>
      </c>
      <c r="X19" s="137">
        <f t="shared" si="8"/>
        <v>13.909934371757942</v>
      </c>
      <c r="Y19" s="137">
        <v>5.9045627537665748</v>
      </c>
      <c r="Z19" s="137">
        <f t="shared" si="9"/>
        <v>12.654714211871223</v>
      </c>
      <c r="AB19" s="156"/>
      <c r="AC19" t="s">
        <v>293</v>
      </c>
    </row>
    <row r="20" spans="1:29">
      <c r="A20" s="29" t="s">
        <v>294</v>
      </c>
      <c r="B20" s="71">
        <f t="shared" si="10"/>
        <v>44172.479166666664</v>
      </c>
      <c r="C20" s="44">
        <v>1</v>
      </c>
      <c r="D20" s="80">
        <v>1292.5999999999999</v>
      </c>
      <c r="E20" s="81">
        <v>240.29</v>
      </c>
      <c r="F20" s="72">
        <f t="shared" si="1"/>
        <v>1.3138420313215984E-2</v>
      </c>
      <c r="G20" s="72">
        <f t="shared" si="2"/>
        <v>1.373741295418667E-2</v>
      </c>
      <c r="H20" s="96">
        <v>0.47916666666666669</v>
      </c>
      <c r="I20" s="73">
        <f>jar_information!M5</f>
        <v>44165.4375</v>
      </c>
      <c r="J20" s="74">
        <f t="shared" si="3"/>
        <v>7.0416666666642413</v>
      </c>
      <c r="K20" s="74">
        <f t="shared" si="4"/>
        <v>168.99999999994179</v>
      </c>
      <c r="L20" s="75">
        <f>jar_information!H5</f>
        <v>356.00450368854933</v>
      </c>
      <c r="M20" s="74">
        <f t="shared" si="11"/>
        <v>4.6773368028580116</v>
      </c>
      <c r="N20" s="74">
        <f t="shared" si="12"/>
        <v>8.5595263492301612</v>
      </c>
      <c r="O20" s="76">
        <f t="shared" si="13"/>
        <v>2.334416277062771</v>
      </c>
      <c r="P20" s="77">
        <f t="shared" si="14"/>
        <v>1.2351335293232479</v>
      </c>
      <c r="R20" s="78">
        <f>Q20/314.7</f>
        <v>0</v>
      </c>
      <c r="S20" s="78">
        <f t="shared" si="5"/>
        <v>0</v>
      </c>
      <c r="T20" s="79">
        <f t="shared" si="6"/>
        <v>13138.420313215984</v>
      </c>
      <c r="U20" s="7">
        <f t="shared" si="7"/>
        <v>1.3138420313215984</v>
      </c>
      <c r="V20" s="90">
        <f t="shared" si="15"/>
        <v>1.381311406546494E-2</v>
      </c>
      <c r="W20" s="137">
        <f t="shared" si="16"/>
        <v>8.9690216559265394</v>
      </c>
      <c r="X20" s="137">
        <f t="shared" si="8"/>
        <v>0.40949530669637824</v>
      </c>
      <c r="Y20" s="137">
        <v>2.4460968152526927</v>
      </c>
      <c r="Z20" s="137" t="str">
        <f t="shared" si="9"/>
        <v>&lt;1</v>
      </c>
      <c r="AB20" s="156"/>
      <c r="AC20" t="s">
        <v>294</v>
      </c>
    </row>
    <row r="21" spans="1:29">
      <c r="A21" s="29" t="s">
        <v>295</v>
      </c>
      <c r="B21" s="71">
        <f t="shared" si="10"/>
        <v>44172.479166666664</v>
      </c>
      <c r="C21" s="44">
        <v>1</v>
      </c>
      <c r="D21" s="80">
        <v>1281.9000000000001</v>
      </c>
      <c r="E21" s="81">
        <v>225.64</v>
      </c>
      <c r="F21" s="72">
        <f t="shared" si="1"/>
        <v>1.302984219617704E-2</v>
      </c>
      <c r="G21" s="72">
        <f t="shared" si="2"/>
        <v>1.288297949876111E-2</v>
      </c>
      <c r="H21" s="96">
        <v>0.47916666666666669</v>
      </c>
      <c r="I21" s="73">
        <f>jar_information!M6</f>
        <v>44165.4375</v>
      </c>
      <c r="J21" s="74">
        <f t="shared" si="3"/>
        <v>7.0416666666642413</v>
      </c>
      <c r="K21" s="74">
        <f t="shared" si="4"/>
        <v>168.99999999994179</v>
      </c>
      <c r="L21" s="75">
        <f>jar_information!H6</f>
        <v>362.08093473315461</v>
      </c>
      <c r="M21" s="74">
        <f t="shared" si="11"/>
        <v>4.7178574418172827</v>
      </c>
      <c r="N21" s="74">
        <f t="shared" si="12"/>
        <v>8.6336791185256274</v>
      </c>
      <c r="O21" s="76">
        <f t="shared" si="13"/>
        <v>2.3546397595978981</v>
      </c>
      <c r="P21" s="77">
        <f t="shared" si="14"/>
        <v>1.2359001005174777</v>
      </c>
      <c r="R21" s="78">
        <f t="shared" ref="R21:R39" si="17">Q21/314.7</f>
        <v>0</v>
      </c>
      <c r="S21" s="78">
        <f t="shared" si="5"/>
        <v>0</v>
      </c>
      <c r="T21" s="79">
        <f t="shared" si="6"/>
        <v>13029.84219617704</v>
      </c>
      <c r="U21" s="7">
        <f t="shared" si="7"/>
        <v>1.3029842196177039</v>
      </c>
      <c r="V21" s="90">
        <f t="shared" si="15"/>
        <v>1.3932779642595912E-2</v>
      </c>
      <c r="W21" s="137">
        <f t="shared" si="16"/>
        <v>8.9690216559265394</v>
      </c>
      <c r="X21" s="137">
        <f t="shared" si="8"/>
        <v>0.33534253740091202</v>
      </c>
      <c r="Y21" s="137">
        <v>2.4460968152526927</v>
      </c>
      <c r="Z21" s="137" t="str">
        <f t="shared" si="9"/>
        <v>&lt;1</v>
      </c>
      <c r="AB21" s="156"/>
      <c r="AC21" t="s">
        <v>295</v>
      </c>
    </row>
    <row r="22" spans="1:29">
      <c r="A22" s="29" t="s">
        <v>296</v>
      </c>
      <c r="B22" s="71">
        <f t="shared" si="10"/>
        <v>44172.479166666664</v>
      </c>
      <c r="C22" s="44">
        <v>1</v>
      </c>
      <c r="D22" s="80">
        <v>508.96</v>
      </c>
      <c r="E22" s="81">
        <v>94.656999999999996</v>
      </c>
      <c r="F22" s="72">
        <f t="shared" si="1"/>
        <v>5.1864431509355885E-3</v>
      </c>
      <c r="G22" s="72">
        <f t="shared" si="2"/>
        <v>5.243644530023509E-3</v>
      </c>
      <c r="H22" s="96">
        <v>0.47916666666666669</v>
      </c>
      <c r="I22" s="73">
        <f>jar_information!M7</f>
        <v>44165.4375</v>
      </c>
      <c r="J22" s="74">
        <f t="shared" si="3"/>
        <v>7.0416666666642413</v>
      </c>
      <c r="K22" s="74">
        <f t="shared" si="4"/>
        <v>168.99999999994179</v>
      </c>
      <c r="L22" s="75">
        <f>jar_information!H7</f>
        <v>368.18572718286885</v>
      </c>
      <c r="M22" s="74">
        <f t="shared" si="11"/>
        <v>1.9095743430198293</v>
      </c>
      <c r="N22" s="74">
        <f t="shared" si="12"/>
        <v>3.4945210477262876</v>
      </c>
      <c r="O22" s="76">
        <f t="shared" si="13"/>
        <v>0.95305119483444201</v>
      </c>
      <c r="P22" s="77">
        <f t="shared" si="14"/>
        <v>0.49626081876294237</v>
      </c>
      <c r="R22" s="78">
        <f t="shared" si="17"/>
        <v>0</v>
      </c>
      <c r="S22" s="78">
        <f t="shared" si="5"/>
        <v>0</v>
      </c>
      <c r="T22" s="79">
        <f t="shared" si="6"/>
        <v>5186.4431509355882</v>
      </c>
      <c r="U22" s="7">
        <f t="shared" si="7"/>
        <v>0.51864431509355879</v>
      </c>
      <c r="V22" s="90">
        <f t="shared" si="15"/>
        <v>5.6393561824542617E-3</v>
      </c>
      <c r="W22" s="137">
        <f t="shared" si="16"/>
        <v>4.4310190566310377</v>
      </c>
      <c r="X22" s="137">
        <f t="shared" si="8"/>
        <v>0.9364980089047501</v>
      </c>
      <c r="Y22" s="137">
        <v>1.2084597427175559</v>
      </c>
      <c r="Z22" s="137">
        <f t="shared" si="9"/>
        <v>1.8870988964260889</v>
      </c>
      <c r="AB22" s="156"/>
      <c r="AC22" t="s">
        <v>296</v>
      </c>
    </row>
    <row r="23" spans="1:29">
      <c r="A23" s="29" t="s">
        <v>297</v>
      </c>
      <c r="B23" s="71">
        <f t="shared" si="10"/>
        <v>44172.479166666664</v>
      </c>
      <c r="C23" s="44">
        <v>1</v>
      </c>
      <c r="D23" s="80">
        <v>287.01</v>
      </c>
      <c r="E23" s="81">
        <v>61.755000000000003</v>
      </c>
      <c r="F23" s="72">
        <f t="shared" si="1"/>
        <v>2.9342082839454733E-3</v>
      </c>
      <c r="G23" s="72">
        <f t="shared" si="2"/>
        <v>3.3246978030329493E-3</v>
      </c>
      <c r="H23" s="96">
        <v>0.47916666666666669</v>
      </c>
      <c r="I23" s="73">
        <f>jar_information!M8</f>
        <v>44165.4375</v>
      </c>
      <c r="J23" s="74">
        <f t="shared" si="3"/>
        <v>7.0416666666642413</v>
      </c>
      <c r="K23" s="74">
        <f t="shared" si="4"/>
        <v>168.99999999994179</v>
      </c>
      <c r="L23" s="75">
        <f>jar_information!H8</f>
        <v>405.42134882290139</v>
      </c>
      <c r="M23" s="74">
        <f t="shared" si="11"/>
        <v>1.1895906802045046</v>
      </c>
      <c r="N23" s="74">
        <f t="shared" si="12"/>
        <v>2.1769509447742434</v>
      </c>
      <c r="O23" s="76">
        <f t="shared" si="13"/>
        <v>0.59371389402933905</v>
      </c>
      <c r="P23" s="77">
        <f t="shared" si="14"/>
        <v>0.29485878162878781</v>
      </c>
      <c r="R23" s="78">
        <f t="shared" si="17"/>
        <v>0</v>
      </c>
      <c r="S23" s="78">
        <f t="shared" si="5"/>
        <v>0</v>
      </c>
      <c r="T23" s="79">
        <f t="shared" si="6"/>
        <v>2934.2082839454733</v>
      </c>
      <c r="U23" s="7">
        <f t="shared" si="7"/>
        <v>0.29342082839454731</v>
      </c>
      <c r="V23" s="90">
        <f t="shared" si="15"/>
        <v>3.5130999646718554E-3</v>
      </c>
      <c r="W23" s="137">
        <f t="shared" si="16"/>
        <v>4.4310190566310377</v>
      </c>
      <c r="X23" s="137">
        <f t="shared" si="8"/>
        <v>2.2540681118567942</v>
      </c>
      <c r="Y23" s="137">
        <v>1.2084597427175559</v>
      </c>
      <c r="Z23" s="137">
        <f t="shared" si="9"/>
        <v>7.2911134381573373</v>
      </c>
      <c r="AB23" s="156"/>
      <c r="AC23" t="s">
        <v>297</v>
      </c>
    </row>
    <row r="24" spans="1:29">
      <c r="A24" s="29" t="s">
        <v>298</v>
      </c>
      <c r="B24" s="71">
        <f t="shared" si="10"/>
        <v>44172.479166666664</v>
      </c>
      <c r="C24" s="44"/>
      <c r="D24" s="80"/>
      <c r="E24" s="81"/>
      <c r="F24" s="72" t="e">
        <f t="shared" si="1"/>
        <v>#DIV/0!</v>
      </c>
      <c r="G24" s="72" t="e">
        <f t="shared" si="2"/>
        <v>#DIV/0!</v>
      </c>
      <c r="H24" s="96">
        <v>0.47916666666666669</v>
      </c>
      <c r="I24" s="73">
        <f>jar_information!M9</f>
        <v>44165.4375</v>
      </c>
      <c r="J24" s="74">
        <f t="shared" si="3"/>
        <v>7.0416666666642413</v>
      </c>
      <c r="K24" s="74">
        <f t="shared" si="4"/>
        <v>168.99999999994179</v>
      </c>
      <c r="L24" s="75">
        <f>jar_information!H9</f>
        <v>368.18572718286885</v>
      </c>
      <c r="M24" s="74" t="e">
        <f t="shared" si="11"/>
        <v>#DIV/0!</v>
      </c>
      <c r="N24" s="74" t="e">
        <f t="shared" si="12"/>
        <v>#DIV/0!</v>
      </c>
      <c r="O24" s="76" t="e">
        <f t="shared" si="13"/>
        <v>#DIV/0!</v>
      </c>
      <c r="P24" s="77" t="e">
        <f t="shared" si="14"/>
        <v>#DIV/0!</v>
      </c>
      <c r="R24" s="78">
        <f t="shared" si="17"/>
        <v>0</v>
      </c>
      <c r="S24" s="78" t="e">
        <f t="shared" si="5"/>
        <v>#DIV/0!</v>
      </c>
      <c r="T24" s="79" t="e">
        <f t="shared" si="6"/>
        <v>#DIV/0!</v>
      </c>
      <c r="U24" s="7" t="e">
        <f t="shared" si="7"/>
        <v>#DIV/0!</v>
      </c>
      <c r="V24" s="90" t="e">
        <f t="shared" si="15"/>
        <v>#DIV/0!</v>
      </c>
      <c r="W24" s="207">
        <f t="shared" si="16"/>
        <v>7.8060465850108978</v>
      </c>
      <c r="X24" s="207" t="e">
        <f t="shared" si="8"/>
        <v>#DIV/0!</v>
      </c>
      <c r="Y24" s="207">
        <v>2.128921795912063</v>
      </c>
      <c r="Z24" s="207" t="e">
        <f t="shared" si="9"/>
        <v>#DIV/0!</v>
      </c>
      <c r="AA24" s="209">
        <v>44169.5625</v>
      </c>
      <c r="AB24" s="156"/>
      <c r="AC24" t="s">
        <v>298</v>
      </c>
    </row>
    <row r="25" spans="1:29">
      <c r="A25" s="29" t="s">
        <v>299</v>
      </c>
      <c r="B25" s="71">
        <f t="shared" si="10"/>
        <v>44172.479166666664</v>
      </c>
      <c r="C25" s="44"/>
      <c r="D25" s="80"/>
      <c r="E25" s="81"/>
      <c r="F25" s="72" t="e">
        <f t="shared" si="1"/>
        <v>#DIV/0!</v>
      </c>
      <c r="G25" s="72" t="e">
        <f t="shared" si="2"/>
        <v>#DIV/0!</v>
      </c>
      <c r="H25" s="96">
        <v>0.47916666666666669</v>
      </c>
      <c r="I25" s="73">
        <f>jar_information!M10</f>
        <v>44165.4375</v>
      </c>
      <c r="J25" s="74">
        <f t="shared" si="3"/>
        <v>7.0416666666642413</v>
      </c>
      <c r="K25" s="74">
        <f t="shared" si="4"/>
        <v>168.99999999994179</v>
      </c>
      <c r="L25" s="75">
        <f>jar_information!H10</f>
        <v>365.12977338665411</v>
      </c>
      <c r="M25" s="74" t="e">
        <f t="shared" si="11"/>
        <v>#DIV/0!</v>
      </c>
      <c r="N25" s="74" t="e">
        <f t="shared" si="12"/>
        <v>#DIV/0!</v>
      </c>
      <c r="O25" s="76" t="e">
        <f t="shared" si="13"/>
        <v>#DIV/0!</v>
      </c>
      <c r="P25" s="77" t="e">
        <f t="shared" si="14"/>
        <v>#DIV/0!</v>
      </c>
      <c r="R25" s="78">
        <f t="shared" si="17"/>
        <v>0</v>
      </c>
      <c r="S25" s="78" t="e">
        <f t="shared" si="5"/>
        <v>#DIV/0!</v>
      </c>
      <c r="T25" s="79" t="e">
        <f t="shared" si="6"/>
        <v>#DIV/0!</v>
      </c>
      <c r="U25" s="7" t="e">
        <f t="shared" si="7"/>
        <v>#DIV/0!</v>
      </c>
      <c r="V25" s="90" t="e">
        <f t="shared" si="15"/>
        <v>#DIV/0!</v>
      </c>
      <c r="W25" s="207">
        <f t="shared" si="16"/>
        <v>7.8060465850108978</v>
      </c>
      <c r="X25" s="207" t="e">
        <f t="shared" si="8"/>
        <v>#DIV/0!</v>
      </c>
      <c r="Y25" s="207">
        <v>2.128921795912063</v>
      </c>
      <c r="Z25" s="207" t="e">
        <f t="shared" si="9"/>
        <v>#DIV/0!</v>
      </c>
      <c r="AA25" s="209">
        <v>44169.5625</v>
      </c>
      <c r="AB25" s="156"/>
      <c r="AC25" t="s">
        <v>299</v>
      </c>
    </row>
    <row r="26" spans="1:29">
      <c r="A26" s="29" t="s">
        <v>300</v>
      </c>
      <c r="B26" s="71">
        <f t="shared" si="10"/>
        <v>44172.479166666664</v>
      </c>
      <c r="C26" s="44">
        <v>1</v>
      </c>
      <c r="D26" s="80">
        <v>850.05</v>
      </c>
      <c r="E26" s="81">
        <v>153.16</v>
      </c>
      <c r="F26" s="72">
        <f t="shared" si="1"/>
        <v>8.6476496874602939E-3</v>
      </c>
      <c r="G26" s="72">
        <f t="shared" si="2"/>
        <v>8.6557210107580784E-3</v>
      </c>
      <c r="H26" s="96">
        <v>0.47916666666666669</v>
      </c>
      <c r="I26" s="73">
        <f>jar_information!M11</f>
        <v>44165.4375</v>
      </c>
      <c r="J26" s="74">
        <f t="shared" si="3"/>
        <v>7.0416666666642413</v>
      </c>
      <c r="K26" s="74">
        <f t="shared" si="4"/>
        <v>168.99999999994179</v>
      </c>
      <c r="L26" s="75">
        <f>jar_information!H11</f>
        <v>368.18572718286885</v>
      </c>
      <c r="M26" s="74">
        <f t="shared" si="11"/>
        <v>3.1839411886002766</v>
      </c>
      <c r="N26" s="74">
        <f t="shared" si="12"/>
        <v>5.8266123751385068</v>
      </c>
      <c r="O26" s="76">
        <f>N26*(12/(12+(16*2)))</f>
        <v>1.5890761023105018</v>
      </c>
      <c r="P26" s="77">
        <f>O26*(400/(400+L26))</f>
        <v>0.82744370069881157</v>
      </c>
      <c r="R26" s="78">
        <f t="shared" si="17"/>
        <v>0</v>
      </c>
      <c r="S26" s="78">
        <f t="shared" si="5"/>
        <v>0</v>
      </c>
      <c r="T26" s="79">
        <f>F26*1000000</f>
        <v>8647.6496874602944</v>
      </c>
      <c r="U26" s="7">
        <f>M26/L26*100</f>
        <v>0.86476496874602937</v>
      </c>
      <c r="V26" s="90">
        <f>O26/K26</f>
        <v>9.4028171734381605E-3</v>
      </c>
      <c r="W26" s="137">
        <f t="shared" si="16"/>
        <v>6.8280955876189529</v>
      </c>
      <c r="X26" s="137">
        <f t="shared" si="8"/>
        <v>1.001483212480446</v>
      </c>
      <c r="Y26" s="137">
        <v>1.8622078875324415</v>
      </c>
      <c r="Z26" s="137">
        <f t="shared" si="9"/>
        <v>1.2103278029336444</v>
      </c>
      <c r="AB26" s="156"/>
      <c r="AC26" t="s">
        <v>300</v>
      </c>
    </row>
    <row r="27" spans="1:29">
      <c r="A27" s="29" t="s">
        <v>301</v>
      </c>
      <c r="B27" s="71">
        <f t="shared" si="10"/>
        <v>44172.479166666664</v>
      </c>
      <c r="C27" s="44">
        <v>1</v>
      </c>
      <c r="D27" s="80">
        <v>366.02</v>
      </c>
      <c r="E27" s="81">
        <v>71.739999999999995</v>
      </c>
      <c r="F27" s="72">
        <f t="shared" si="1"/>
        <v>3.7359612771461449E-3</v>
      </c>
      <c r="G27" s="72">
        <f t="shared" si="2"/>
        <v>3.9070539840857952E-3</v>
      </c>
      <c r="H27" s="96">
        <v>0.47916666666666669</v>
      </c>
      <c r="I27" s="73">
        <f>jar_information!M12</f>
        <v>44165.4375</v>
      </c>
      <c r="J27" s="74">
        <f t="shared" si="3"/>
        <v>7.0416666666642413</v>
      </c>
      <c r="K27" s="74">
        <f t="shared" si="4"/>
        <v>168.99999999994179</v>
      </c>
      <c r="L27" s="75">
        <f>jar_information!H12</f>
        <v>374.31908006509644</v>
      </c>
      <c r="M27" s="74">
        <f t="shared" si="11"/>
        <v>1.3984415884201677</v>
      </c>
      <c r="N27" s="74">
        <f t="shared" si="12"/>
        <v>2.559148106808907</v>
      </c>
      <c r="O27" s="76">
        <f>N27*(12/(12+(16*2)))</f>
        <v>0.69794948367515641</v>
      </c>
      <c r="P27" s="77">
        <f>O27*(400/(400+L27))</f>
        <v>0.36054877202120877</v>
      </c>
      <c r="R27" s="78">
        <f t="shared" si="17"/>
        <v>0</v>
      </c>
      <c r="S27" s="78">
        <f t="shared" si="5"/>
        <v>0</v>
      </c>
      <c r="T27" s="79">
        <f>F27*1000000</f>
        <v>3735.9612771461448</v>
      </c>
      <c r="U27" s="7">
        <f>M27/L27*100</f>
        <v>0.37359612771461448</v>
      </c>
      <c r="V27" s="90">
        <f>O27/K27</f>
        <v>4.1298786016295665E-3</v>
      </c>
      <c r="W27" s="137">
        <f t="shared" si="16"/>
        <v>6.8280955876189529</v>
      </c>
      <c r="X27" s="137">
        <f t="shared" si="8"/>
        <v>4.2689474808100458</v>
      </c>
      <c r="Y27" s="137">
        <v>1.8622078875324415</v>
      </c>
      <c r="Z27" s="137">
        <f t="shared" si="9"/>
        <v>11.74629365818296</v>
      </c>
      <c r="AB27" s="156"/>
      <c r="AC27" t="s">
        <v>301</v>
      </c>
    </row>
    <row r="28" spans="1:29">
      <c r="A28" s="4" t="s">
        <v>302</v>
      </c>
      <c r="B28" s="71">
        <f t="shared" si="10"/>
        <v>44172.479166666664</v>
      </c>
      <c r="C28" s="44">
        <v>1</v>
      </c>
      <c r="D28" s="80">
        <v>642.6</v>
      </c>
      <c r="E28" s="81">
        <v>115.61</v>
      </c>
      <c r="F28" s="72">
        <f t="shared" si="1"/>
        <v>6.5425533902893126E-3</v>
      </c>
      <c r="G28" s="72">
        <f t="shared" si="2"/>
        <v>6.465688502141716E-3</v>
      </c>
      <c r="H28" s="96">
        <v>0.47916666666666669</v>
      </c>
      <c r="I28" s="73">
        <f>jar_information!M13</f>
        <v>44165.4375</v>
      </c>
      <c r="J28" s="74">
        <f t="shared" si="3"/>
        <v>7.0416666666642413</v>
      </c>
      <c r="K28" s="74">
        <f t="shared" si="4"/>
        <v>168.99999999994179</v>
      </c>
      <c r="L28" s="75">
        <f>jar_information!H13</f>
        <v>371.24882105804681</v>
      </c>
      <c r="M28" s="74">
        <f t="shared" si="11"/>
        <v>2.4289152328542345</v>
      </c>
      <c r="N28" s="74">
        <f t="shared" si="12"/>
        <v>4.4449148761232493</v>
      </c>
      <c r="O28" s="76">
        <f t="shared" si="13"/>
        <v>1.212249511669977</v>
      </c>
      <c r="P28" s="77">
        <f t="shared" si="14"/>
        <v>0.62872031882366475</v>
      </c>
      <c r="Q28">
        <v>176</v>
      </c>
      <c r="R28" s="78">
        <f t="shared" si="17"/>
        <v>0.55926278995869083</v>
      </c>
      <c r="S28" s="78">
        <f t="shared" si="5"/>
        <v>88.952555407318641</v>
      </c>
      <c r="T28" s="79">
        <f t="shared" si="6"/>
        <v>6542.553390289313</v>
      </c>
      <c r="U28" s="7">
        <f t="shared" si="7"/>
        <v>0.65425533902893129</v>
      </c>
      <c r="V28" s="90">
        <f t="shared" si="15"/>
        <v>7.1730740335526301E-3</v>
      </c>
      <c r="W28" s="207">
        <f t="shared" si="16"/>
        <v>3.8242757661929319</v>
      </c>
      <c r="X28" s="207" t="str">
        <f t="shared" si="8"/>
        <v>!</v>
      </c>
      <c r="Y28" s="207">
        <v>1.0429842998707997</v>
      </c>
      <c r="Z28" s="207" t="str">
        <f t="shared" si="9"/>
        <v>&lt;1</v>
      </c>
      <c r="AA28" s="209">
        <v>44172.541666666664</v>
      </c>
      <c r="AB28" s="156"/>
      <c r="AC28" s="208" t="s">
        <v>302</v>
      </c>
    </row>
    <row r="29" spans="1:29">
      <c r="A29" s="4" t="s">
        <v>303</v>
      </c>
      <c r="B29" s="71">
        <f t="shared" si="10"/>
        <v>44172.479166666664</v>
      </c>
      <c r="C29" s="44">
        <v>1</v>
      </c>
      <c r="D29" s="80">
        <v>590.12</v>
      </c>
      <c r="E29" s="81">
        <v>117.15</v>
      </c>
      <c r="F29" s="72">
        <f t="shared" si="1"/>
        <v>6.0100132424197872E-3</v>
      </c>
      <c r="G29" s="72">
        <f t="shared" si="2"/>
        <v>6.5555060803912293E-3</v>
      </c>
      <c r="H29" s="96">
        <v>0.47916666666666669</v>
      </c>
      <c r="I29" s="73">
        <f>jar_information!M14</f>
        <v>44165.4375</v>
      </c>
      <c r="J29" s="74">
        <f t="shared" si="3"/>
        <v>7.0416666666642413</v>
      </c>
      <c r="K29" s="74">
        <f t="shared" si="4"/>
        <v>168.99999999994179</v>
      </c>
      <c r="L29" s="75">
        <f>jar_information!H14</f>
        <v>368.18572718286885</v>
      </c>
      <c r="M29" s="74">
        <f t="shared" si="11"/>
        <v>2.2128010960390005</v>
      </c>
      <c r="N29" s="74">
        <f t="shared" si="12"/>
        <v>4.0494260057513713</v>
      </c>
      <c r="O29" s="76">
        <f t="shared" si="13"/>
        <v>1.1043889106594649</v>
      </c>
      <c r="P29" s="77">
        <f t="shared" si="14"/>
        <v>0.57506348872663282</v>
      </c>
      <c r="Q29">
        <v>178.6</v>
      </c>
      <c r="R29" s="78">
        <f t="shared" si="17"/>
        <v>0.56752462662853509</v>
      </c>
      <c r="S29" s="78">
        <f t="shared" si="5"/>
        <v>98.689038298224929</v>
      </c>
      <c r="T29" s="79">
        <f t="shared" si="6"/>
        <v>6010.0132424197873</v>
      </c>
      <c r="U29" s="7">
        <f t="shared" si="7"/>
        <v>0.60100132424197861</v>
      </c>
      <c r="V29" s="90">
        <f t="shared" si="15"/>
        <v>6.5348456252061846E-3</v>
      </c>
      <c r="W29" s="207">
        <f t="shared" si="16"/>
        <v>3.8242757661929319</v>
      </c>
      <c r="X29" s="207" t="str">
        <f t="shared" si="8"/>
        <v>!</v>
      </c>
      <c r="Y29" s="207">
        <v>1.0429842998707997</v>
      </c>
      <c r="Z29" s="207" t="str">
        <f t="shared" si="9"/>
        <v>&lt;1</v>
      </c>
      <c r="AA29" s="209">
        <v>44172.541666666664</v>
      </c>
      <c r="AB29" s="156"/>
      <c r="AC29" s="208" t="s">
        <v>303</v>
      </c>
    </row>
    <row r="30" spans="1:29">
      <c r="A30" s="4" t="s">
        <v>304</v>
      </c>
      <c r="B30" s="71">
        <f t="shared" si="10"/>
        <v>44172.479166666664</v>
      </c>
      <c r="C30" s="44">
        <v>0.4</v>
      </c>
      <c r="D30" s="80">
        <v>924.73</v>
      </c>
      <c r="E30" s="81">
        <v>169.69</v>
      </c>
      <c r="F30" s="72">
        <f t="shared" si="1"/>
        <v>2.3513660148666748E-2</v>
      </c>
      <c r="G30" s="72">
        <f t="shared" si="2"/>
        <v>2.4049504748428385E-2</v>
      </c>
      <c r="H30" s="96">
        <v>0.47916666666666669</v>
      </c>
      <c r="I30" s="73">
        <f>jar_information!M15</f>
        <v>44165.4375</v>
      </c>
      <c r="J30" s="74">
        <f t="shared" si="3"/>
        <v>7.0416666666642413</v>
      </c>
      <c r="K30" s="74">
        <f t="shared" si="4"/>
        <v>168.99999999994179</v>
      </c>
      <c r="L30" s="75">
        <f>jar_information!H15</f>
        <v>368.18572718286885</v>
      </c>
      <c r="M30" s="74">
        <f t="shared" si="11"/>
        <v>8.6573940605677109</v>
      </c>
      <c r="N30" s="74">
        <f t="shared" si="12"/>
        <v>15.843031130838911</v>
      </c>
      <c r="O30" s="76">
        <f t="shared" si="13"/>
        <v>4.3208266720469757</v>
      </c>
      <c r="P30" s="77">
        <f t="shared" si="14"/>
        <v>2.2498864632085986</v>
      </c>
      <c r="Q30">
        <v>625.1</v>
      </c>
      <c r="R30" s="78">
        <f t="shared" si="17"/>
        <v>1.9863361931998731</v>
      </c>
      <c r="S30" s="78">
        <f t="shared" si="5"/>
        <v>88.286063571720305</v>
      </c>
      <c r="T30" s="79">
        <f t="shared" si="6"/>
        <v>23513.66014866675</v>
      </c>
      <c r="U30" s="7">
        <f t="shared" si="7"/>
        <v>2.3513660148666746</v>
      </c>
      <c r="V30" s="90">
        <f t="shared" si="15"/>
        <v>2.5567021728097418E-2</v>
      </c>
      <c r="W30" s="207">
        <f t="shared" si="16"/>
        <v>13.11505575573193</v>
      </c>
      <c r="X30" s="207" t="str">
        <f t="shared" si="8"/>
        <v>!</v>
      </c>
      <c r="Y30" s="207">
        <v>3.5768333879268903</v>
      </c>
      <c r="Z30" s="207" t="str">
        <f t="shared" si="9"/>
        <v>&lt;1</v>
      </c>
      <c r="AA30" s="209">
        <v>44172.541666666664</v>
      </c>
      <c r="AB30" s="156"/>
      <c r="AC30" s="208" t="s">
        <v>304</v>
      </c>
    </row>
    <row r="31" spans="1:29">
      <c r="A31" s="4" t="s">
        <v>305</v>
      </c>
      <c r="B31" s="71">
        <f t="shared" si="10"/>
        <v>44172.479166666664</v>
      </c>
      <c r="C31" s="44">
        <v>0.4</v>
      </c>
      <c r="D31" s="80">
        <v>435.82</v>
      </c>
      <c r="E31" s="81">
        <v>87.43</v>
      </c>
      <c r="F31" s="72">
        <f t="shared" si="1"/>
        <v>1.111063977448183E-2</v>
      </c>
      <c r="G31" s="72">
        <f t="shared" si="2"/>
        <v>1.2055358665952885E-2</v>
      </c>
      <c r="H31" s="96">
        <v>0.47916666666666669</v>
      </c>
      <c r="I31" s="73">
        <f>jar_information!M16</f>
        <v>44165.4375</v>
      </c>
      <c r="J31" s="74">
        <f t="shared" si="3"/>
        <v>7.0416666666642413</v>
      </c>
      <c r="K31" s="74">
        <f t="shared" si="4"/>
        <v>168.99999999994179</v>
      </c>
      <c r="L31" s="75">
        <f>jar_information!H16</f>
        <v>377.39652937427036</v>
      </c>
      <c r="M31" s="74">
        <f t="shared" si="11"/>
        <v>4.1931168900171683</v>
      </c>
      <c r="N31" s="74">
        <f t="shared" si="12"/>
        <v>7.6734039087314185</v>
      </c>
      <c r="O31" s="76">
        <f t="shared" si="13"/>
        <v>2.0927465205631139</v>
      </c>
      <c r="P31" s="77">
        <f t="shared" si="14"/>
        <v>1.0767974599771235</v>
      </c>
      <c r="R31" s="78">
        <f t="shared" si="17"/>
        <v>0</v>
      </c>
      <c r="S31" s="78">
        <f t="shared" si="5"/>
        <v>0</v>
      </c>
      <c r="T31" s="79">
        <f t="shared" si="6"/>
        <v>11110.63977448183</v>
      </c>
      <c r="U31" s="7">
        <f t="shared" si="7"/>
        <v>1.111063977448183</v>
      </c>
      <c r="V31" s="90">
        <f t="shared" si="15"/>
        <v>1.2383115506294879E-2</v>
      </c>
      <c r="W31" s="137">
        <f t="shared" si="16"/>
        <v>13.11505575573193</v>
      </c>
      <c r="X31" s="137">
        <f t="shared" si="8"/>
        <v>5.4416518470005117</v>
      </c>
      <c r="Y31" s="137">
        <v>3.5768333879268903</v>
      </c>
      <c r="Z31" s="137">
        <f t="shared" si="9"/>
        <v>4.9936506507905545</v>
      </c>
      <c r="AB31" s="156"/>
      <c r="AC31" t="s">
        <v>305</v>
      </c>
    </row>
    <row r="32" spans="1:29">
      <c r="A32" s="4" t="s">
        <v>306</v>
      </c>
      <c r="B32" s="71">
        <f t="shared" si="10"/>
        <v>44172.479166666664</v>
      </c>
      <c r="C32" s="44"/>
      <c r="D32" s="80"/>
      <c r="E32" s="81"/>
      <c r="F32" s="72" t="e">
        <f t="shared" si="1"/>
        <v>#DIV/0!</v>
      </c>
      <c r="G32" s="72" t="e">
        <f t="shared" si="2"/>
        <v>#DIV/0!</v>
      </c>
      <c r="H32" s="96">
        <v>0.47916666666666669</v>
      </c>
      <c r="I32" s="73">
        <f>jar_information!M17</f>
        <v>44165.4375</v>
      </c>
      <c r="J32" s="74">
        <f t="shared" si="3"/>
        <v>7.0416666666642413</v>
      </c>
      <c r="K32" s="74">
        <f t="shared" si="4"/>
        <v>168.99999999994179</v>
      </c>
      <c r="L32" s="75">
        <f>jar_information!H17</f>
        <v>371.24882105804681</v>
      </c>
      <c r="M32" s="74" t="e">
        <f t="shared" si="11"/>
        <v>#DIV/0!</v>
      </c>
      <c r="N32" s="74" t="e">
        <f t="shared" si="12"/>
        <v>#DIV/0!</v>
      </c>
      <c r="O32" s="76" t="e">
        <f t="shared" si="13"/>
        <v>#DIV/0!</v>
      </c>
      <c r="P32" s="77" t="e">
        <f t="shared" si="14"/>
        <v>#DIV/0!</v>
      </c>
      <c r="R32" s="78">
        <f t="shared" si="17"/>
        <v>0</v>
      </c>
      <c r="S32" s="78" t="e">
        <f t="shared" si="5"/>
        <v>#DIV/0!</v>
      </c>
      <c r="T32" s="79" t="e">
        <f t="shared" si="6"/>
        <v>#DIV/0!</v>
      </c>
      <c r="U32" s="7" t="e">
        <f t="shared" si="7"/>
        <v>#DIV/0!</v>
      </c>
      <c r="V32" s="90" t="e">
        <f t="shared" si="15"/>
        <v>#DIV/0!</v>
      </c>
      <c r="W32" s="207">
        <f t="shared" si="16"/>
        <v>4.5824768522907515</v>
      </c>
      <c r="X32" s="207" t="e">
        <f t="shared" si="8"/>
        <v>#DIV/0!</v>
      </c>
      <c r="Y32" s="207">
        <v>1.249766414261114</v>
      </c>
      <c r="Z32" s="207" t="e">
        <f t="shared" si="9"/>
        <v>#DIV/0!</v>
      </c>
      <c r="AA32" s="209">
        <v>44169.5625</v>
      </c>
      <c r="AB32" s="156"/>
      <c r="AC32" t="s">
        <v>306</v>
      </c>
    </row>
    <row r="33" spans="1:29">
      <c r="A33" s="4" t="s">
        <v>307</v>
      </c>
      <c r="B33" s="71">
        <f t="shared" si="10"/>
        <v>44172.479166666664</v>
      </c>
      <c r="C33" s="44"/>
      <c r="D33" s="80"/>
      <c r="E33" s="81"/>
      <c r="F33" s="72" t="e">
        <f t="shared" si="1"/>
        <v>#DIV/0!</v>
      </c>
      <c r="G33" s="72" t="e">
        <f t="shared" si="2"/>
        <v>#DIV/0!</v>
      </c>
      <c r="H33" s="96">
        <v>0.47916666666666669</v>
      </c>
      <c r="I33" s="73">
        <f>jar_information!M18</f>
        <v>44165.4375</v>
      </c>
      <c r="J33" s="74">
        <f t="shared" si="3"/>
        <v>7.0416666666642413</v>
      </c>
      <c r="K33" s="74">
        <f t="shared" si="4"/>
        <v>168.99999999994179</v>
      </c>
      <c r="L33" s="75">
        <f>jar_information!H18</f>
        <v>368.18572718286885</v>
      </c>
      <c r="M33" s="74" t="e">
        <f t="shared" si="11"/>
        <v>#DIV/0!</v>
      </c>
      <c r="N33" s="74" t="e">
        <f t="shared" si="12"/>
        <v>#DIV/0!</v>
      </c>
      <c r="O33" s="76" t="e">
        <f t="shared" si="13"/>
        <v>#DIV/0!</v>
      </c>
      <c r="P33" s="77" t="e">
        <f t="shared" si="14"/>
        <v>#DIV/0!</v>
      </c>
      <c r="R33" s="78">
        <f t="shared" si="17"/>
        <v>0</v>
      </c>
      <c r="S33" s="78" t="e">
        <f t="shared" si="5"/>
        <v>#DIV/0!</v>
      </c>
      <c r="T33" s="79" t="e">
        <f t="shared" si="6"/>
        <v>#DIV/0!</v>
      </c>
      <c r="U33" s="7" t="e">
        <f t="shared" si="7"/>
        <v>#DIV/0!</v>
      </c>
      <c r="V33" s="90" t="e">
        <f t="shared" si="15"/>
        <v>#DIV/0!</v>
      </c>
      <c r="W33" s="207">
        <f t="shared" si="16"/>
        <v>4.5824768522907515</v>
      </c>
      <c r="X33" s="207" t="e">
        <f t="shared" si="8"/>
        <v>#DIV/0!</v>
      </c>
      <c r="Y33" s="207">
        <v>1.249766414261114</v>
      </c>
      <c r="Z33" s="207" t="e">
        <f t="shared" si="9"/>
        <v>#DIV/0!</v>
      </c>
      <c r="AA33" s="209">
        <v>44169.5625</v>
      </c>
      <c r="AB33" s="156"/>
      <c r="AC33" t="s">
        <v>307</v>
      </c>
    </row>
    <row r="34" spans="1:29">
      <c r="A34" s="4" t="s">
        <v>308</v>
      </c>
      <c r="B34" s="71">
        <f t="shared" si="10"/>
        <v>44172.479166666664</v>
      </c>
      <c r="C34" s="44">
        <v>0.4</v>
      </c>
      <c r="D34" s="80">
        <v>455.8</v>
      </c>
      <c r="E34" s="81">
        <v>85.484999999999999</v>
      </c>
      <c r="F34" s="72">
        <f t="shared" si="1"/>
        <v>1.161750677878981E-2</v>
      </c>
      <c r="G34" s="72">
        <f t="shared" si="2"/>
        <v>1.1771762578785188E-2</v>
      </c>
      <c r="H34" s="96">
        <v>0.47916666666666669</v>
      </c>
      <c r="I34" s="73">
        <f>jar_information!M19</f>
        <v>44165.4375</v>
      </c>
      <c r="J34" s="74">
        <f t="shared" si="3"/>
        <v>7.0416666666642413</v>
      </c>
      <c r="K34" s="74">
        <f t="shared" si="4"/>
        <v>168.99999999994179</v>
      </c>
      <c r="L34" s="75">
        <f>jar_information!H19</f>
        <v>374.31908006509644</v>
      </c>
      <c r="M34" s="74">
        <f t="shared" si="11"/>
        <v>4.3486544500866238</v>
      </c>
      <c r="N34" s="74">
        <f t="shared" si="12"/>
        <v>7.9580376436585221</v>
      </c>
      <c r="O34" s="76">
        <f t="shared" si="13"/>
        <v>2.1703739028159603</v>
      </c>
      <c r="P34" s="77">
        <f t="shared" si="14"/>
        <v>1.1211780562780391</v>
      </c>
      <c r="R34" s="78">
        <f t="shared" si="17"/>
        <v>0</v>
      </c>
      <c r="S34" s="78">
        <f t="shared" si="5"/>
        <v>0</v>
      </c>
      <c r="T34" s="79">
        <f t="shared" si="6"/>
        <v>11617.50677878981</v>
      </c>
      <c r="U34" s="7">
        <f t="shared" si="7"/>
        <v>1.161750677878981</v>
      </c>
      <c r="V34" s="90">
        <f t="shared" si="15"/>
        <v>1.2842449129092945E-2</v>
      </c>
      <c r="W34" s="137">
        <f t="shared" si="16"/>
        <v>12.14735031673621</v>
      </c>
      <c r="X34" s="137">
        <f t="shared" si="8"/>
        <v>4.189312673077688</v>
      </c>
      <c r="Y34" s="137">
        <v>3.3129137227462393</v>
      </c>
      <c r="Z34" s="137">
        <f t="shared" si="9"/>
        <v>3.7069117698573013</v>
      </c>
      <c r="AB34" s="156"/>
      <c r="AC34" t="s">
        <v>308</v>
      </c>
    </row>
    <row r="35" spans="1:29">
      <c r="A35" s="4" t="s">
        <v>309</v>
      </c>
      <c r="B35" s="71">
        <f t="shared" si="10"/>
        <v>44172.479166666664</v>
      </c>
      <c r="C35" s="44">
        <v>0.4</v>
      </c>
      <c r="D35" s="80">
        <v>785.04</v>
      </c>
      <c r="E35" s="81">
        <v>142.72999999999999</v>
      </c>
      <c r="F35" s="72">
        <f t="shared" si="1"/>
        <v>1.9969903800729726E-2</v>
      </c>
      <c r="G35" s="72">
        <f t="shared" si="2"/>
        <v>2.0118527622443219E-2</v>
      </c>
      <c r="H35" s="96">
        <v>0.47916666666666669</v>
      </c>
      <c r="I35" s="73">
        <f>jar_information!M20</f>
        <v>44165.4375</v>
      </c>
      <c r="J35" s="74">
        <f t="shared" si="3"/>
        <v>7.0416666666642413</v>
      </c>
      <c r="K35" s="74">
        <f t="shared" si="4"/>
        <v>168.99999999994179</v>
      </c>
      <c r="L35" s="75">
        <f>jar_information!H20</f>
        <v>368.18572718286885</v>
      </c>
      <c r="M35" s="74">
        <f t="shared" si="11"/>
        <v>7.3526335526436108</v>
      </c>
      <c r="N35" s="74">
        <f t="shared" si="12"/>
        <v>13.455319401337809</v>
      </c>
      <c r="O35" s="76">
        <f t="shared" si="13"/>
        <v>3.6696325640012204</v>
      </c>
      <c r="P35" s="77">
        <f t="shared" si="14"/>
        <v>1.9108048661402184</v>
      </c>
      <c r="Q35">
        <v>554.79999999999995</v>
      </c>
      <c r="R35" s="78">
        <f t="shared" si="17"/>
        <v>1.7629488401652367</v>
      </c>
      <c r="S35" s="78">
        <f t="shared" si="5"/>
        <v>92.262107523640154</v>
      </c>
      <c r="T35" s="79">
        <f t="shared" si="6"/>
        <v>19969.903800729728</v>
      </c>
      <c r="U35" s="7">
        <f t="shared" si="7"/>
        <v>1.9969903800729727</v>
      </c>
      <c r="V35" s="90">
        <f t="shared" si="15"/>
        <v>2.1713802153860855E-2</v>
      </c>
      <c r="W35" s="207">
        <f t="shared" si="16"/>
        <v>12.14735031673621</v>
      </c>
      <c r="X35" s="207" t="str">
        <f t="shared" si="8"/>
        <v>!</v>
      </c>
      <c r="Y35" s="207">
        <v>3.3129137227462393</v>
      </c>
      <c r="Z35" s="207" t="str">
        <f t="shared" si="9"/>
        <v>&lt;1</v>
      </c>
      <c r="AA35" s="209">
        <v>44172.541666666664</v>
      </c>
      <c r="AB35" s="156"/>
      <c r="AC35" s="208" t="s">
        <v>309</v>
      </c>
    </row>
    <row r="36" spans="1:29">
      <c r="A36" s="4" t="s">
        <v>310</v>
      </c>
      <c r="B36" s="71">
        <f t="shared" si="10"/>
        <v>44172.479166666664</v>
      </c>
      <c r="C36" s="44">
        <v>1</v>
      </c>
      <c r="D36" s="80">
        <v>592.98</v>
      </c>
      <c r="E36" s="81">
        <v>112.46</v>
      </c>
      <c r="F36" s="72">
        <f t="shared" si="1"/>
        <v>6.039035056880665E-3</v>
      </c>
      <c r="G36" s="72">
        <f t="shared" si="2"/>
        <v>6.2819707284495303E-3</v>
      </c>
      <c r="H36" s="96">
        <v>0.47916666666666669</v>
      </c>
      <c r="I36" s="73">
        <f>jar_information!M21</f>
        <v>44165.4375</v>
      </c>
      <c r="J36" s="74">
        <f t="shared" si="3"/>
        <v>7.0416666666642413</v>
      </c>
      <c r="K36" s="74">
        <f t="shared" si="4"/>
        <v>168.99999999994179</v>
      </c>
      <c r="L36" s="75">
        <f>jar_information!H21</f>
        <v>380.48119427385262</v>
      </c>
      <c r="M36" s="74">
        <f t="shared" si="11"/>
        <v>2.2977392707036191</v>
      </c>
      <c r="N36" s="74">
        <f t="shared" si="12"/>
        <v>4.2048628653876232</v>
      </c>
      <c r="O36" s="76">
        <f t="shared" si="13"/>
        <v>1.1467807814693518</v>
      </c>
      <c r="P36" s="77">
        <f t="shared" si="14"/>
        <v>0.58773012848121142</v>
      </c>
      <c r="R36" s="78">
        <f t="shared" si="17"/>
        <v>0</v>
      </c>
      <c r="S36" s="78">
        <f t="shared" si="5"/>
        <v>0</v>
      </c>
      <c r="T36" s="79">
        <f t="shared" si="6"/>
        <v>6039.0350568806653</v>
      </c>
      <c r="U36" s="7">
        <f t="shared" si="7"/>
        <v>0.6039035056880665</v>
      </c>
      <c r="V36" s="90">
        <f t="shared" si="15"/>
        <v>6.7856850974541234E-3</v>
      </c>
      <c r="W36" s="137">
        <f t="shared" si="16"/>
        <v>4.7370562835765471</v>
      </c>
      <c r="X36" s="137">
        <f t="shared" si="8"/>
        <v>0.53219341818892385</v>
      </c>
      <c r="Y36" s="137">
        <v>1.2919244409754218</v>
      </c>
      <c r="Z36" s="137" t="str">
        <f t="shared" si="9"/>
        <v>&lt;1</v>
      </c>
      <c r="AB36" s="156"/>
      <c r="AC36" t="s">
        <v>310</v>
      </c>
    </row>
    <row r="37" spans="1:29">
      <c r="A37" s="4" t="s">
        <v>311</v>
      </c>
      <c r="B37" s="71">
        <f t="shared" si="10"/>
        <v>44172.479166666664</v>
      </c>
      <c r="C37" s="44"/>
      <c r="D37" s="80"/>
      <c r="E37" s="81"/>
      <c r="F37" s="72" t="e">
        <f t="shared" si="1"/>
        <v>#DIV/0!</v>
      </c>
      <c r="G37" s="72" t="e">
        <f t="shared" si="2"/>
        <v>#DIV/0!</v>
      </c>
      <c r="H37" s="96">
        <v>0.47916666666666669</v>
      </c>
      <c r="I37" s="73">
        <f>jar_information!M22</f>
        <v>44165.4375</v>
      </c>
      <c r="J37" s="74">
        <f t="shared" si="3"/>
        <v>7.0416666666642413</v>
      </c>
      <c r="K37" s="74">
        <f t="shared" si="4"/>
        <v>168.99999999994179</v>
      </c>
      <c r="L37" s="75">
        <f>jar_information!H22</f>
        <v>368.18572718286885</v>
      </c>
      <c r="M37" s="74" t="e">
        <f t="shared" si="11"/>
        <v>#DIV/0!</v>
      </c>
      <c r="N37" s="74" t="e">
        <f t="shared" si="12"/>
        <v>#DIV/0!</v>
      </c>
      <c r="O37" s="76" t="e">
        <f t="shared" si="13"/>
        <v>#DIV/0!</v>
      </c>
      <c r="P37" s="77" t="e">
        <f t="shared" si="14"/>
        <v>#DIV/0!</v>
      </c>
      <c r="R37" s="78">
        <f t="shared" si="17"/>
        <v>0</v>
      </c>
      <c r="S37" s="78" t="e">
        <f t="shared" si="5"/>
        <v>#DIV/0!</v>
      </c>
      <c r="T37" s="79" t="e">
        <f t="shared" si="6"/>
        <v>#DIV/0!</v>
      </c>
      <c r="U37" s="7" t="e">
        <f t="shared" si="7"/>
        <v>#DIV/0!</v>
      </c>
      <c r="V37" s="90" t="e">
        <f t="shared" si="15"/>
        <v>#DIV/0!</v>
      </c>
      <c r="W37" s="207">
        <f t="shared" si="16"/>
        <v>4.7370562835765471</v>
      </c>
      <c r="X37" s="207" t="e">
        <f t="shared" si="8"/>
        <v>#DIV/0!</v>
      </c>
      <c r="Y37" s="207">
        <v>1.2919244409754218</v>
      </c>
      <c r="Z37" s="207" t="e">
        <f t="shared" si="9"/>
        <v>#DIV/0!</v>
      </c>
      <c r="AA37" s="209">
        <v>44169.5625</v>
      </c>
      <c r="AB37" s="156"/>
      <c r="AC37" t="s">
        <v>311</v>
      </c>
    </row>
    <row r="38" spans="1:29">
      <c r="A38" t="s">
        <v>312</v>
      </c>
      <c r="B38" s="71">
        <f t="shared" si="10"/>
        <v>44172.479166666664</v>
      </c>
      <c r="C38" s="44">
        <v>1</v>
      </c>
      <c r="D38" s="80">
        <v>189.97</v>
      </c>
      <c r="E38" s="81">
        <v>40.119</v>
      </c>
      <c r="F38" s="72">
        <f t="shared" si="1"/>
        <v>1.94949608979039E-3</v>
      </c>
      <c r="G38" s="72">
        <f t="shared" si="2"/>
        <v>2.0628191517300569E-3</v>
      </c>
      <c r="H38" s="96">
        <v>0.47916666666666669</v>
      </c>
      <c r="I38" s="73">
        <f>jar_information!M23</f>
        <v>44165.4375</v>
      </c>
      <c r="J38" s="74">
        <f t="shared" si="3"/>
        <v>7.0416666666642413</v>
      </c>
      <c r="K38" s="74">
        <f t="shared" si="4"/>
        <v>168.99999999994179</v>
      </c>
      <c r="L38" s="75">
        <f>jar_information!H23</f>
        <v>389.7787371829466</v>
      </c>
      <c r="M38" s="74">
        <f t="shared" si="11"/>
        <v>0.75987212402159043</v>
      </c>
      <c r="N38" s="74">
        <f t="shared" si="12"/>
        <v>1.3905659869595106</v>
      </c>
      <c r="O38" s="76">
        <f t="shared" si="13"/>
        <v>0.37924526917077561</v>
      </c>
      <c r="P38" s="77">
        <f t="shared" si="14"/>
        <v>0.19207671785315544</v>
      </c>
      <c r="R38" s="78">
        <f t="shared" si="17"/>
        <v>0</v>
      </c>
      <c r="S38" s="78">
        <f t="shared" si="5"/>
        <v>0</v>
      </c>
      <c r="T38" s="79">
        <f t="shared" si="6"/>
        <v>1949.49608979039</v>
      </c>
      <c r="U38" s="7">
        <f t="shared" si="7"/>
        <v>0.19494960897903899</v>
      </c>
      <c r="V38" s="90">
        <f t="shared" si="15"/>
        <v>2.2440548471651255E-3</v>
      </c>
      <c r="W38" s="137">
        <f t="shared" si="16"/>
        <v>4.0044384396609969</v>
      </c>
      <c r="X38" s="137">
        <f t="shared" si="8"/>
        <v>2.6138724527014863</v>
      </c>
      <c r="Y38" s="137">
        <v>1.0921195744529992</v>
      </c>
      <c r="Z38" s="137">
        <f t="shared" si="9"/>
        <v>13.23635030175371</v>
      </c>
      <c r="AB38" s="156"/>
      <c r="AC38" t="s">
        <v>312</v>
      </c>
    </row>
    <row r="39" spans="1:29">
      <c r="A39" t="s">
        <v>313</v>
      </c>
      <c r="B39" s="71">
        <f t="shared" si="10"/>
        <v>44172.479166666664</v>
      </c>
      <c r="C39" s="44">
        <v>1</v>
      </c>
      <c r="D39" s="80">
        <v>300.18</v>
      </c>
      <c r="E39" s="81">
        <v>57.11</v>
      </c>
      <c r="F39" s="72">
        <f t="shared" si="1"/>
        <v>3.0678506952915418E-3</v>
      </c>
      <c r="G39" s="72">
        <f t="shared" si="2"/>
        <v>3.0537869907154261E-3</v>
      </c>
      <c r="H39" s="96">
        <v>0.47916666666666669</v>
      </c>
      <c r="I39" s="73">
        <f>jar_information!M24</f>
        <v>44165.4375</v>
      </c>
      <c r="J39" s="74">
        <f t="shared" si="3"/>
        <v>7.0416666666642413</v>
      </c>
      <c r="K39" s="74">
        <f t="shared" si="4"/>
        <v>168.99999999994179</v>
      </c>
      <c r="L39" s="75">
        <f>jar_information!H24</f>
        <v>380.48119427385262</v>
      </c>
      <c r="M39" s="74">
        <f t="shared" si="11"/>
        <v>1.1672594963983949</v>
      </c>
      <c r="N39" s="74">
        <f t="shared" si="12"/>
        <v>2.1360848784090627</v>
      </c>
      <c r="O39" s="76">
        <f t="shared" si="13"/>
        <v>0.58256860320247161</v>
      </c>
      <c r="P39" s="77">
        <f t="shared" si="14"/>
        <v>0.298568937971393</v>
      </c>
      <c r="R39" s="78">
        <f t="shared" si="17"/>
        <v>0</v>
      </c>
      <c r="S39" s="78">
        <f t="shared" si="5"/>
        <v>0</v>
      </c>
      <c r="T39" s="79">
        <f t="shared" si="6"/>
        <v>3067.8506952915418</v>
      </c>
      <c r="U39" s="7">
        <f t="shared" si="7"/>
        <v>0.30678506952915419</v>
      </c>
      <c r="V39" s="90">
        <f t="shared" si="15"/>
        <v>3.4471514982406643E-3</v>
      </c>
      <c r="W39" s="137">
        <f t="shared" si="16"/>
        <v>4.0044384396609969</v>
      </c>
      <c r="X39" s="137">
        <f t="shared" si="8"/>
        <v>1.8683535612519342</v>
      </c>
      <c r="Y39" s="137">
        <v>1.0921195744529992</v>
      </c>
      <c r="Z39" s="137">
        <f t="shared" si="9"/>
        <v>6.1590825003217518</v>
      </c>
      <c r="AB39" s="156"/>
      <c r="AC39" t="s">
        <v>313</v>
      </c>
    </row>
    <row r="40" spans="1:29">
      <c r="J40" s="29"/>
      <c r="M40" s="74"/>
      <c r="N40" s="74"/>
      <c r="O40" s="76"/>
    </row>
    <row r="41" spans="1:29">
      <c r="J41" s="29"/>
      <c r="M41" s="74"/>
    </row>
    <row r="42" spans="1:29">
      <c r="J42" s="29"/>
      <c r="M42" s="74"/>
    </row>
    <row r="43" spans="1:29">
      <c r="J43" s="29"/>
      <c r="M43" s="74"/>
    </row>
    <row r="44" spans="1:29">
      <c r="J44" s="29"/>
      <c r="M44" s="74"/>
    </row>
    <row r="45" spans="1:29">
      <c r="J45" s="29"/>
      <c r="M45" s="74"/>
    </row>
    <row r="46" spans="1:29">
      <c r="J46" s="29"/>
      <c r="M46" s="74"/>
    </row>
    <row r="47" spans="1:29">
      <c r="J47" s="29"/>
      <c r="M47" s="74"/>
    </row>
    <row r="48" spans="1:29">
      <c r="J48" s="29"/>
      <c r="M48" s="74"/>
    </row>
    <row r="49" spans="10:13">
      <c r="J49" s="29"/>
      <c r="M49" s="74"/>
    </row>
    <row r="50" spans="10:13">
      <c r="M50" s="74"/>
    </row>
    <row r="51" spans="10:13">
      <c r="M51" s="74"/>
    </row>
    <row r="52" spans="10:13">
      <c r="M52" s="74"/>
    </row>
    <row r="53" spans="10:13">
      <c r="M53" s="74"/>
    </row>
    <row r="54" spans="10:13">
      <c r="M54" s="74"/>
    </row>
    <row r="55" spans="10:13">
      <c r="M55" s="74"/>
    </row>
    <row r="56" spans="10:13">
      <c r="M56" s="74"/>
    </row>
    <row r="57" spans="10:13">
      <c r="M57" s="74"/>
    </row>
    <row r="58" spans="10:13">
      <c r="M58" s="74"/>
    </row>
    <row r="59" spans="10:13">
      <c r="M59" s="74"/>
    </row>
    <row r="60" spans="10:13">
      <c r="M60" s="74"/>
    </row>
    <row r="61" spans="10:13">
      <c r="M61" s="74"/>
    </row>
    <row r="62" spans="10:13">
      <c r="M62" s="74"/>
    </row>
    <row r="63" spans="10:13">
      <c r="M63" s="74"/>
    </row>
  </sheetData>
  <conditionalFormatting sqref="O18:O40">
    <cfRule type="cellIs" dxfId="9" priority="2" operator="greaterThan">
      <formula>4</formula>
    </cfRule>
    <cfRule type="cellIs" dxfId="8" priority="3" operator="between">
      <formula>2</formula>
      <formula>3.9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4" sqref="A4"/>
    </sheetView>
  </sheetViews>
  <sheetFormatPr baseColWidth="10" defaultRowHeight="14" x14ac:dyDescent="0"/>
  <cols>
    <col min="1" max="1" width="31.1640625" bestFit="1" customWidth="1"/>
    <col min="2" max="2" width="7" customWidth="1"/>
    <col min="3" max="3" width="8.33203125" customWidth="1"/>
  </cols>
  <sheetData>
    <row r="1" spans="1:6" ht="15">
      <c r="A1" s="82" t="s">
        <v>98</v>
      </c>
      <c r="B1" s="82"/>
    </row>
    <row r="2" spans="1:6" ht="30">
      <c r="A2" s="136" t="s">
        <v>314</v>
      </c>
      <c r="B2" s="83" t="s">
        <v>99</v>
      </c>
      <c r="C2" s="83" t="s">
        <v>76</v>
      </c>
      <c r="D2" s="85" t="s">
        <v>100</v>
      </c>
      <c r="E2" s="85" t="s">
        <v>101</v>
      </c>
      <c r="F2" s="83"/>
    </row>
    <row r="3" spans="1:6" ht="15">
      <c r="A3" s="83"/>
      <c r="B3" s="1"/>
      <c r="C3" s="86" t="s">
        <v>102</v>
      </c>
      <c r="D3" s="1"/>
      <c r="E3" s="1"/>
      <c r="F3" s="86"/>
    </row>
    <row r="4" spans="1:6" ht="15">
      <c r="A4" s="83"/>
      <c r="B4" s="1"/>
      <c r="C4" s="86" t="s">
        <v>103</v>
      </c>
      <c r="D4" s="1"/>
      <c r="E4" s="1"/>
      <c r="F4" s="86"/>
    </row>
    <row r="5" spans="1:6" ht="15">
      <c r="A5" s="83"/>
      <c r="B5" s="1"/>
      <c r="C5" s="86" t="s">
        <v>104</v>
      </c>
      <c r="D5" s="1"/>
      <c r="E5" s="1"/>
      <c r="F5" s="86"/>
    </row>
    <row r="6" spans="1:6" ht="15">
      <c r="A6" s="83"/>
      <c r="B6" s="1"/>
      <c r="C6" s="86" t="s">
        <v>105</v>
      </c>
      <c r="D6" s="1"/>
      <c r="E6" s="1"/>
      <c r="F6" s="86"/>
    </row>
    <row r="7" spans="1:6" ht="15">
      <c r="A7" s="83"/>
      <c r="B7" s="1"/>
      <c r="C7" s="86" t="s">
        <v>106</v>
      </c>
      <c r="D7" s="1"/>
      <c r="E7" s="1"/>
      <c r="F7" s="86"/>
    </row>
    <row r="8" spans="1:6" ht="15">
      <c r="A8" s="83"/>
      <c r="B8" s="1"/>
      <c r="C8" s="86" t="s">
        <v>107</v>
      </c>
      <c r="D8" s="1"/>
      <c r="E8" s="1"/>
      <c r="F8" s="86"/>
    </row>
    <row r="9" spans="1:6" ht="15">
      <c r="A9" s="83"/>
      <c r="B9" s="1"/>
      <c r="C9" s="86" t="s">
        <v>108</v>
      </c>
      <c r="D9" s="1"/>
      <c r="E9" s="1"/>
      <c r="F9" s="86"/>
    </row>
    <row r="10" spans="1:6" ht="15">
      <c r="A10" s="83"/>
      <c r="B10" s="1"/>
      <c r="C10" s="86" t="s">
        <v>109</v>
      </c>
      <c r="D10" s="1"/>
      <c r="E10" s="1"/>
      <c r="F10" s="86"/>
    </row>
    <row r="11" spans="1:6" ht="15">
      <c r="A11" s="83"/>
      <c r="B11" s="1"/>
      <c r="C11" s="86" t="s">
        <v>110</v>
      </c>
      <c r="D11" s="1"/>
      <c r="E11" s="1"/>
      <c r="F11" s="86"/>
    </row>
    <row r="12" spans="1:6" ht="15">
      <c r="A12" s="83"/>
      <c r="B12" s="1"/>
      <c r="C12" s="86" t="s">
        <v>111</v>
      </c>
      <c r="D12" s="1"/>
      <c r="E12" s="1"/>
      <c r="F12" s="86"/>
    </row>
    <row r="13" spans="1:6" ht="15">
      <c r="A13" s="83"/>
      <c r="B13" s="1"/>
      <c r="C13" s="86">
        <v>0.2</v>
      </c>
      <c r="D13" s="1"/>
      <c r="E13" s="1"/>
      <c r="F13" s="86"/>
    </row>
    <row r="14" spans="1:6" ht="15">
      <c r="A14" s="87"/>
      <c r="B14" s="87"/>
      <c r="C14" s="86">
        <v>0.1</v>
      </c>
      <c r="D14" s="84"/>
      <c r="E14" s="87"/>
      <c r="F14" s="87"/>
    </row>
    <row r="15" spans="1:6">
      <c r="A15" s="89"/>
      <c r="B15" s="99"/>
      <c r="C15" s="2"/>
      <c r="D15" s="1"/>
      <c r="E15" s="88"/>
      <c r="F15" s="88"/>
    </row>
    <row r="16" spans="1:6">
      <c r="A16" s="95" t="s">
        <v>292</v>
      </c>
      <c r="B16" s="99"/>
      <c r="C16" s="139">
        <v>0.4</v>
      </c>
      <c r="D16" s="1"/>
      <c r="E16" s="88"/>
      <c r="F16" s="124"/>
    </row>
    <row r="17" spans="1:6">
      <c r="A17" s="95" t="s">
        <v>293</v>
      </c>
      <c r="B17" s="99"/>
      <c r="C17" s="139">
        <v>0.4</v>
      </c>
      <c r="D17" s="1"/>
      <c r="E17" s="88"/>
      <c r="F17" s="124"/>
    </row>
    <row r="18" spans="1:6">
      <c r="A18" s="95" t="s">
        <v>294</v>
      </c>
      <c r="B18" s="99"/>
      <c r="C18" s="139"/>
      <c r="D18" s="1"/>
      <c r="E18" s="88"/>
      <c r="F18" s="124"/>
    </row>
    <row r="19" spans="1:6">
      <c r="A19" s="95" t="s">
        <v>295</v>
      </c>
      <c r="B19" s="99"/>
      <c r="C19" s="139"/>
      <c r="D19" s="1"/>
      <c r="E19" s="88"/>
      <c r="F19" s="124"/>
    </row>
    <row r="20" spans="1:6">
      <c r="A20" s="95" t="s">
        <v>296</v>
      </c>
      <c r="B20" s="99"/>
      <c r="C20" s="139"/>
      <c r="D20" s="1"/>
      <c r="E20" s="88"/>
      <c r="F20" s="124"/>
    </row>
    <row r="21" spans="1:6">
      <c r="A21" s="95" t="s">
        <v>297</v>
      </c>
      <c r="B21" s="99"/>
      <c r="C21" s="139">
        <v>1</v>
      </c>
      <c r="D21" s="1"/>
      <c r="E21" s="88"/>
      <c r="F21" s="124"/>
    </row>
    <row r="22" spans="1:6">
      <c r="A22" s="95" t="s">
        <v>298</v>
      </c>
      <c r="B22" s="99"/>
      <c r="C22" s="139"/>
      <c r="D22" s="1"/>
      <c r="E22" s="88"/>
      <c r="F22" s="124"/>
    </row>
    <row r="23" spans="1:6">
      <c r="A23" s="95" t="s">
        <v>299</v>
      </c>
      <c r="B23" s="99"/>
      <c r="C23" s="139"/>
      <c r="D23" s="1"/>
      <c r="E23" s="88"/>
      <c r="F23" s="124"/>
    </row>
    <row r="24" spans="1:6">
      <c r="A24" s="95" t="s">
        <v>300</v>
      </c>
      <c r="B24" s="99"/>
      <c r="C24" s="139"/>
      <c r="D24" s="1"/>
      <c r="E24" s="88"/>
      <c r="F24" s="124"/>
    </row>
    <row r="25" spans="1:6">
      <c r="A25" s="95" t="s">
        <v>301</v>
      </c>
      <c r="B25" s="99"/>
      <c r="C25" s="139">
        <v>1</v>
      </c>
      <c r="D25" s="1"/>
      <c r="E25" s="88"/>
      <c r="F25" s="124"/>
    </row>
    <row r="26" spans="1:6">
      <c r="A26" s="95" t="s">
        <v>302</v>
      </c>
      <c r="B26" s="99"/>
      <c r="C26" s="139"/>
      <c r="D26" s="1"/>
      <c r="E26" s="88"/>
      <c r="F26" s="124"/>
    </row>
    <row r="27" spans="1:6">
      <c r="A27" s="95" t="s">
        <v>303</v>
      </c>
      <c r="B27" s="99"/>
      <c r="C27" s="139"/>
      <c r="D27" s="2"/>
      <c r="E27" s="88"/>
      <c r="F27" s="124"/>
    </row>
    <row r="28" spans="1:6">
      <c r="A28" s="95" t="s">
        <v>304</v>
      </c>
      <c r="B28" s="99"/>
      <c r="C28" s="139"/>
      <c r="D28" s="2"/>
      <c r="E28" s="88"/>
      <c r="F28" s="124"/>
    </row>
    <row r="29" spans="1:6">
      <c r="A29" s="95" t="s">
        <v>305</v>
      </c>
      <c r="B29" s="2"/>
      <c r="C29" s="139">
        <v>1</v>
      </c>
      <c r="D29" s="2"/>
      <c r="E29" s="88"/>
      <c r="F29" s="124"/>
    </row>
    <row r="30" spans="1:6">
      <c r="A30" s="95" t="s">
        <v>306</v>
      </c>
      <c r="B30" s="2"/>
      <c r="C30" s="139"/>
      <c r="D30" s="2"/>
      <c r="E30" s="88"/>
      <c r="F30" s="124"/>
    </row>
    <row r="31" spans="1:6">
      <c r="A31" s="95" t="s">
        <v>307</v>
      </c>
      <c r="B31" s="2"/>
      <c r="C31" s="139"/>
      <c r="D31" s="2"/>
      <c r="E31" s="88"/>
      <c r="F31" s="124"/>
    </row>
    <row r="32" spans="1:6">
      <c r="A32" s="95" t="s">
        <v>308</v>
      </c>
      <c r="B32" s="2"/>
      <c r="C32" s="139">
        <v>1</v>
      </c>
      <c r="D32" s="2"/>
      <c r="E32" s="88"/>
      <c r="F32" s="124"/>
    </row>
    <row r="33" spans="1:6">
      <c r="A33" s="95" t="s">
        <v>309</v>
      </c>
      <c r="B33" s="2"/>
      <c r="C33" s="139"/>
      <c r="D33" s="2"/>
      <c r="E33" s="88"/>
      <c r="F33" s="124"/>
    </row>
    <row r="34" spans="1:6">
      <c r="A34" s="95" t="s">
        <v>310</v>
      </c>
      <c r="B34" s="2"/>
      <c r="C34" s="139"/>
      <c r="D34" s="2"/>
      <c r="E34" s="87"/>
      <c r="F34" s="124"/>
    </row>
    <row r="35" spans="1:6">
      <c r="A35" s="95" t="s">
        <v>311</v>
      </c>
      <c r="B35" s="2"/>
      <c r="C35" s="139"/>
      <c r="D35" s="2"/>
      <c r="E35" s="87"/>
      <c r="F35" s="124"/>
    </row>
    <row r="36" spans="1:6">
      <c r="A36" s="95" t="s">
        <v>312</v>
      </c>
      <c r="B36" s="2"/>
      <c r="C36" s="139">
        <v>1</v>
      </c>
      <c r="D36" s="2"/>
      <c r="E36" s="87"/>
      <c r="F36" s="124"/>
    </row>
    <row r="37" spans="1:6">
      <c r="A37" s="95" t="s">
        <v>313</v>
      </c>
      <c r="B37" s="2"/>
      <c r="C37" s="139">
        <v>1</v>
      </c>
      <c r="D37" s="2"/>
      <c r="E37" s="87"/>
      <c r="F37" s="124"/>
    </row>
    <row r="38" spans="1:6">
      <c r="A38" s="95"/>
      <c r="B38" s="2"/>
      <c r="C38" s="139"/>
      <c r="D38" s="2"/>
      <c r="E38" s="87"/>
      <c r="F38" s="124"/>
    </row>
    <row r="39" spans="1:6">
      <c r="A39" s="95"/>
      <c r="B39" s="2"/>
      <c r="C39" s="139"/>
      <c r="D39" s="2"/>
      <c r="E39" s="87"/>
      <c r="F39" s="124"/>
    </row>
    <row r="40" spans="1:6">
      <c r="A40" s="95"/>
      <c r="B40" s="2"/>
      <c r="C40" s="139"/>
      <c r="D40" s="2"/>
      <c r="E40" s="87"/>
      <c r="F40" s="124"/>
    </row>
    <row r="41" spans="1:6">
      <c r="A41" s="95"/>
      <c r="B41" s="2"/>
      <c r="C41" s="139"/>
      <c r="D41" s="2"/>
      <c r="E41" s="87"/>
      <c r="F41" s="124"/>
    </row>
    <row r="42" spans="1:6" ht="15">
      <c r="A42" s="95"/>
      <c r="B42" s="87"/>
      <c r="C42" s="139"/>
      <c r="D42" s="84"/>
      <c r="E42" s="87"/>
      <c r="F42" s="124"/>
    </row>
    <row r="43" spans="1:6" ht="15">
      <c r="A43" s="87"/>
      <c r="B43" s="87"/>
      <c r="C43" s="84"/>
      <c r="D43" s="84"/>
      <c r="E43" s="87"/>
      <c r="F43" s="87"/>
    </row>
    <row r="44" spans="1:6" ht="15">
      <c r="A44" s="87"/>
      <c r="B44" s="87"/>
      <c r="C44" s="84"/>
      <c r="D44" s="84"/>
      <c r="E44" s="87"/>
      <c r="F44" s="87"/>
    </row>
    <row r="45" spans="1:6" ht="15">
      <c r="A45" s="87"/>
      <c r="B45" s="87"/>
      <c r="C45" s="84"/>
      <c r="D45" s="84"/>
      <c r="E45" s="87"/>
      <c r="F45" s="87"/>
    </row>
    <row r="46" spans="1:6" ht="15">
      <c r="A46" s="87"/>
      <c r="B46" s="87"/>
      <c r="C46" s="84"/>
      <c r="D46" s="84"/>
      <c r="E46" s="87"/>
      <c r="F46" s="87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pane xSplit="1" ySplit="17" topLeftCell="B19" activePane="bottomRight" state="frozen"/>
      <selection pane="topRight" activeCell="B1" sqref="B1"/>
      <selection pane="bottomLeft" activeCell="A18" sqref="A18"/>
      <selection pane="bottomRight" activeCell="B19" sqref="B19"/>
    </sheetView>
  </sheetViews>
  <sheetFormatPr baseColWidth="10" defaultRowHeight="14" x14ac:dyDescent="0"/>
  <cols>
    <col min="1" max="1" width="27.6640625" bestFit="1" customWidth="1"/>
    <col min="2" max="2" width="16.5" bestFit="1" customWidth="1"/>
    <col min="24" max="24" width="15.33203125" bestFit="1" customWidth="1"/>
    <col min="25" max="25" width="7.1640625" bestFit="1" customWidth="1"/>
    <col min="26" max="26" width="12.5" bestFit="1" customWidth="1"/>
    <col min="27" max="27" width="17.5" bestFit="1" customWidth="1"/>
    <col min="28" max="28" width="13" bestFit="1" customWidth="1"/>
  </cols>
  <sheetData>
    <row r="1" spans="1:27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7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7">
      <c r="A3" s="44">
        <v>5</v>
      </c>
      <c r="B3" s="52">
        <v>44173</v>
      </c>
      <c r="C3" s="53">
        <v>2992</v>
      </c>
      <c r="D3" s="42">
        <v>1327.8</v>
      </c>
      <c r="E3" s="54">
        <v>234.32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7">
      <c r="A4" s="44">
        <v>4.4000000000000004</v>
      </c>
      <c r="B4" s="52">
        <v>44173</v>
      </c>
      <c r="C4" s="53">
        <v>2992</v>
      </c>
      <c r="D4" s="54">
        <v>1107.3</v>
      </c>
      <c r="E4" s="54">
        <v>198.79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7">
      <c r="A5" s="44">
        <v>4</v>
      </c>
      <c r="B5" s="52">
        <v>44173</v>
      </c>
      <c r="C5" s="53">
        <v>2992</v>
      </c>
      <c r="D5" s="42">
        <v>1000.3</v>
      </c>
      <c r="E5" s="54">
        <v>180.28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7">
      <c r="A6" s="44">
        <v>3.4</v>
      </c>
      <c r="B6" s="52">
        <v>44173</v>
      </c>
      <c r="C6" s="53">
        <v>2992</v>
      </c>
      <c r="D6" s="54">
        <v>829.46</v>
      </c>
      <c r="E6" s="54">
        <v>146.44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7">
      <c r="A7" s="44">
        <v>3</v>
      </c>
      <c r="B7" s="52">
        <v>44173</v>
      </c>
      <c r="C7" s="53">
        <v>2992</v>
      </c>
      <c r="D7" s="42">
        <v>745.85</v>
      </c>
      <c r="E7" s="54">
        <v>148.09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7">
      <c r="A8" s="44">
        <v>2.4</v>
      </c>
      <c r="B8" s="52">
        <v>44173</v>
      </c>
      <c r="C8" s="53">
        <v>2992</v>
      </c>
      <c r="D8" s="54">
        <v>702.78</v>
      </c>
      <c r="E8" s="54">
        <v>129.32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7">
      <c r="A9" s="44">
        <v>2</v>
      </c>
      <c r="B9" s="52">
        <v>44173</v>
      </c>
      <c r="C9" s="53">
        <v>2992</v>
      </c>
      <c r="D9" s="42">
        <v>574.08000000000004</v>
      </c>
      <c r="E9" s="54">
        <v>105.38</v>
      </c>
      <c r="F9" s="55">
        <f t="shared" si="0"/>
        <v>5.984</v>
      </c>
      <c r="G9" s="58" t="s">
        <v>70</v>
      </c>
      <c r="H9" s="58"/>
      <c r="I9" s="59">
        <f>SLOPE(F3:F15,D3:D15)</f>
        <v>1.1714972467236195E-2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7">
      <c r="A10" s="44">
        <v>1.4</v>
      </c>
      <c r="B10" s="52">
        <v>44173</v>
      </c>
      <c r="C10" s="53">
        <v>2992</v>
      </c>
      <c r="D10" s="42">
        <v>435.57</v>
      </c>
      <c r="E10" s="54">
        <v>82.078000000000003</v>
      </c>
      <c r="F10" s="55">
        <f t="shared" si="0"/>
        <v>4.1887999999999996</v>
      </c>
      <c r="G10" s="58" t="s">
        <v>71</v>
      </c>
      <c r="H10" s="58"/>
      <c r="I10" s="59">
        <f>INTERCEPT(F3:F15,D3:D15)</f>
        <v>-0.20303511399676211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7">
      <c r="A11" s="44">
        <v>1</v>
      </c>
      <c r="B11" s="52">
        <v>44173</v>
      </c>
      <c r="C11" s="53">
        <v>2992</v>
      </c>
      <c r="D11" s="42">
        <v>290.29000000000002</v>
      </c>
      <c r="E11" s="54">
        <v>59.106999999999999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7">
      <c r="A12" s="60">
        <v>0.4</v>
      </c>
      <c r="B12" s="52">
        <v>44173</v>
      </c>
      <c r="C12" s="53">
        <v>2992</v>
      </c>
      <c r="D12" s="60">
        <v>108.44</v>
      </c>
      <c r="E12" s="60">
        <v>24.161000000000001</v>
      </c>
      <c r="F12" s="55">
        <f t="shared" si="0"/>
        <v>1.1968000000000001</v>
      </c>
      <c r="G12" s="61" t="s">
        <v>72</v>
      </c>
      <c r="H12" s="61"/>
      <c r="I12" s="62">
        <f>SLOPE(F3:F15,E3:E15)</f>
        <v>6.6199050967468309E-2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7">
      <c r="A13" s="60">
        <v>0.2</v>
      </c>
      <c r="B13" s="52">
        <v>44173</v>
      </c>
      <c r="C13" s="53">
        <v>2992</v>
      </c>
      <c r="D13" s="60">
        <v>52.459000000000003</v>
      </c>
      <c r="E13" s="60">
        <v>12.38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-0.47297838928071023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7">
      <c r="A14" s="60">
        <v>0.1</v>
      </c>
      <c r="B14" s="52">
        <v>44173</v>
      </c>
      <c r="C14" s="53">
        <v>2992</v>
      </c>
      <c r="D14" s="60">
        <v>23.388000000000002</v>
      </c>
      <c r="E14" s="60">
        <v>6.415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27">
      <c r="A15" s="60">
        <v>0</v>
      </c>
      <c r="B15" s="52">
        <v>44173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1:27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155" t="s">
        <v>278</v>
      </c>
      <c r="X16" s="155" t="s">
        <v>279</v>
      </c>
      <c r="Y16" s="155" t="s">
        <v>280</v>
      </c>
      <c r="Z16" s="155" t="s">
        <v>282</v>
      </c>
      <c r="AA16" s="155" t="s">
        <v>315</v>
      </c>
    </row>
    <row r="17" spans="1:28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1" t="s">
        <v>113</v>
      </c>
      <c r="W17" s="156"/>
      <c r="X17" s="191"/>
      <c r="Y17" s="191"/>
      <c r="Z17" s="156"/>
    </row>
    <row r="18" spans="1:28">
      <c r="A18" s="29" t="s">
        <v>292</v>
      </c>
      <c r="B18" s="71">
        <f t="shared" ref="B18:B39" si="1">$B$3+H18</f>
        <v>44173.45</v>
      </c>
      <c r="C18" s="44">
        <v>0.4</v>
      </c>
      <c r="D18" s="80">
        <v>926.87</v>
      </c>
      <c r="E18" s="81">
        <v>172.25</v>
      </c>
      <c r="F18" s="72">
        <f t="shared" ref="F18:F39" si="2">((I$9*D18)+I$10)/C18/1000</f>
        <v>2.6638053541776122E-2</v>
      </c>
      <c r="G18" s="72">
        <f t="shared" ref="G18:G39" si="3">((I$12*E18)+I$13)/C18/1000</f>
        <v>2.7324520349664264E-2</v>
      </c>
      <c r="H18" s="96">
        <v>0.45</v>
      </c>
      <c r="I18" s="73">
        <f>jar_information!M3</f>
        <v>44165.4375</v>
      </c>
      <c r="J18" s="74">
        <f t="shared" ref="J18:J39" si="4">B18-I18</f>
        <v>8.0124999999970896</v>
      </c>
      <c r="K18" s="74">
        <f t="shared" ref="K18:K39" si="5">J18*24</f>
        <v>192.29999999993015</v>
      </c>
      <c r="L18" s="75">
        <f>jar_information!H3</f>
        <v>371.24882105804681</v>
      </c>
      <c r="M18" s="74">
        <f t="shared" ref="M18:M39" si="6">F18*L18</f>
        <v>9.8893459726655131</v>
      </c>
      <c r="N18" s="74">
        <f t="shared" ref="N18:N39" si="7">M18*1.83</f>
        <v>18.097503129977891</v>
      </c>
      <c r="O18" s="76">
        <f t="shared" ref="O18:O39" si="8">N18*(12/(12+(16*2)))</f>
        <v>4.9356826718121516</v>
      </c>
      <c r="P18" s="77">
        <f t="shared" ref="P18:P39" si="9">O18*(400/(400+L18))</f>
        <v>2.5598393343621981</v>
      </c>
      <c r="Q18" s="159"/>
      <c r="R18" s="78">
        <f t="shared" ref="R18:R39" si="10">Q18/314.7</f>
        <v>0</v>
      </c>
      <c r="S18" s="78">
        <f t="shared" ref="S18:S39" si="11">R18/P18*100</f>
        <v>0</v>
      </c>
      <c r="T18" s="79">
        <f t="shared" ref="T18:T39" si="12">F18*1000000</f>
        <v>26638.053541776124</v>
      </c>
      <c r="U18" s="7">
        <f t="shared" ref="U18:U39" si="13">M18/L18*100</f>
        <v>2.6638053541776117</v>
      </c>
      <c r="V18" s="90">
        <f t="shared" ref="V18:V39" si="14">O18/K18</f>
        <v>2.566657655649477E-2</v>
      </c>
      <c r="W18" s="137">
        <f>Y18*44/12</f>
        <v>21.650063430477442</v>
      </c>
      <c r="X18" s="137">
        <f t="shared" ref="X18:X39" si="15">IF((W18-N18)&lt;=0,"!",W18-N18)</f>
        <v>3.5525603004995503</v>
      </c>
      <c r="Y18" s="137">
        <v>5.9045627537665748</v>
      </c>
      <c r="Z18" s="137">
        <f t="shared" ref="Z18:Z39" si="16">IF(Y18/V18/24-J18&lt;1,"&lt;1",Y18/V18/24-J18)</f>
        <v>1.5728627978845999</v>
      </c>
      <c r="AB18" t="s">
        <v>292</v>
      </c>
    </row>
    <row r="19" spans="1:28">
      <c r="A19" s="29" t="s">
        <v>293</v>
      </c>
      <c r="B19" s="71">
        <f t="shared" si="1"/>
        <v>44173.45</v>
      </c>
      <c r="C19" s="44">
        <v>0.4</v>
      </c>
      <c r="D19" s="80">
        <v>368.07</v>
      </c>
      <c r="E19" s="81">
        <v>82.778999999999996</v>
      </c>
      <c r="F19" s="72">
        <f t="shared" si="2"/>
        <v>1.0272237005047159E-2</v>
      </c>
      <c r="G19" s="72">
        <f t="shared" si="3"/>
        <v>1.2517282126888372E-2</v>
      </c>
      <c r="H19" s="96">
        <v>0.45</v>
      </c>
      <c r="I19" s="73">
        <f>jar_information!M4</f>
        <v>44165.4375</v>
      </c>
      <c r="J19" s="74">
        <f t="shared" si="4"/>
        <v>8.0124999999970896</v>
      </c>
      <c r="K19" s="74">
        <f t="shared" si="5"/>
        <v>192.29999999993015</v>
      </c>
      <c r="L19" s="75">
        <f>jar_information!H4</f>
        <v>396.0136460677399</v>
      </c>
      <c r="M19" s="74">
        <f t="shared" si="6"/>
        <v>4.0679460296406864</v>
      </c>
      <c r="N19" s="74">
        <f t="shared" si="7"/>
        <v>7.4443412342424562</v>
      </c>
      <c r="O19" s="76">
        <f t="shared" si="8"/>
        <v>2.0302748820661241</v>
      </c>
      <c r="P19" s="77">
        <f t="shared" si="9"/>
        <v>1.0202211442457356</v>
      </c>
      <c r="Q19" s="159"/>
      <c r="R19" s="78">
        <f t="shared" si="10"/>
        <v>0</v>
      </c>
      <c r="S19" s="78">
        <f t="shared" si="11"/>
        <v>0</v>
      </c>
      <c r="T19" s="79">
        <f t="shared" si="12"/>
        <v>10272.237005047158</v>
      </c>
      <c r="U19" s="7">
        <f t="shared" si="13"/>
        <v>1.0272237005047158</v>
      </c>
      <c r="V19" s="90">
        <f t="shared" si="14"/>
        <v>1.0557851700815713E-2</v>
      </c>
      <c r="W19" s="137">
        <f t="shared" ref="W19:W39" si="17">Y19*44/12</f>
        <v>21.650063430477442</v>
      </c>
      <c r="X19" s="137">
        <f t="shared" si="15"/>
        <v>14.205722196234985</v>
      </c>
      <c r="Y19" s="137">
        <v>5.9045627537665748</v>
      </c>
      <c r="Z19" s="137">
        <f t="shared" si="16"/>
        <v>15.28991559034495</v>
      </c>
      <c r="AB19" t="s">
        <v>293</v>
      </c>
    </row>
    <row r="20" spans="1:28">
      <c r="A20" s="29" t="s">
        <v>294</v>
      </c>
      <c r="B20" s="71">
        <f t="shared" si="1"/>
        <v>44173.45</v>
      </c>
      <c r="C20" s="44">
        <v>1</v>
      </c>
      <c r="D20" s="80">
        <v>1261.0999999999999</v>
      </c>
      <c r="E20" s="81">
        <v>239.73</v>
      </c>
      <c r="F20" s="72">
        <f t="shared" si="2"/>
        <v>1.4570716664434801E-2</v>
      </c>
      <c r="G20" s="72">
        <f t="shared" si="3"/>
        <v>1.5396920099150467E-2</v>
      </c>
      <c r="H20" s="96">
        <v>0.45</v>
      </c>
      <c r="I20" s="73">
        <f>jar_information!M5</f>
        <v>44165.4375</v>
      </c>
      <c r="J20" s="74">
        <f t="shared" si="4"/>
        <v>8.0124999999970896</v>
      </c>
      <c r="K20" s="74">
        <f t="shared" si="5"/>
        <v>192.29999999993015</v>
      </c>
      <c r="L20" s="75">
        <f>jar_information!H5</f>
        <v>356.00450368854933</v>
      </c>
      <c r="M20" s="74">
        <f t="shared" si="6"/>
        <v>5.1872407545085863</v>
      </c>
      <c r="N20" s="74">
        <f t="shared" si="7"/>
        <v>9.4926505807507127</v>
      </c>
      <c r="O20" s="76">
        <f t="shared" si="8"/>
        <v>2.588904703841103</v>
      </c>
      <c r="P20" s="77">
        <f t="shared" si="9"/>
        <v>1.3697826884415769</v>
      </c>
      <c r="Q20" s="159">
        <v>427.8</v>
      </c>
      <c r="R20" s="78">
        <f t="shared" si="10"/>
        <v>1.3593898951382271</v>
      </c>
      <c r="S20" s="78">
        <f t="shared" si="11"/>
        <v>99.241281599552565</v>
      </c>
      <c r="T20" s="79">
        <f t="shared" si="12"/>
        <v>14570.716664434802</v>
      </c>
      <c r="U20" s="7">
        <f t="shared" si="13"/>
        <v>1.4570716664434802</v>
      </c>
      <c r="V20" s="90">
        <f t="shared" si="14"/>
        <v>1.3462842973697573E-2</v>
      </c>
      <c r="W20" s="211">
        <f t="shared" si="17"/>
        <v>8.9690216559265394</v>
      </c>
      <c r="X20" s="211" t="str">
        <f t="shared" si="15"/>
        <v>!</v>
      </c>
      <c r="Y20" s="211">
        <v>2.4460968152526927</v>
      </c>
      <c r="Z20" s="211" t="str">
        <f t="shared" si="16"/>
        <v>&lt;1</v>
      </c>
      <c r="AA20" s="212">
        <v>44173.583333333336</v>
      </c>
      <c r="AB20" s="4" t="s">
        <v>294</v>
      </c>
    </row>
    <row r="21" spans="1:28">
      <c r="A21" s="29" t="s">
        <v>295</v>
      </c>
      <c r="B21" s="71">
        <f t="shared" si="1"/>
        <v>44173.45</v>
      </c>
      <c r="C21" s="44">
        <v>1</v>
      </c>
      <c r="D21" s="80">
        <v>1453</v>
      </c>
      <c r="E21" s="81">
        <v>264.42</v>
      </c>
      <c r="F21" s="72">
        <f t="shared" si="2"/>
        <v>1.681881988089743E-2</v>
      </c>
      <c r="G21" s="72">
        <f t="shared" si="3"/>
        <v>1.7031374667537263E-2</v>
      </c>
      <c r="H21" s="96">
        <v>0.45</v>
      </c>
      <c r="I21" s="73">
        <f>jar_information!M6</f>
        <v>44165.4375</v>
      </c>
      <c r="J21" s="74">
        <f t="shared" si="4"/>
        <v>8.0124999999970896</v>
      </c>
      <c r="K21" s="74">
        <f t="shared" si="5"/>
        <v>192.29999999993015</v>
      </c>
      <c r="L21" s="75">
        <f>jar_information!H6</f>
        <v>362.08093473315461</v>
      </c>
      <c r="M21" s="74">
        <f t="shared" si="6"/>
        <v>6.0897740235839057</v>
      </c>
      <c r="N21" s="74">
        <f t="shared" si="7"/>
        <v>11.144286463158547</v>
      </c>
      <c r="O21" s="76">
        <f t="shared" si="8"/>
        <v>3.0393508535886946</v>
      </c>
      <c r="P21" s="77">
        <f t="shared" si="9"/>
        <v>1.5952903241978802</v>
      </c>
      <c r="Q21" s="159">
        <v>392.63</v>
      </c>
      <c r="R21" s="78">
        <f t="shared" si="10"/>
        <v>1.2476326660311408</v>
      </c>
      <c r="S21" s="78">
        <f>R21/P21*100</f>
        <v>78.207248367688592</v>
      </c>
      <c r="T21" s="79">
        <f t="shared" si="12"/>
        <v>16818.81988089743</v>
      </c>
      <c r="U21" s="7">
        <f t="shared" si="13"/>
        <v>1.6818819880897431</v>
      </c>
      <c r="V21" s="90">
        <f t="shared" si="14"/>
        <v>1.5805256648932911E-2</v>
      </c>
      <c r="W21" s="211">
        <f t="shared" si="17"/>
        <v>8.9690216559265394</v>
      </c>
      <c r="X21" s="211" t="str">
        <f t="shared" si="15"/>
        <v>!</v>
      </c>
      <c r="Y21" s="211">
        <v>2.4460968152526927</v>
      </c>
      <c r="Z21" s="211" t="str">
        <f t="shared" si="16"/>
        <v>&lt;1</v>
      </c>
      <c r="AA21" s="212">
        <v>44173.583333333336</v>
      </c>
      <c r="AB21" s="4" t="s">
        <v>295</v>
      </c>
    </row>
    <row r="22" spans="1:28">
      <c r="A22" s="29" t="s">
        <v>296</v>
      </c>
      <c r="B22" s="71">
        <f t="shared" si="1"/>
        <v>44173.45</v>
      </c>
      <c r="C22" s="44">
        <v>1</v>
      </c>
      <c r="D22" s="80">
        <v>606.98</v>
      </c>
      <c r="E22" s="81">
        <v>110.33</v>
      </c>
      <c r="F22" s="72">
        <f t="shared" si="2"/>
        <v>6.9077188741662639E-3</v>
      </c>
      <c r="G22" s="72">
        <f t="shared" si="3"/>
        <v>6.8307629039600689E-3</v>
      </c>
      <c r="H22" s="96">
        <v>0.45</v>
      </c>
      <c r="I22" s="73">
        <f>jar_information!M7</f>
        <v>44165.4375</v>
      </c>
      <c r="J22" s="74">
        <f t="shared" si="4"/>
        <v>8.0124999999970896</v>
      </c>
      <c r="K22" s="74">
        <f t="shared" si="5"/>
        <v>192.29999999993015</v>
      </c>
      <c r="L22" s="75">
        <f>jar_information!H7</f>
        <v>368.18572718286885</v>
      </c>
      <c r="M22" s="74">
        <f t="shared" si="6"/>
        <v>2.5433234968597338</v>
      </c>
      <c r="N22" s="74">
        <f t="shared" si="7"/>
        <v>4.6542819992533131</v>
      </c>
      <c r="O22" s="76">
        <f>N22*(12/(12+(16*2)))</f>
        <v>1.2693496361599943</v>
      </c>
      <c r="P22" s="77">
        <f t="shared" si="9"/>
        <v>0.6609597607677612</v>
      </c>
      <c r="Q22" s="159">
        <v>160.5</v>
      </c>
      <c r="R22" s="78">
        <f t="shared" si="10"/>
        <v>0.51000953288846518</v>
      </c>
      <c r="S22" s="78">
        <f>R22/P22*100</f>
        <v>77.161964034852232</v>
      </c>
      <c r="T22" s="79">
        <f t="shared" si="12"/>
        <v>6907.718874166264</v>
      </c>
      <c r="U22" s="7">
        <f t="shared" si="13"/>
        <v>0.69077188741662643</v>
      </c>
      <c r="V22" s="90">
        <f t="shared" si="14"/>
        <v>6.6008821433201003E-3</v>
      </c>
      <c r="W22" s="211">
        <f t="shared" si="17"/>
        <v>4.4310190566310377</v>
      </c>
      <c r="X22" s="211" t="str">
        <f t="shared" si="15"/>
        <v>!</v>
      </c>
      <c r="Y22" s="211">
        <v>1.2084597427175559</v>
      </c>
      <c r="Z22" s="211" t="str">
        <f t="shared" si="16"/>
        <v>&lt;1</v>
      </c>
      <c r="AA22" s="212">
        <v>44173.583333333336</v>
      </c>
      <c r="AB22" s="4" t="s">
        <v>296</v>
      </c>
    </row>
    <row r="23" spans="1:28">
      <c r="A23" s="29" t="s">
        <v>297</v>
      </c>
      <c r="B23" s="71">
        <f t="shared" si="1"/>
        <v>44173.45</v>
      </c>
      <c r="C23" s="44">
        <v>1</v>
      </c>
      <c r="D23" s="80">
        <v>339.71</v>
      </c>
      <c r="E23" s="81">
        <v>65.802999999999997</v>
      </c>
      <c r="F23" s="72">
        <f t="shared" si="2"/>
        <v>3.7766581828480453E-3</v>
      </c>
      <c r="G23" s="72">
        <f t="shared" si="3"/>
        <v>3.883117761531607E-3</v>
      </c>
      <c r="H23" s="96">
        <v>0.45</v>
      </c>
      <c r="I23" s="73">
        <f>jar_information!M8</f>
        <v>44165.4375</v>
      </c>
      <c r="J23" s="74">
        <f t="shared" si="4"/>
        <v>8.0124999999970896</v>
      </c>
      <c r="K23" s="74">
        <f t="shared" si="5"/>
        <v>192.29999999993015</v>
      </c>
      <c r="L23" s="75">
        <f>jar_information!H8</f>
        <v>405.42134882290139</v>
      </c>
      <c r="M23" s="74">
        <f t="shared" si="6"/>
        <v>1.5311378545333023</v>
      </c>
      <c r="N23" s="74">
        <f t="shared" si="7"/>
        <v>2.8019822737959434</v>
      </c>
      <c r="O23" s="76">
        <f t="shared" si="8"/>
        <v>0.76417698376252996</v>
      </c>
      <c r="P23" s="77">
        <f t="shared" si="9"/>
        <v>0.3795166268584021</v>
      </c>
      <c r="Q23" s="159"/>
      <c r="R23" s="78">
        <f t="shared" si="10"/>
        <v>0</v>
      </c>
      <c r="S23" s="78">
        <f t="shared" si="11"/>
        <v>0</v>
      </c>
      <c r="T23" s="79">
        <f t="shared" si="12"/>
        <v>3776.6581828480453</v>
      </c>
      <c r="U23" s="7">
        <f t="shared" si="13"/>
        <v>0.37766581828480456</v>
      </c>
      <c r="V23" s="90">
        <f t="shared" si="14"/>
        <v>3.9738792707374286E-3</v>
      </c>
      <c r="W23" s="137">
        <f t="shared" si="17"/>
        <v>4.4310190566310377</v>
      </c>
      <c r="X23" s="137">
        <f t="shared" si="15"/>
        <v>1.6290367828350942</v>
      </c>
      <c r="Y23" s="137">
        <v>1.2084597427175559</v>
      </c>
      <c r="Z23" s="137">
        <f t="shared" si="16"/>
        <v>4.658365381012409</v>
      </c>
      <c r="AB23" s="4" t="s">
        <v>297</v>
      </c>
    </row>
    <row r="24" spans="1:28">
      <c r="A24" s="29" t="s">
        <v>298</v>
      </c>
      <c r="B24" s="71">
        <f t="shared" si="1"/>
        <v>44173.45</v>
      </c>
      <c r="C24" s="44"/>
      <c r="D24" s="80"/>
      <c r="E24" s="81"/>
      <c r="F24" s="72" t="e">
        <f t="shared" si="2"/>
        <v>#DIV/0!</v>
      </c>
      <c r="G24" s="72" t="e">
        <f t="shared" si="3"/>
        <v>#DIV/0!</v>
      </c>
      <c r="H24" s="96">
        <v>0.45</v>
      </c>
      <c r="I24" s="73">
        <f>jar_information!M9</f>
        <v>44165.4375</v>
      </c>
      <c r="J24" s="74">
        <f t="shared" si="4"/>
        <v>8.0124999999970896</v>
      </c>
      <c r="K24" s="74">
        <f t="shared" si="5"/>
        <v>192.29999999993015</v>
      </c>
      <c r="L24" s="75">
        <f>jar_information!H9</f>
        <v>368.18572718286885</v>
      </c>
      <c r="M24" s="74" t="e">
        <f t="shared" si="6"/>
        <v>#DIV/0!</v>
      </c>
      <c r="N24" s="74" t="e">
        <f t="shared" si="7"/>
        <v>#DIV/0!</v>
      </c>
      <c r="O24" s="76" t="e">
        <f t="shared" si="8"/>
        <v>#DIV/0!</v>
      </c>
      <c r="P24" s="77" t="e">
        <f t="shared" si="9"/>
        <v>#DIV/0!</v>
      </c>
      <c r="Q24" s="159"/>
      <c r="R24" s="78">
        <f t="shared" si="10"/>
        <v>0</v>
      </c>
      <c r="S24" s="78" t="e">
        <f t="shared" si="11"/>
        <v>#DIV/0!</v>
      </c>
      <c r="T24" s="79" t="e">
        <f t="shared" si="12"/>
        <v>#DIV/0!</v>
      </c>
      <c r="U24" s="7" t="e">
        <f t="shared" si="13"/>
        <v>#DIV/0!</v>
      </c>
      <c r="V24" s="90" t="e">
        <f t="shared" si="14"/>
        <v>#DIV/0!</v>
      </c>
      <c r="W24" s="211">
        <f t="shared" si="17"/>
        <v>7.8060465850108978</v>
      </c>
      <c r="X24" s="211" t="e">
        <f t="shared" si="15"/>
        <v>#DIV/0!</v>
      </c>
      <c r="Y24" s="211">
        <v>2.128921795912063</v>
      </c>
      <c r="Z24" s="211" t="e">
        <f t="shared" si="16"/>
        <v>#DIV/0!</v>
      </c>
      <c r="AA24" s="212">
        <v>44169.5625</v>
      </c>
      <c r="AB24" s="4" t="s">
        <v>298</v>
      </c>
    </row>
    <row r="25" spans="1:28">
      <c r="A25" s="29" t="s">
        <v>299</v>
      </c>
      <c r="B25" s="71">
        <f t="shared" si="1"/>
        <v>44173.45</v>
      </c>
      <c r="C25" s="44"/>
      <c r="D25" s="80"/>
      <c r="E25" s="81"/>
      <c r="F25" s="72" t="e">
        <f t="shared" si="2"/>
        <v>#DIV/0!</v>
      </c>
      <c r="G25" s="72" t="e">
        <f t="shared" si="3"/>
        <v>#DIV/0!</v>
      </c>
      <c r="H25" s="96">
        <v>0.45</v>
      </c>
      <c r="I25" s="73">
        <f>jar_information!M10</f>
        <v>44165.4375</v>
      </c>
      <c r="J25" s="74">
        <f t="shared" si="4"/>
        <v>8.0124999999970896</v>
      </c>
      <c r="K25" s="74">
        <f t="shared" si="5"/>
        <v>192.29999999993015</v>
      </c>
      <c r="L25" s="75">
        <f>jar_information!H10</f>
        <v>365.12977338665411</v>
      </c>
      <c r="M25" s="74" t="e">
        <f t="shared" si="6"/>
        <v>#DIV/0!</v>
      </c>
      <c r="N25" s="74" t="e">
        <f t="shared" si="7"/>
        <v>#DIV/0!</v>
      </c>
      <c r="O25" s="76" t="e">
        <f t="shared" si="8"/>
        <v>#DIV/0!</v>
      </c>
      <c r="P25" s="77" t="e">
        <f t="shared" si="9"/>
        <v>#DIV/0!</v>
      </c>
      <c r="Q25" s="159"/>
      <c r="R25" s="78">
        <f t="shared" si="10"/>
        <v>0</v>
      </c>
      <c r="S25" s="78" t="e">
        <f t="shared" si="11"/>
        <v>#DIV/0!</v>
      </c>
      <c r="T25" s="79" t="e">
        <f t="shared" si="12"/>
        <v>#DIV/0!</v>
      </c>
      <c r="U25" s="7" t="e">
        <f t="shared" si="13"/>
        <v>#DIV/0!</v>
      </c>
      <c r="V25" s="90" t="e">
        <f t="shared" si="14"/>
        <v>#DIV/0!</v>
      </c>
      <c r="W25" s="211">
        <f t="shared" si="17"/>
        <v>7.8060465850108978</v>
      </c>
      <c r="X25" s="211" t="e">
        <f t="shared" si="15"/>
        <v>#DIV/0!</v>
      </c>
      <c r="Y25" s="211">
        <v>2.128921795912063</v>
      </c>
      <c r="Z25" s="211" t="e">
        <f t="shared" si="16"/>
        <v>#DIV/0!</v>
      </c>
      <c r="AA25" s="212">
        <v>44169.5625</v>
      </c>
      <c r="AB25" s="4" t="s">
        <v>299</v>
      </c>
    </row>
    <row r="26" spans="1:28">
      <c r="A26" s="29" t="s">
        <v>300</v>
      </c>
      <c r="B26" s="71">
        <f t="shared" si="1"/>
        <v>44173.45</v>
      </c>
      <c r="C26" s="44">
        <v>1</v>
      </c>
      <c r="D26" s="80">
        <v>877.05</v>
      </c>
      <c r="E26" s="81">
        <v>169.73</v>
      </c>
      <c r="F26" s="72">
        <f t="shared" si="2"/>
        <v>1.0071581488392741E-2</v>
      </c>
      <c r="G26" s="72">
        <f t="shared" si="3"/>
        <v>1.0762986531427685E-2</v>
      </c>
      <c r="H26" s="96">
        <v>0.45</v>
      </c>
      <c r="I26" s="73">
        <f>jar_information!M11</f>
        <v>44165.4375</v>
      </c>
      <c r="J26" s="74">
        <f t="shared" si="4"/>
        <v>8.0124999999970896</v>
      </c>
      <c r="K26" s="74">
        <f t="shared" si="5"/>
        <v>192.29999999993015</v>
      </c>
      <c r="L26" s="75">
        <f>jar_information!H11</f>
        <v>368.18572718286885</v>
      </c>
      <c r="M26" s="74">
        <f t="shared" si="6"/>
        <v>3.7082125541854016</v>
      </c>
      <c r="N26" s="74">
        <f t="shared" si="7"/>
        <v>6.7860289741592856</v>
      </c>
      <c r="O26" s="76">
        <f t="shared" si="8"/>
        <v>1.8507351747707141</v>
      </c>
      <c r="P26" s="77">
        <f t="shared" si="9"/>
        <v>0.96369151848620127</v>
      </c>
      <c r="Q26" s="159">
        <v>273.89999999999998</v>
      </c>
      <c r="R26" s="78">
        <f t="shared" si="10"/>
        <v>0.87035271687321258</v>
      </c>
      <c r="S26" s="78">
        <f t="shared" si="11"/>
        <v>90.31445230942694</v>
      </c>
      <c r="T26" s="79">
        <f t="shared" si="12"/>
        <v>10071.581488392741</v>
      </c>
      <c r="U26" s="7">
        <f t="shared" si="13"/>
        <v>1.007158148839274</v>
      </c>
      <c r="V26" s="90">
        <f t="shared" si="14"/>
        <v>9.6242078771262944E-3</v>
      </c>
      <c r="W26" s="211">
        <f t="shared" si="17"/>
        <v>6.8280955876189529</v>
      </c>
      <c r="X26" s="211">
        <f t="shared" si="15"/>
        <v>4.2066613459667224E-2</v>
      </c>
      <c r="Y26" s="211">
        <v>1.8622078875324415</v>
      </c>
      <c r="Z26" s="211" t="str">
        <f t="shared" si="16"/>
        <v>&lt;1</v>
      </c>
      <c r="AA26" s="212">
        <v>44173.583333333336</v>
      </c>
      <c r="AB26" s="4" t="s">
        <v>300</v>
      </c>
    </row>
    <row r="27" spans="1:28">
      <c r="A27" s="29" t="s">
        <v>301</v>
      </c>
      <c r="B27" s="71">
        <f t="shared" si="1"/>
        <v>44173.45</v>
      </c>
      <c r="C27" s="44">
        <v>1</v>
      </c>
      <c r="D27" s="80">
        <v>394.15</v>
      </c>
      <c r="E27" s="81">
        <v>73.635999999999996</v>
      </c>
      <c r="F27" s="72">
        <f t="shared" si="2"/>
        <v>4.4144212839643832E-3</v>
      </c>
      <c r="G27" s="72">
        <f t="shared" si="3"/>
        <v>4.4016549277597862E-3</v>
      </c>
      <c r="H27" s="96">
        <v>0.45</v>
      </c>
      <c r="I27" s="73">
        <f>jar_information!M12</f>
        <v>44165.4375</v>
      </c>
      <c r="J27" s="74">
        <f t="shared" si="4"/>
        <v>8.0124999999970896</v>
      </c>
      <c r="K27" s="74">
        <f t="shared" si="5"/>
        <v>192.29999999993015</v>
      </c>
      <c r="L27" s="75">
        <f>jar_information!H12</f>
        <v>374.31908006509644</v>
      </c>
      <c r="M27" s="74">
        <f t="shared" si="6"/>
        <v>1.6524021140333298</v>
      </c>
      <c r="N27" s="74">
        <f t="shared" si="7"/>
        <v>3.0238958686809938</v>
      </c>
      <c r="O27" s="76">
        <f t="shared" si="8"/>
        <v>0.8246988732766346</v>
      </c>
      <c r="P27" s="77">
        <f t="shared" si="9"/>
        <v>0.42602533994502773</v>
      </c>
      <c r="Q27" s="159"/>
      <c r="R27" s="78">
        <f t="shared" si="10"/>
        <v>0</v>
      </c>
      <c r="S27" s="78">
        <f t="shared" si="11"/>
        <v>0</v>
      </c>
      <c r="T27" s="79">
        <f t="shared" si="12"/>
        <v>4414.4212839643833</v>
      </c>
      <c r="U27" s="7">
        <f t="shared" si="13"/>
        <v>0.44144212839643832</v>
      </c>
      <c r="V27" s="90">
        <f t="shared" si="14"/>
        <v>4.2886056852674687E-3</v>
      </c>
      <c r="W27" s="137">
        <f t="shared" si="17"/>
        <v>6.8280955876189529</v>
      </c>
      <c r="X27" s="137">
        <f t="shared" si="15"/>
        <v>3.8041997189379591</v>
      </c>
      <c r="Y27" s="137">
        <v>1.8622078875324415</v>
      </c>
      <c r="Z27" s="137">
        <f t="shared" si="16"/>
        <v>10.0800925599581</v>
      </c>
      <c r="AB27" s="4" t="s">
        <v>301</v>
      </c>
    </row>
    <row r="28" spans="1:28">
      <c r="A28" t="s">
        <v>302</v>
      </c>
      <c r="B28" s="71">
        <f t="shared" si="1"/>
        <v>44173.45</v>
      </c>
      <c r="C28" s="44"/>
      <c r="D28" s="80"/>
      <c r="E28" s="81"/>
      <c r="F28" s="72" t="e">
        <f t="shared" si="2"/>
        <v>#DIV/0!</v>
      </c>
      <c r="G28" s="72" t="e">
        <f t="shared" si="3"/>
        <v>#DIV/0!</v>
      </c>
      <c r="H28" s="96">
        <v>0.45</v>
      </c>
      <c r="I28" s="73">
        <f>jar_information!M13</f>
        <v>44165.4375</v>
      </c>
      <c r="J28" s="74">
        <f t="shared" si="4"/>
        <v>8.0124999999970896</v>
      </c>
      <c r="K28" s="74">
        <f t="shared" si="5"/>
        <v>192.29999999993015</v>
      </c>
      <c r="L28" s="75">
        <f>jar_information!H13</f>
        <v>371.24882105804681</v>
      </c>
      <c r="M28" s="74" t="e">
        <f t="shared" si="6"/>
        <v>#DIV/0!</v>
      </c>
      <c r="N28" s="74" t="e">
        <f t="shared" si="7"/>
        <v>#DIV/0!</v>
      </c>
      <c r="O28" s="76" t="e">
        <f t="shared" si="8"/>
        <v>#DIV/0!</v>
      </c>
      <c r="P28" s="77" t="e">
        <f t="shared" si="9"/>
        <v>#DIV/0!</v>
      </c>
      <c r="Q28" s="159"/>
      <c r="R28" s="78">
        <f t="shared" si="10"/>
        <v>0</v>
      </c>
      <c r="S28" s="78" t="e">
        <f t="shared" si="11"/>
        <v>#DIV/0!</v>
      </c>
      <c r="T28" s="79" t="e">
        <f t="shared" si="12"/>
        <v>#DIV/0!</v>
      </c>
      <c r="U28" s="7" t="e">
        <f t="shared" si="13"/>
        <v>#DIV/0!</v>
      </c>
      <c r="V28" s="90" t="e">
        <f t="shared" si="14"/>
        <v>#DIV/0!</v>
      </c>
      <c r="W28" s="211">
        <f t="shared" si="17"/>
        <v>3.8242757661929319</v>
      </c>
      <c r="X28" s="211" t="e">
        <f t="shared" si="15"/>
        <v>#DIV/0!</v>
      </c>
      <c r="Y28" s="211">
        <v>1.0429842998707997</v>
      </c>
      <c r="Z28" s="211" t="e">
        <f t="shared" si="16"/>
        <v>#DIV/0!</v>
      </c>
      <c r="AA28" s="212">
        <v>44172.541666666664</v>
      </c>
      <c r="AB28" s="4" t="s">
        <v>302</v>
      </c>
    </row>
    <row r="29" spans="1:28">
      <c r="A29" t="s">
        <v>303</v>
      </c>
      <c r="B29" s="71">
        <f t="shared" si="1"/>
        <v>44173.469444444447</v>
      </c>
      <c r="C29" s="44"/>
      <c r="D29" s="80"/>
      <c r="E29" s="81"/>
      <c r="F29" s="72" t="e">
        <f t="shared" si="2"/>
        <v>#DIV/0!</v>
      </c>
      <c r="G29" s="72" t="e">
        <f t="shared" si="3"/>
        <v>#DIV/0!</v>
      </c>
      <c r="H29" s="96">
        <v>0.4694444444444445</v>
      </c>
      <c r="I29" s="73">
        <f>jar_information!M14</f>
        <v>44165.4375</v>
      </c>
      <c r="J29" s="74">
        <f t="shared" si="4"/>
        <v>8.0319444444467081</v>
      </c>
      <c r="K29" s="74">
        <f t="shared" si="5"/>
        <v>192.76666666672099</v>
      </c>
      <c r="L29" s="75">
        <f>jar_information!H14</f>
        <v>368.18572718286885</v>
      </c>
      <c r="M29" s="74" t="e">
        <f t="shared" si="6"/>
        <v>#DIV/0!</v>
      </c>
      <c r="N29" s="74" t="e">
        <f t="shared" si="7"/>
        <v>#DIV/0!</v>
      </c>
      <c r="O29" s="76" t="e">
        <f t="shared" si="8"/>
        <v>#DIV/0!</v>
      </c>
      <c r="P29" s="77" t="e">
        <f t="shared" si="9"/>
        <v>#DIV/0!</v>
      </c>
      <c r="Q29" s="159"/>
      <c r="R29" s="78">
        <f t="shared" si="10"/>
        <v>0</v>
      </c>
      <c r="S29" s="78" t="e">
        <f t="shared" si="11"/>
        <v>#DIV/0!</v>
      </c>
      <c r="T29" s="79" t="e">
        <f t="shared" si="12"/>
        <v>#DIV/0!</v>
      </c>
      <c r="U29" s="7" t="e">
        <f t="shared" si="13"/>
        <v>#DIV/0!</v>
      </c>
      <c r="V29" s="90" t="e">
        <f t="shared" si="14"/>
        <v>#DIV/0!</v>
      </c>
      <c r="W29" s="211">
        <f t="shared" si="17"/>
        <v>3.8242757661929319</v>
      </c>
      <c r="X29" s="211" t="e">
        <f t="shared" si="15"/>
        <v>#DIV/0!</v>
      </c>
      <c r="Y29" s="211">
        <v>1.0429842998707997</v>
      </c>
      <c r="Z29" s="211" t="e">
        <f t="shared" si="16"/>
        <v>#DIV/0!</v>
      </c>
      <c r="AA29" s="212">
        <v>44172.541666666664</v>
      </c>
      <c r="AB29" s="4" t="s">
        <v>303</v>
      </c>
    </row>
    <row r="30" spans="1:28">
      <c r="A30" t="s">
        <v>304</v>
      </c>
      <c r="B30" s="71">
        <f t="shared" si="1"/>
        <v>44173.469444444447</v>
      </c>
      <c r="C30" s="44"/>
      <c r="D30" s="80"/>
      <c r="E30" s="81"/>
      <c r="F30" s="72" t="e">
        <f t="shared" si="2"/>
        <v>#DIV/0!</v>
      </c>
      <c r="G30" s="72" t="e">
        <f t="shared" si="3"/>
        <v>#DIV/0!</v>
      </c>
      <c r="H30" s="96">
        <v>0.4694444444444445</v>
      </c>
      <c r="I30" s="73">
        <f>jar_information!M15</f>
        <v>44165.4375</v>
      </c>
      <c r="J30" s="74">
        <f t="shared" si="4"/>
        <v>8.0319444444467081</v>
      </c>
      <c r="K30" s="74">
        <f t="shared" si="5"/>
        <v>192.76666666672099</v>
      </c>
      <c r="L30" s="75">
        <f>jar_information!H15</f>
        <v>368.18572718286885</v>
      </c>
      <c r="M30" s="74" t="e">
        <f t="shared" si="6"/>
        <v>#DIV/0!</v>
      </c>
      <c r="N30" s="74" t="e">
        <f t="shared" si="7"/>
        <v>#DIV/0!</v>
      </c>
      <c r="O30" s="76" t="e">
        <f t="shared" si="8"/>
        <v>#DIV/0!</v>
      </c>
      <c r="P30" s="77" t="e">
        <f t="shared" si="9"/>
        <v>#DIV/0!</v>
      </c>
      <c r="Q30" s="159"/>
      <c r="R30" s="78">
        <f t="shared" si="10"/>
        <v>0</v>
      </c>
      <c r="S30" s="78" t="e">
        <f t="shared" si="11"/>
        <v>#DIV/0!</v>
      </c>
      <c r="T30" s="79" t="e">
        <f t="shared" si="12"/>
        <v>#DIV/0!</v>
      </c>
      <c r="U30" s="7" t="e">
        <f t="shared" si="13"/>
        <v>#DIV/0!</v>
      </c>
      <c r="V30" s="90" t="e">
        <f t="shared" si="14"/>
        <v>#DIV/0!</v>
      </c>
      <c r="W30" s="211">
        <f t="shared" si="17"/>
        <v>13.11505575573193</v>
      </c>
      <c r="X30" s="211" t="e">
        <f t="shared" si="15"/>
        <v>#DIV/0!</v>
      </c>
      <c r="Y30" s="211">
        <v>3.5768333879268903</v>
      </c>
      <c r="Z30" s="211" t="e">
        <f t="shared" si="16"/>
        <v>#DIV/0!</v>
      </c>
      <c r="AA30" s="212">
        <v>44172.541666666664</v>
      </c>
      <c r="AB30" s="4" t="s">
        <v>304</v>
      </c>
    </row>
    <row r="31" spans="1:28">
      <c r="A31" t="s">
        <v>305</v>
      </c>
      <c r="B31" s="71">
        <f t="shared" si="1"/>
        <v>44173.469444444447</v>
      </c>
      <c r="C31" s="44">
        <v>0.4</v>
      </c>
      <c r="D31" s="80">
        <v>477.06</v>
      </c>
      <c r="E31" s="81">
        <v>92.629000000000005</v>
      </c>
      <c r="F31" s="72">
        <f t="shared" si="2"/>
        <v>1.3464274128057343E-2</v>
      </c>
      <c r="G31" s="72">
        <f t="shared" si="3"/>
        <v>1.4147433756962279E-2</v>
      </c>
      <c r="H31" s="96">
        <v>0.4694444444444445</v>
      </c>
      <c r="I31" s="73">
        <f>jar_information!M16</f>
        <v>44165.4375</v>
      </c>
      <c r="J31" s="74">
        <f t="shared" si="4"/>
        <v>8.0319444444467081</v>
      </c>
      <c r="K31" s="74">
        <f t="shared" si="5"/>
        <v>192.76666666672099</v>
      </c>
      <c r="L31" s="75">
        <f>jar_information!H16</f>
        <v>377.39652937427036</v>
      </c>
      <c r="M31" s="74">
        <f t="shared" si="6"/>
        <v>5.0813703264726211</v>
      </c>
      <c r="N31" s="74">
        <f t="shared" si="7"/>
        <v>9.2989076974448963</v>
      </c>
      <c r="O31" s="76">
        <f t="shared" si="8"/>
        <v>2.5360657356667895</v>
      </c>
      <c r="P31" s="77">
        <f t="shared" si="9"/>
        <v>1.3049020106678784</v>
      </c>
      <c r="Q31" s="159"/>
      <c r="R31" s="78">
        <f t="shared" si="10"/>
        <v>0</v>
      </c>
      <c r="S31" s="78">
        <f t="shared" si="11"/>
        <v>0</v>
      </c>
      <c r="T31" s="79">
        <f t="shared" si="12"/>
        <v>13464.274128057343</v>
      </c>
      <c r="U31" s="7">
        <f t="shared" si="13"/>
        <v>1.3464274128057343</v>
      </c>
      <c r="V31" s="90">
        <f t="shared" si="14"/>
        <v>1.3156142498700025E-2</v>
      </c>
      <c r="W31" s="137">
        <f t="shared" si="17"/>
        <v>13.11505575573193</v>
      </c>
      <c r="X31" s="137">
        <f t="shared" si="15"/>
        <v>3.816148058287034</v>
      </c>
      <c r="Y31" s="137">
        <v>3.5768333879268903</v>
      </c>
      <c r="Z31" s="137">
        <f t="shared" si="16"/>
        <v>3.2962031878611722</v>
      </c>
      <c r="AB31" s="4" t="s">
        <v>305</v>
      </c>
    </row>
    <row r="32" spans="1:28">
      <c r="A32" t="s">
        <v>306</v>
      </c>
      <c r="B32" s="71">
        <f t="shared" si="1"/>
        <v>44173.469444444447</v>
      </c>
      <c r="C32" s="44"/>
      <c r="D32" s="80"/>
      <c r="E32" s="81"/>
      <c r="F32" s="72" t="e">
        <f t="shared" si="2"/>
        <v>#DIV/0!</v>
      </c>
      <c r="G32" s="72" t="e">
        <f t="shared" si="3"/>
        <v>#DIV/0!</v>
      </c>
      <c r="H32" s="96">
        <v>0.4694444444444445</v>
      </c>
      <c r="I32" s="73">
        <f>jar_information!M17</f>
        <v>44165.4375</v>
      </c>
      <c r="J32" s="74">
        <f t="shared" si="4"/>
        <v>8.0319444444467081</v>
      </c>
      <c r="K32" s="74">
        <f t="shared" si="5"/>
        <v>192.76666666672099</v>
      </c>
      <c r="L32" s="75">
        <f>jar_information!H17</f>
        <v>371.24882105804681</v>
      </c>
      <c r="M32" s="74" t="e">
        <f t="shared" si="6"/>
        <v>#DIV/0!</v>
      </c>
      <c r="N32" s="74" t="e">
        <f t="shared" si="7"/>
        <v>#DIV/0!</v>
      </c>
      <c r="O32" s="76" t="e">
        <f t="shared" si="8"/>
        <v>#DIV/0!</v>
      </c>
      <c r="P32" s="77" t="e">
        <f t="shared" si="9"/>
        <v>#DIV/0!</v>
      </c>
      <c r="Q32" s="160"/>
      <c r="R32" s="78">
        <f t="shared" si="10"/>
        <v>0</v>
      </c>
      <c r="S32" s="78" t="e">
        <f t="shared" si="11"/>
        <v>#DIV/0!</v>
      </c>
      <c r="T32" s="79" t="e">
        <f t="shared" si="12"/>
        <v>#DIV/0!</v>
      </c>
      <c r="U32" s="7" t="e">
        <f t="shared" si="13"/>
        <v>#DIV/0!</v>
      </c>
      <c r="V32" s="90" t="e">
        <f t="shared" si="14"/>
        <v>#DIV/0!</v>
      </c>
      <c r="W32" s="211">
        <f t="shared" si="17"/>
        <v>4.5824768522907515</v>
      </c>
      <c r="X32" s="211" t="e">
        <f t="shared" si="15"/>
        <v>#DIV/0!</v>
      </c>
      <c r="Y32" s="211">
        <v>1.249766414261114</v>
      </c>
      <c r="Z32" s="211" t="e">
        <f t="shared" si="16"/>
        <v>#DIV/0!</v>
      </c>
      <c r="AA32" s="212">
        <v>44169.5625</v>
      </c>
      <c r="AB32" s="4" t="s">
        <v>306</v>
      </c>
    </row>
    <row r="33" spans="1:28">
      <c r="A33" t="s">
        <v>307</v>
      </c>
      <c r="B33" s="71">
        <f t="shared" si="1"/>
        <v>44173.469444444447</v>
      </c>
      <c r="C33" s="44"/>
      <c r="D33" s="80"/>
      <c r="E33" s="81"/>
      <c r="F33" s="72" t="e">
        <f t="shared" si="2"/>
        <v>#DIV/0!</v>
      </c>
      <c r="G33" s="72" t="e">
        <f t="shared" si="3"/>
        <v>#DIV/0!</v>
      </c>
      <c r="H33" s="96">
        <v>0.4694444444444445</v>
      </c>
      <c r="I33" s="73">
        <f>jar_information!M18</f>
        <v>44165.4375</v>
      </c>
      <c r="J33" s="74">
        <f t="shared" si="4"/>
        <v>8.0319444444467081</v>
      </c>
      <c r="K33" s="74">
        <f t="shared" si="5"/>
        <v>192.76666666672099</v>
      </c>
      <c r="L33" s="75">
        <f>jar_information!H18</f>
        <v>368.18572718286885</v>
      </c>
      <c r="M33" s="74" t="e">
        <f t="shared" si="6"/>
        <v>#DIV/0!</v>
      </c>
      <c r="N33" s="74" t="e">
        <f t="shared" si="7"/>
        <v>#DIV/0!</v>
      </c>
      <c r="O33" s="76" t="e">
        <f t="shared" si="8"/>
        <v>#DIV/0!</v>
      </c>
      <c r="P33" s="77" t="e">
        <f t="shared" si="9"/>
        <v>#DIV/0!</v>
      </c>
      <c r="Q33" s="159"/>
      <c r="R33" s="78">
        <f t="shared" si="10"/>
        <v>0</v>
      </c>
      <c r="S33" s="78" t="e">
        <f t="shared" si="11"/>
        <v>#DIV/0!</v>
      </c>
      <c r="T33" s="79" t="e">
        <f t="shared" si="12"/>
        <v>#DIV/0!</v>
      </c>
      <c r="U33" s="7" t="e">
        <f t="shared" si="13"/>
        <v>#DIV/0!</v>
      </c>
      <c r="V33" s="90" t="e">
        <f t="shared" si="14"/>
        <v>#DIV/0!</v>
      </c>
      <c r="W33" s="211">
        <f t="shared" si="17"/>
        <v>4.5824768522907515</v>
      </c>
      <c r="X33" s="211" t="e">
        <f t="shared" si="15"/>
        <v>#DIV/0!</v>
      </c>
      <c r="Y33" s="211">
        <v>1.249766414261114</v>
      </c>
      <c r="Z33" s="211" t="e">
        <f t="shared" si="16"/>
        <v>#DIV/0!</v>
      </c>
      <c r="AA33" s="212">
        <v>44169.5625</v>
      </c>
      <c r="AB33" s="4" t="s">
        <v>307</v>
      </c>
    </row>
    <row r="34" spans="1:28">
      <c r="A34" t="s">
        <v>308</v>
      </c>
      <c r="B34" s="71">
        <f t="shared" si="1"/>
        <v>44173.469444444447</v>
      </c>
      <c r="C34" s="44">
        <v>0.4</v>
      </c>
      <c r="D34" s="80">
        <v>470.2</v>
      </c>
      <c r="E34" s="81">
        <v>91.468999999999994</v>
      </c>
      <c r="F34" s="72">
        <f t="shared" si="2"/>
        <v>1.3263362350244239E-2</v>
      </c>
      <c r="G34" s="72">
        <f t="shared" si="3"/>
        <v>1.3955456509156621E-2</v>
      </c>
      <c r="H34" s="96">
        <v>0.4694444444444445</v>
      </c>
      <c r="I34" s="73">
        <f>jar_information!M19</f>
        <v>44165.4375</v>
      </c>
      <c r="J34" s="74">
        <f t="shared" si="4"/>
        <v>8.0319444444467081</v>
      </c>
      <c r="K34" s="74">
        <f t="shared" si="5"/>
        <v>192.76666666672099</v>
      </c>
      <c r="L34" s="75">
        <f>jar_information!H19</f>
        <v>374.31908006509644</v>
      </c>
      <c r="M34" s="74">
        <f t="shared" si="6"/>
        <v>4.964729593513459</v>
      </c>
      <c r="N34" s="74">
        <f t="shared" si="7"/>
        <v>9.0854551561296297</v>
      </c>
      <c r="O34" s="76">
        <f t="shared" si="8"/>
        <v>2.4778514062171717</v>
      </c>
      <c r="P34" s="77">
        <f t="shared" si="9"/>
        <v>1.2800156782957541</v>
      </c>
      <c r="Q34" s="159"/>
      <c r="R34" s="78">
        <f t="shared" si="10"/>
        <v>0</v>
      </c>
      <c r="S34" s="78">
        <f t="shared" si="11"/>
        <v>0</v>
      </c>
      <c r="T34" s="79">
        <f t="shared" si="12"/>
        <v>13263.362350244239</v>
      </c>
      <c r="U34" s="7">
        <f t="shared" si="13"/>
        <v>1.3263362350244239</v>
      </c>
      <c r="V34" s="90">
        <f t="shared" si="14"/>
        <v>1.2854148743990006E-2</v>
      </c>
      <c r="W34" s="137">
        <f t="shared" si="17"/>
        <v>12.14735031673621</v>
      </c>
      <c r="X34" s="137">
        <f t="shared" si="15"/>
        <v>3.0618951606065803</v>
      </c>
      <c r="Y34" s="137">
        <v>3.3129137227462393</v>
      </c>
      <c r="Z34" s="137">
        <f t="shared" si="16"/>
        <v>2.7068508293852833</v>
      </c>
      <c r="AB34" s="4" t="s">
        <v>308</v>
      </c>
    </row>
    <row r="35" spans="1:28">
      <c r="A35" t="s">
        <v>309</v>
      </c>
      <c r="B35" s="71">
        <f t="shared" si="1"/>
        <v>44173.469444444447</v>
      </c>
      <c r="C35" s="44"/>
      <c r="D35" s="80"/>
      <c r="E35" s="81"/>
      <c r="F35" s="72" t="e">
        <f t="shared" si="2"/>
        <v>#DIV/0!</v>
      </c>
      <c r="G35" s="72" t="e">
        <f t="shared" si="3"/>
        <v>#DIV/0!</v>
      </c>
      <c r="H35" s="96">
        <v>0.4694444444444445</v>
      </c>
      <c r="I35" s="73">
        <f>jar_information!M20</f>
        <v>44165.4375</v>
      </c>
      <c r="J35" s="74">
        <f t="shared" si="4"/>
        <v>8.0319444444467081</v>
      </c>
      <c r="K35" s="74">
        <f t="shared" si="5"/>
        <v>192.76666666672099</v>
      </c>
      <c r="L35" s="75">
        <f>jar_information!H20</f>
        <v>368.18572718286885</v>
      </c>
      <c r="M35" s="74" t="e">
        <f t="shared" si="6"/>
        <v>#DIV/0!</v>
      </c>
      <c r="N35" s="74" t="e">
        <f t="shared" si="7"/>
        <v>#DIV/0!</v>
      </c>
      <c r="O35" s="76" t="e">
        <f t="shared" si="8"/>
        <v>#DIV/0!</v>
      </c>
      <c r="P35" s="77" t="e">
        <f t="shared" si="9"/>
        <v>#DIV/0!</v>
      </c>
      <c r="Q35" s="159"/>
      <c r="R35" s="78">
        <f t="shared" si="10"/>
        <v>0</v>
      </c>
      <c r="S35" s="78" t="e">
        <f t="shared" si="11"/>
        <v>#DIV/0!</v>
      </c>
      <c r="T35" s="79" t="e">
        <f t="shared" si="12"/>
        <v>#DIV/0!</v>
      </c>
      <c r="U35" s="7" t="e">
        <f t="shared" si="13"/>
        <v>#DIV/0!</v>
      </c>
      <c r="V35" s="90" t="e">
        <f t="shared" si="14"/>
        <v>#DIV/0!</v>
      </c>
      <c r="W35" s="211">
        <f t="shared" si="17"/>
        <v>12.14735031673621</v>
      </c>
      <c r="X35" s="211" t="e">
        <f t="shared" si="15"/>
        <v>#DIV/0!</v>
      </c>
      <c r="Y35" s="211">
        <v>3.3129137227462393</v>
      </c>
      <c r="Z35" s="211" t="e">
        <f t="shared" si="16"/>
        <v>#DIV/0!</v>
      </c>
      <c r="AA35" s="212">
        <v>44172.541666666664</v>
      </c>
      <c r="AB35" s="4" t="s">
        <v>309</v>
      </c>
    </row>
    <row r="36" spans="1:28">
      <c r="A36" t="s">
        <v>310</v>
      </c>
      <c r="B36" s="71">
        <f t="shared" si="1"/>
        <v>44173.469444444447</v>
      </c>
      <c r="C36" s="44">
        <v>1</v>
      </c>
      <c r="D36" s="80">
        <v>650.52</v>
      </c>
      <c r="E36" s="81">
        <v>127.87</v>
      </c>
      <c r="F36" s="72">
        <f t="shared" si="2"/>
        <v>7.4177887753897271E-3</v>
      </c>
      <c r="G36" s="72">
        <f t="shared" si="3"/>
        <v>7.9918942579294636E-3</v>
      </c>
      <c r="H36" s="96">
        <v>0.4694444444444445</v>
      </c>
      <c r="I36" s="73">
        <f>jar_information!M21</f>
        <v>44165.4375</v>
      </c>
      <c r="J36" s="74">
        <f t="shared" si="4"/>
        <v>8.0319444444467081</v>
      </c>
      <c r="K36" s="74">
        <f t="shared" si="5"/>
        <v>192.76666666672099</v>
      </c>
      <c r="L36" s="75">
        <f>jar_information!H21</f>
        <v>380.48119427385262</v>
      </c>
      <c r="M36" s="74">
        <f t="shared" si="6"/>
        <v>2.8223291321314621</v>
      </c>
      <c r="N36" s="74">
        <f t="shared" si="7"/>
        <v>5.1648623118005759</v>
      </c>
      <c r="O36" s="76">
        <f t="shared" si="8"/>
        <v>1.4085988123092479</v>
      </c>
      <c r="P36" s="77">
        <f t="shared" si="9"/>
        <v>0.72191300579370699</v>
      </c>
      <c r="Q36" s="159">
        <v>182.7</v>
      </c>
      <c r="R36" s="78">
        <f t="shared" si="10"/>
        <v>0.58055290753098188</v>
      </c>
      <c r="S36" s="78">
        <f t="shared" si="11"/>
        <v>80.41867965693362</v>
      </c>
      <c r="T36" s="79">
        <f t="shared" si="12"/>
        <v>7417.7887753897267</v>
      </c>
      <c r="U36" s="7">
        <f t="shared" si="13"/>
        <v>0.74177887753897276</v>
      </c>
      <c r="V36" s="90">
        <f t="shared" si="14"/>
        <v>7.3072737972100172E-3</v>
      </c>
      <c r="W36" s="211">
        <f t="shared" si="17"/>
        <v>4.7370562835765471</v>
      </c>
      <c r="X36" s="211" t="str">
        <f t="shared" si="15"/>
        <v>!</v>
      </c>
      <c r="Y36" s="211">
        <v>1.2919244409754218</v>
      </c>
      <c r="Z36" s="211" t="str">
        <f t="shared" si="16"/>
        <v>&lt;1</v>
      </c>
      <c r="AA36" s="212">
        <v>44173.583333333336</v>
      </c>
      <c r="AB36" s="4" t="s">
        <v>310</v>
      </c>
    </row>
    <row r="37" spans="1:28">
      <c r="A37" t="s">
        <v>311</v>
      </c>
      <c r="B37" s="71">
        <f t="shared" si="1"/>
        <v>44173.469444444447</v>
      </c>
      <c r="C37" s="44"/>
      <c r="D37" s="80"/>
      <c r="E37" s="81"/>
      <c r="F37" s="72" t="e">
        <f t="shared" si="2"/>
        <v>#DIV/0!</v>
      </c>
      <c r="G37" s="72" t="e">
        <f t="shared" si="3"/>
        <v>#DIV/0!</v>
      </c>
      <c r="H37" s="96">
        <v>0.4694444444444445</v>
      </c>
      <c r="I37" s="73">
        <f>jar_information!M22</f>
        <v>44165.4375</v>
      </c>
      <c r="J37" s="74">
        <f t="shared" si="4"/>
        <v>8.0319444444467081</v>
      </c>
      <c r="K37" s="74">
        <f t="shared" si="5"/>
        <v>192.76666666672099</v>
      </c>
      <c r="L37" s="75">
        <f>jar_information!H22</f>
        <v>368.18572718286885</v>
      </c>
      <c r="M37" s="74" t="e">
        <f t="shared" si="6"/>
        <v>#DIV/0!</v>
      </c>
      <c r="N37" s="74" t="e">
        <f t="shared" si="7"/>
        <v>#DIV/0!</v>
      </c>
      <c r="O37" s="76" t="e">
        <f t="shared" si="8"/>
        <v>#DIV/0!</v>
      </c>
      <c r="P37" s="77" t="e">
        <f t="shared" si="9"/>
        <v>#DIV/0!</v>
      </c>
      <c r="Q37" s="159"/>
      <c r="R37" s="78">
        <f t="shared" si="10"/>
        <v>0</v>
      </c>
      <c r="S37" s="78" t="e">
        <f t="shared" si="11"/>
        <v>#DIV/0!</v>
      </c>
      <c r="T37" s="79" t="e">
        <f t="shared" si="12"/>
        <v>#DIV/0!</v>
      </c>
      <c r="U37" s="7" t="e">
        <f t="shared" si="13"/>
        <v>#DIV/0!</v>
      </c>
      <c r="V37" s="90" t="e">
        <f t="shared" si="14"/>
        <v>#DIV/0!</v>
      </c>
      <c r="W37" s="211">
        <f t="shared" si="17"/>
        <v>4.7370562835765471</v>
      </c>
      <c r="X37" s="211" t="e">
        <f t="shared" si="15"/>
        <v>#DIV/0!</v>
      </c>
      <c r="Y37" s="211">
        <v>1.2919244409754218</v>
      </c>
      <c r="Z37" s="211" t="e">
        <f t="shared" si="16"/>
        <v>#DIV/0!</v>
      </c>
      <c r="AA37" s="212">
        <v>44169.5625</v>
      </c>
      <c r="AB37" s="4" t="s">
        <v>311</v>
      </c>
    </row>
    <row r="38" spans="1:28">
      <c r="A38" t="s">
        <v>312</v>
      </c>
      <c r="B38" s="71">
        <f t="shared" si="1"/>
        <v>44173.469444444447</v>
      </c>
      <c r="C38" s="44">
        <v>1</v>
      </c>
      <c r="D38" s="80">
        <v>204.94</v>
      </c>
      <c r="E38" s="81">
        <v>42.338000000000001</v>
      </c>
      <c r="F38" s="72">
        <f t="shared" si="2"/>
        <v>2.1978313434386238E-3</v>
      </c>
      <c r="G38" s="72">
        <f t="shared" si="3"/>
        <v>2.3297570305799635E-3</v>
      </c>
      <c r="H38" s="96">
        <v>0.4694444444444445</v>
      </c>
      <c r="I38" s="73">
        <f>jar_information!M23</f>
        <v>44165.4375</v>
      </c>
      <c r="J38" s="74">
        <f t="shared" si="4"/>
        <v>8.0319444444467081</v>
      </c>
      <c r="K38" s="74">
        <f t="shared" si="5"/>
        <v>192.76666666672099</v>
      </c>
      <c r="L38" s="75">
        <f>jar_information!H23</f>
        <v>389.7787371829466</v>
      </c>
      <c r="M38" s="74">
        <f t="shared" si="6"/>
        <v>0.85666792558660576</v>
      </c>
      <c r="N38" s="74">
        <f t="shared" si="7"/>
        <v>1.5677023038234885</v>
      </c>
      <c r="O38" s="76">
        <f t="shared" si="8"/>
        <v>0.42755517377004232</v>
      </c>
      <c r="P38" s="77">
        <f t="shared" si="9"/>
        <v>0.21654428190613709</v>
      </c>
      <c r="Q38" s="159"/>
      <c r="R38" s="78">
        <f t="shared" si="10"/>
        <v>0</v>
      </c>
      <c r="S38" s="78">
        <f t="shared" si="11"/>
        <v>0</v>
      </c>
      <c r="T38" s="79">
        <f t="shared" si="12"/>
        <v>2197.8313434386237</v>
      </c>
      <c r="U38" s="7">
        <f t="shared" si="13"/>
        <v>0.21978313434386237</v>
      </c>
      <c r="V38" s="90">
        <f t="shared" si="14"/>
        <v>2.2179932929444327E-3</v>
      </c>
      <c r="W38" s="137">
        <f t="shared" si="17"/>
        <v>4.0044384396609969</v>
      </c>
      <c r="X38" s="137">
        <f t="shared" si="15"/>
        <v>2.4367361358375081</v>
      </c>
      <c r="Y38" s="137">
        <v>1.0921195744529992</v>
      </c>
      <c r="Z38" s="137">
        <f t="shared" si="16"/>
        <v>12.484340439564885</v>
      </c>
      <c r="AB38" s="4" t="s">
        <v>312</v>
      </c>
    </row>
    <row r="39" spans="1:28">
      <c r="A39" t="s">
        <v>313</v>
      </c>
      <c r="B39" s="71">
        <f t="shared" si="1"/>
        <v>44173.469444444447</v>
      </c>
      <c r="C39" s="44">
        <v>1</v>
      </c>
      <c r="D39" s="80">
        <v>339.06</v>
      </c>
      <c r="E39" s="81">
        <v>65.405000000000001</v>
      </c>
      <c r="F39" s="72">
        <f t="shared" si="2"/>
        <v>3.7690434507443422E-3</v>
      </c>
      <c r="G39" s="72">
        <f t="shared" si="3"/>
        <v>3.8567705392465552E-3</v>
      </c>
      <c r="H39" s="96">
        <v>0.4694444444444445</v>
      </c>
      <c r="I39" s="73">
        <f>jar_information!M24</f>
        <v>44165.4375</v>
      </c>
      <c r="J39" s="74">
        <f t="shared" si="4"/>
        <v>8.0319444444467081</v>
      </c>
      <c r="K39" s="74">
        <f t="shared" si="5"/>
        <v>192.76666666672099</v>
      </c>
      <c r="L39" s="75">
        <f>jar_information!H24</f>
        <v>380.48119427385262</v>
      </c>
      <c r="M39" s="74">
        <f t="shared" si="6"/>
        <v>1.43405015340925</v>
      </c>
      <c r="N39" s="74">
        <f t="shared" si="7"/>
        <v>2.6243117807389278</v>
      </c>
      <c r="O39" s="76">
        <f t="shared" si="8"/>
        <v>0.71572139474698027</v>
      </c>
      <c r="P39" s="77">
        <f t="shared" si="9"/>
        <v>0.36681032163132443</v>
      </c>
      <c r="Q39" s="159"/>
      <c r="R39" s="78">
        <f t="shared" si="10"/>
        <v>0</v>
      </c>
      <c r="S39" s="78">
        <f t="shared" si="11"/>
        <v>0</v>
      </c>
      <c r="T39" s="79">
        <f t="shared" si="12"/>
        <v>3769.043450744342</v>
      </c>
      <c r="U39" s="7">
        <f t="shared" si="13"/>
        <v>0.37690434507443427</v>
      </c>
      <c r="V39" s="90">
        <f t="shared" si="14"/>
        <v>3.7128898223073416E-3</v>
      </c>
      <c r="W39" s="137">
        <f t="shared" si="17"/>
        <v>4.0044384396609969</v>
      </c>
      <c r="X39" s="137">
        <f t="shared" si="15"/>
        <v>1.3801266589220691</v>
      </c>
      <c r="Y39" s="137">
        <v>1.0921195744529992</v>
      </c>
      <c r="Z39" s="137">
        <f t="shared" si="16"/>
        <v>4.2240029298807951</v>
      </c>
      <c r="AB39" t="s">
        <v>313</v>
      </c>
    </row>
  </sheetData>
  <conditionalFormatting sqref="O18:O39">
    <cfRule type="cellIs" dxfId="7" priority="2" operator="greaterThan">
      <formula>4</formula>
    </cfRule>
    <cfRule type="cellIs" dxfId="6" priority="3" operator="between">
      <formula>2</formula>
      <formula>3.9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B18" sqref="B18"/>
    </sheetView>
  </sheetViews>
  <sheetFormatPr baseColWidth="10" defaultRowHeight="14" x14ac:dyDescent="0"/>
  <cols>
    <col min="2" max="2" width="16.5" bestFit="1" customWidth="1"/>
    <col min="6" max="6" width="15.5" bestFit="1" customWidth="1"/>
    <col min="7" max="7" width="17" bestFit="1" customWidth="1"/>
    <col min="27" max="27" width="15.1640625" bestFit="1" customWidth="1"/>
  </cols>
  <sheetData>
    <row r="1" spans="1:27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7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7">
      <c r="A3" s="44">
        <v>5</v>
      </c>
      <c r="B3" s="52">
        <v>44176</v>
      </c>
      <c r="C3" s="53">
        <v>2992</v>
      </c>
      <c r="D3" s="42">
        <v>1463.5</v>
      </c>
      <c r="E3" s="54">
        <v>266.49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7">
      <c r="A4" s="44">
        <v>4.4000000000000004</v>
      </c>
      <c r="B4" s="52">
        <v>44176</v>
      </c>
      <c r="C4" s="53">
        <v>2992</v>
      </c>
      <c r="D4" s="54">
        <v>1191.5999999999999</v>
      </c>
      <c r="E4" s="54">
        <v>213.89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7">
      <c r="A5" s="44">
        <v>4</v>
      </c>
      <c r="B5" s="52">
        <v>44176</v>
      </c>
      <c r="C5" s="53">
        <v>2992</v>
      </c>
      <c r="D5" s="42">
        <v>955.96</v>
      </c>
      <c r="E5" s="54">
        <v>185.58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7">
      <c r="A6" s="44">
        <v>3.4</v>
      </c>
      <c r="B6" s="52">
        <v>44176</v>
      </c>
      <c r="C6" s="53">
        <v>2992</v>
      </c>
      <c r="D6" s="54">
        <v>821.11</v>
      </c>
      <c r="E6" s="54">
        <v>148.53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7">
      <c r="A7" s="44">
        <v>3</v>
      </c>
      <c r="B7" s="52">
        <v>44176</v>
      </c>
      <c r="C7" s="53">
        <v>2992</v>
      </c>
      <c r="D7" s="42">
        <v>799.54</v>
      </c>
      <c r="E7" s="54">
        <v>143.51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7">
      <c r="A8" s="44">
        <v>2.4</v>
      </c>
      <c r="B8" s="52">
        <v>44176</v>
      </c>
      <c r="C8" s="53">
        <v>2992</v>
      </c>
      <c r="D8" s="54">
        <v>719.29</v>
      </c>
      <c r="E8" s="54">
        <v>136.46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7">
      <c r="A9" s="44">
        <v>2</v>
      </c>
      <c r="B9" s="52">
        <v>44176</v>
      </c>
      <c r="C9" s="53">
        <v>2992</v>
      </c>
      <c r="D9" s="42">
        <v>566.86</v>
      </c>
      <c r="E9" s="54">
        <v>111.52</v>
      </c>
      <c r="F9" s="55">
        <f t="shared" si="0"/>
        <v>5.984</v>
      </c>
      <c r="G9" s="58" t="s">
        <v>70</v>
      </c>
      <c r="H9" s="58"/>
      <c r="I9" s="59">
        <f>SLOPE(F3:F15,D3:D15)</f>
        <v>1.0927887713190594E-2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7">
      <c r="A10" s="44">
        <v>1.4</v>
      </c>
      <c r="B10" s="52">
        <v>44176</v>
      </c>
      <c r="C10" s="53">
        <v>2992</v>
      </c>
      <c r="D10" s="42">
        <v>413</v>
      </c>
      <c r="E10" s="54">
        <v>81.545000000000002</v>
      </c>
      <c r="F10" s="55">
        <f t="shared" si="0"/>
        <v>4.1887999999999996</v>
      </c>
      <c r="G10" s="58" t="s">
        <v>71</v>
      </c>
      <c r="H10" s="58"/>
      <c r="I10" s="59">
        <f>INTERCEPT(F3:F15,D3:D15)</f>
        <v>7.7530808512372928E-2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7">
      <c r="A11" s="44">
        <v>1</v>
      </c>
      <c r="B11" s="52">
        <v>44176</v>
      </c>
      <c r="C11" s="53">
        <v>2992</v>
      </c>
      <c r="D11" s="42">
        <v>266.14999999999998</v>
      </c>
      <c r="E11" s="54">
        <v>53.279000000000003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7">
      <c r="A12" s="60">
        <v>0.4</v>
      </c>
      <c r="B12" s="52">
        <v>44176</v>
      </c>
      <c r="C12" s="53">
        <v>2992</v>
      </c>
      <c r="D12" s="60">
        <v>107.76</v>
      </c>
      <c r="E12" s="60">
        <v>26.07</v>
      </c>
      <c r="F12" s="55">
        <f t="shared" si="0"/>
        <v>1.1968000000000001</v>
      </c>
      <c r="G12" s="61" t="s">
        <v>72</v>
      </c>
      <c r="H12" s="61"/>
      <c r="I12" s="62">
        <f>SLOPE(F3:F15,E3:E15)</f>
        <v>6.0630221932634523E-2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7">
      <c r="A13" s="60">
        <v>0.2</v>
      </c>
      <c r="B13" s="52">
        <v>44176</v>
      </c>
      <c r="C13" s="53">
        <v>2992</v>
      </c>
      <c r="D13" s="60">
        <v>55.170999999999999</v>
      </c>
      <c r="E13" s="60">
        <v>13.175000000000001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-0.18365678224060389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7">
      <c r="A14" s="60">
        <v>0.1</v>
      </c>
      <c r="B14" s="52">
        <v>44176</v>
      </c>
      <c r="C14" s="53">
        <v>2992</v>
      </c>
      <c r="D14" s="60">
        <v>22.428000000000001</v>
      </c>
      <c r="E14" s="60">
        <v>6.5389999999999997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31"/>
      <c r="X14" s="131"/>
      <c r="Y14" s="131"/>
      <c r="Z14" s="131"/>
    </row>
    <row r="15" spans="1:27">
      <c r="A15" s="60">
        <v>0</v>
      </c>
      <c r="B15" s="52">
        <v>44176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31"/>
      <c r="X15" s="131"/>
      <c r="Y15" s="131"/>
      <c r="Z15" s="131"/>
    </row>
    <row r="16" spans="1:27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155" t="s">
        <v>278</v>
      </c>
      <c r="X16" s="155" t="s">
        <v>279</v>
      </c>
      <c r="Y16" s="155" t="s">
        <v>280</v>
      </c>
      <c r="Z16" s="155" t="s">
        <v>282</v>
      </c>
      <c r="AA16" s="155" t="s">
        <v>315</v>
      </c>
    </row>
    <row r="17" spans="1:28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1" t="s">
        <v>113</v>
      </c>
      <c r="W17" s="156"/>
      <c r="X17" s="210"/>
      <c r="Y17" s="210"/>
      <c r="Z17" s="156"/>
    </row>
    <row r="18" spans="1:28">
      <c r="A18" s="29" t="s">
        <v>292</v>
      </c>
      <c r="B18" s="71">
        <f>$B$3+H18</f>
        <v>44176.5</v>
      </c>
      <c r="C18" s="44">
        <v>0.4</v>
      </c>
      <c r="D18" s="80">
        <v>1036.4000000000001</v>
      </c>
      <c r="E18" s="81"/>
      <c r="F18" s="72">
        <f t="shared" ref="F18:F39" si="1">((I$9*D18)+I$10)/C18/1000</f>
        <v>2.8507984086157762E-2</v>
      </c>
      <c r="G18" s="72">
        <f t="shared" ref="G18:G39" si="2">((I$12*E18)+I$13)/C18/1000</f>
        <v>-4.5914195560150975E-4</v>
      </c>
      <c r="H18" s="96">
        <v>0.5</v>
      </c>
      <c r="I18" s="73">
        <f>jar_information!M3</f>
        <v>44165.4375</v>
      </c>
      <c r="J18" s="74">
        <f t="shared" ref="J18:J39" si="3">B18-I18</f>
        <v>11.0625</v>
      </c>
      <c r="K18" s="74">
        <f t="shared" ref="K18:K39" si="4">J18*24</f>
        <v>265.5</v>
      </c>
      <c r="L18" s="75">
        <f>jar_information!H3</f>
        <v>371.24882105804681</v>
      </c>
      <c r="M18" s="74">
        <f t="shared" ref="M18:M39" si="5">F18*L18</f>
        <v>10.583555482727629</v>
      </c>
      <c r="N18" s="74">
        <f t="shared" ref="N18:N39" si="6">M18*1.83</f>
        <v>19.367906533391562</v>
      </c>
      <c r="O18" s="76">
        <f t="shared" ref="O18:O39" si="7">N18*(12/(12+(16*2)))</f>
        <v>5.2821563272886074</v>
      </c>
      <c r="P18" s="77">
        <f t="shared" ref="P18:P39" si="8">O18*(400/(400+L18))</f>
        <v>2.7395342115620838</v>
      </c>
      <c r="Q18" s="78"/>
      <c r="R18" s="78">
        <f t="shared" ref="R18:R39" si="9">Q18/314.7</f>
        <v>0</v>
      </c>
      <c r="S18" s="78">
        <f t="shared" ref="S18:S39" si="10">R18/P18*100</f>
        <v>0</v>
      </c>
      <c r="T18" s="79">
        <f t="shared" ref="T18:T39" si="11">F18*1000000</f>
        <v>28507.984086157761</v>
      </c>
      <c r="U18" s="7">
        <f t="shared" ref="U18:U39" si="12">M18/L18*100</f>
        <v>2.850798408615776</v>
      </c>
      <c r="V18" s="90">
        <f t="shared" ref="V18:V39" si="13">O18/K18</f>
        <v>1.9895127409749934E-2</v>
      </c>
      <c r="W18" s="137">
        <f>Y18*44/12</f>
        <v>21.650063430477442</v>
      </c>
      <c r="X18" s="137">
        <f t="shared" ref="X18:X39" si="14">IF((W18-N18)&lt;=0,"!",W18-N18)</f>
        <v>2.2821568970858799</v>
      </c>
      <c r="Y18" s="137">
        <v>5.9045627537665748</v>
      </c>
      <c r="Z18" s="137">
        <f t="shared" ref="Z18:Z39" si="15">IF(Y18/V18/24-J18&lt;1,"&lt;1",Y18/V18/24-J18)</f>
        <v>1.3035152059664341</v>
      </c>
      <c r="AB18" t="s">
        <v>292</v>
      </c>
    </row>
    <row r="19" spans="1:28">
      <c r="A19" s="29" t="s">
        <v>293</v>
      </c>
      <c r="B19" s="71">
        <f t="shared" ref="B19:B39" si="16">$B$3+H19</f>
        <v>44176.5</v>
      </c>
      <c r="C19" s="44">
        <v>0.4</v>
      </c>
      <c r="D19" s="80">
        <v>365.81</v>
      </c>
      <c r="E19" s="81"/>
      <c r="F19" s="72">
        <f t="shared" si="1"/>
        <v>1.0187653532186558E-2</v>
      </c>
      <c r="G19" s="72">
        <f t="shared" si="2"/>
        <v>-4.5914195560150975E-4</v>
      </c>
      <c r="H19" s="96">
        <v>0.5</v>
      </c>
      <c r="I19" s="73">
        <f>jar_information!M4</f>
        <v>44165.4375</v>
      </c>
      <c r="J19" s="74">
        <f t="shared" si="3"/>
        <v>11.0625</v>
      </c>
      <c r="K19" s="74">
        <f t="shared" si="4"/>
        <v>265.5</v>
      </c>
      <c r="L19" s="75">
        <f>jar_information!H4</f>
        <v>396.0136460677399</v>
      </c>
      <c r="M19" s="74">
        <f t="shared" si="5"/>
        <v>4.0344498201560883</v>
      </c>
      <c r="N19" s="74">
        <f t="shared" si="6"/>
        <v>7.3830431708856423</v>
      </c>
      <c r="O19" s="76">
        <f t="shared" si="7"/>
        <v>2.0135572284233567</v>
      </c>
      <c r="P19" s="77">
        <f t="shared" si="8"/>
        <v>1.0118204572849774</v>
      </c>
      <c r="Q19" s="78"/>
      <c r="R19" s="78">
        <f t="shared" si="9"/>
        <v>0</v>
      </c>
      <c r="S19" s="78">
        <f t="shared" si="10"/>
        <v>0</v>
      </c>
      <c r="T19" s="79">
        <f t="shared" si="11"/>
        <v>10187.653532186558</v>
      </c>
      <c r="U19" s="7">
        <f t="shared" si="12"/>
        <v>1.018765353218656</v>
      </c>
      <c r="V19" s="90">
        <f t="shared" si="13"/>
        <v>7.5840196927433401E-3</v>
      </c>
      <c r="W19" s="137">
        <f t="shared" ref="W19:W39" si="17">Y19*44/12</f>
        <v>21.650063430477442</v>
      </c>
      <c r="X19" s="137">
        <f t="shared" si="14"/>
        <v>14.267020259591799</v>
      </c>
      <c r="Y19" s="137">
        <v>5.9045627537665748</v>
      </c>
      <c r="Z19" s="137">
        <f t="shared" si="15"/>
        <v>21.377216409097841</v>
      </c>
      <c r="AB19" t="s">
        <v>293</v>
      </c>
    </row>
    <row r="20" spans="1:28">
      <c r="A20" s="29" t="s">
        <v>294</v>
      </c>
      <c r="B20" s="71">
        <f t="shared" si="16"/>
        <v>44176.5</v>
      </c>
      <c r="C20" s="44"/>
      <c r="D20" s="80"/>
      <c r="E20" s="81"/>
      <c r="F20" s="72" t="e">
        <f t="shared" si="1"/>
        <v>#DIV/0!</v>
      </c>
      <c r="G20" s="72" t="e">
        <f t="shared" si="2"/>
        <v>#DIV/0!</v>
      </c>
      <c r="H20" s="96">
        <v>0.5</v>
      </c>
      <c r="I20" s="73">
        <f>jar_information!M5</f>
        <v>44165.4375</v>
      </c>
      <c r="J20" s="74">
        <f t="shared" si="3"/>
        <v>11.0625</v>
      </c>
      <c r="K20" s="74">
        <f t="shared" si="4"/>
        <v>265.5</v>
      </c>
      <c r="L20" s="75">
        <f>jar_information!H5</f>
        <v>356.00450368854933</v>
      </c>
      <c r="M20" s="74" t="e">
        <f t="shared" si="5"/>
        <v>#DIV/0!</v>
      </c>
      <c r="N20" s="74" t="e">
        <f t="shared" si="6"/>
        <v>#DIV/0!</v>
      </c>
      <c r="O20" s="76" t="e">
        <f t="shared" si="7"/>
        <v>#DIV/0!</v>
      </c>
      <c r="P20" s="77" t="e">
        <f t="shared" si="8"/>
        <v>#DIV/0!</v>
      </c>
      <c r="Q20" s="78"/>
      <c r="R20" s="78">
        <f t="shared" si="9"/>
        <v>0</v>
      </c>
      <c r="S20" s="78" t="e">
        <f t="shared" si="10"/>
        <v>#DIV/0!</v>
      </c>
      <c r="T20" s="79" t="e">
        <f t="shared" si="11"/>
        <v>#DIV/0!</v>
      </c>
      <c r="U20" s="7" t="e">
        <f t="shared" si="12"/>
        <v>#DIV/0!</v>
      </c>
      <c r="V20" s="90" t="e">
        <f t="shared" si="13"/>
        <v>#DIV/0!</v>
      </c>
      <c r="W20" s="211">
        <f t="shared" si="17"/>
        <v>8.9690216559265394</v>
      </c>
      <c r="X20" s="211" t="e">
        <f t="shared" si="14"/>
        <v>#DIV/0!</v>
      </c>
      <c r="Y20" s="211">
        <v>2.4460968152526927</v>
      </c>
      <c r="Z20" s="211" t="e">
        <f t="shared" si="15"/>
        <v>#DIV/0!</v>
      </c>
      <c r="AA20" s="212">
        <v>44173.583333333336</v>
      </c>
      <c r="AB20" s="4" t="s">
        <v>294</v>
      </c>
    </row>
    <row r="21" spans="1:28">
      <c r="A21" s="29" t="s">
        <v>295</v>
      </c>
      <c r="B21" s="71">
        <f t="shared" si="16"/>
        <v>44176.5</v>
      </c>
      <c r="C21" s="44"/>
      <c r="D21" s="80"/>
      <c r="E21" s="81"/>
      <c r="F21" s="72" t="e">
        <f t="shared" si="1"/>
        <v>#DIV/0!</v>
      </c>
      <c r="G21" s="72" t="e">
        <f t="shared" si="2"/>
        <v>#DIV/0!</v>
      </c>
      <c r="H21" s="96">
        <v>0.5</v>
      </c>
      <c r="I21" s="73">
        <f>jar_information!M6</f>
        <v>44165.4375</v>
      </c>
      <c r="J21" s="74">
        <f t="shared" si="3"/>
        <v>11.0625</v>
      </c>
      <c r="K21" s="74">
        <f t="shared" si="4"/>
        <v>265.5</v>
      </c>
      <c r="L21" s="75">
        <f>jar_information!H6</f>
        <v>362.08093473315461</v>
      </c>
      <c r="M21" s="74" t="e">
        <f t="shared" si="5"/>
        <v>#DIV/0!</v>
      </c>
      <c r="N21" s="74" t="e">
        <f t="shared" si="6"/>
        <v>#DIV/0!</v>
      </c>
      <c r="O21" s="76" t="e">
        <f t="shared" si="7"/>
        <v>#DIV/0!</v>
      </c>
      <c r="P21" s="77" t="e">
        <f t="shared" si="8"/>
        <v>#DIV/0!</v>
      </c>
      <c r="Q21" s="78"/>
      <c r="R21" s="78">
        <f t="shared" si="9"/>
        <v>0</v>
      </c>
      <c r="S21" s="78" t="e">
        <f t="shared" si="10"/>
        <v>#DIV/0!</v>
      </c>
      <c r="T21" s="79" t="e">
        <f t="shared" si="11"/>
        <v>#DIV/0!</v>
      </c>
      <c r="U21" s="7" t="e">
        <f t="shared" si="12"/>
        <v>#DIV/0!</v>
      </c>
      <c r="V21" s="90" t="e">
        <f t="shared" si="13"/>
        <v>#DIV/0!</v>
      </c>
      <c r="W21" s="211">
        <f t="shared" si="17"/>
        <v>8.9690216559265394</v>
      </c>
      <c r="X21" s="211" t="e">
        <f t="shared" si="14"/>
        <v>#DIV/0!</v>
      </c>
      <c r="Y21" s="211">
        <v>2.4460968152526927</v>
      </c>
      <c r="Z21" s="211" t="e">
        <f t="shared" si="15"/>
        <v>#DIV/0!</v>
      </c>
      <c r="AA21" s="212">
        <v>44173.583333333336</v>
      </c>
      <c r="AB21" s="4" t="s">
        <v>295</v>
      </c>
    </row>
    <row r="22" spans="1:28">
      <c r="A22" s="29" t="s">
        <v>296</v>
      </c>
      <c r="B22" s="71">
        <f t="shared" si="16"/>
        <v>44176.5</v>
      </c>
      <c r="C22" s="44"/>
      <c r="D22" s="80"/>
      <c r="E22" s="81"/>
      <c r="F22" s="72" t="e">
        <f t="shared" si="1"/>
        <v>#DIV/0!</v>
      </c>
      <c r="G22" s="72" t="e">
        <f t="shared" si="2"/>
        <v>#DIV/0!</v>
      </c>
      <c r="H22" s="96">
        <v>0.5</v>
      </c>
      <c r="I22" s="73">
        <f>jar_information!M7</f>
        <v>44165.4375</v>
      </c>
      <c r="J22" s="74">
        <f t="shared" si="3"/>
        <v>11.0625</v>
      </c>
      <c r="K22" s="74">
        <f t="shared" si="4"/>
        <v>265.5</v>
      </c>
      <c r="L22" s="75">
        <f>jar_information!H7</f>
        <v>368.18572718286885</v>
      </c>
      <c r="M22" s="74" t="e">
        <f t="shared" si="5"/>
        <v>#DIV/0!</v>
      </c>
      <c r="N22" s="74" t="e">
        <f t="shared" si="6"/>
        <v>#DIV/0!</v>
      </c>
      <c r="O22" s="76" t="e">
        <f t="shared" si="7"/>
        <v>#DIV/0!</v>
      </c>
      <c r="P22" s="77" t="e">
        <f t="shared" si="8"/>
        <v>#DIV/0!</v>
      </c>
      <c r="Q22" s="78"/>
      <c r="R22" s="78">
        <f t="shared" si="9"/>
        <v>0</v>
      </c>
      <c r="S22" s="78" t="e">
        <f t="shared" si="10"/>
        <v>#DIV/0!</v>
      </c>
      <c r="T22" s="79" t="e">
        <f t="shared" si="11"/>
        <v>#DIV/0!</v>
      </c>
      <c r="U22" s="7" t="e">
        <f t="shared" si="12"/>
        <v>#DIV/0!</v>
      </c>
      <c r="V22" s="90" t="e">
        <f t="shared" si="13"/>
        <v>#DIV/0!</v>
      </c>
      <c r="W22" s="211">
        <f t="shared" si="17"/>
        <v>4.4310190566310377</v>
      </c>
      <c r="X22" s="211" t="e">
        <f t="shared" si="14"/>
        <v>#DIV/0!</v>
      </c>
      <c r="Y22" s="211">
        <v>1.2084597427175559</v>
      </c>
      <c r="Z22" s="211" t="e">
        <f t="shared" si="15"/>
        <v>#DIV/0!</v>
      </c>
      <c r="AA22" s="212">
        <v>44173.583333333336</v>
      </c>
      <c r="AB22" s="4" t="s">
        <v>296</v>
      </c>
    </row>
    <row r="23" spans="1:28">
      <c r="A23" s="29" t="s">
        <v>297</v>
      </c>
      <c r="B23" s="71">
        <f t="shared" si="16"/>
        <v>44176.5</v>
      </c>
      <c r="C23" s="44">
        <v>1</v>
      </c>
      <c r="D23" s="80">
        <v>300.58999999999997</v>
      </c>
      <c r="E23" s="81"/>
      <c r="F23" s="72">
        <f t="shared" si="1"/>
        <v>3.3623445762203334E-3</v>
      </c>
      <c r="G23" s="72">
        <f t="shared" si="2"/>
        <v>-1.8365678224060389E-4</v>
      </c>
      <c r="H23" s="96">
        <v>0.5</v>
      </c>
      <c r="I23" s="73">
        <f>jar_information!M8</f>
        <v>44165.4375</v>
      </c>
      <c r="J23" s="74">
        <f t="shared" si="3"/>
        <v>11.0625</v>
      </c>
      <c r="K23" s="74">
        <f t="shared" si="4"/>
        <v>265.5</v>
      </c>
      <c r="L23" s="75">
        <f>jar_information!H8</f>
        <v>405.42134882290139</v>
      </c>
      <c r="M23" s="74">
        <f t="shared" si="5"/>
        <v>1.3631662732986143</v>
      </c>
      <c r="N23" s="74">
        <f t="shared" si="6"/>
        <v>2.4945942801364644</v>
      </c>
      <c r="O23" s="76">
        <f t="shared" si="7"/>
        <v>0.68034389458267208</v>
      </c>
      <c r="P23" s="77">
        <f t="shared" si="8"/>
        <v>0.33788222553423686</v>
      </c>
      <c r="Q23" s="78"/>
      <c r="R23" s="78">
        <f t="shared" si="9"/>
        <v>0</v>
      </c>
      <c r="S23" s="78">
        <f t="shared" si="10"/>
        <v>0</v>
      </c>
      <c r="T23" s="79">
        <f t="shared" si="11"/>
        <v>3362.3445762203332</v>
      </c>
      <c r="U23" s="7">
        <f t="shared" si="12"/>
        <v>0.33623445762203336</v>
      </c>
      <c r="V23" s="90">
        <f t="shared" si="13"/>
        <v>2.5625005445675032E-3</v>
      </c>
      <c r="W23" s="137">
        <f t="shared" si="17"/>
        <v>4.4310190566310377</v>
      </c>
      <c r="X23" s="137">
        <f t="shared" si="14"/>
        <v>1.9364247764945732</v>
      </c>
      <c r="Y23" s="137">
        <v>1.2084597427175559</v>
      </c>
      <c r="Z23" s="137">
        <f t="shared" si="15"/>
        <v>8.5872477382572079</v>
      </c>
      <c r="AB23" s="4" t="s">
        <v>297</v>
      </c>
    </row>
    <row r="24" spans="1:28">
      <c r="A24" s="29" t="s">
        <v>298</v>
      </c>
      <c r="B24" s="71">
        <f t="shared" si="16"/>
        <v>44176.5</v>
      </c>
      <c r="C24" s="44"/>
      <c r="D24" s="80"/>
      <c r="E24" s="81"/>
      <c r="F24" s="72" t="e">
        <f t="shared" si="1"/>
        <v>#DIV/0!</v>
      </c>
      <c r="G24" s="72" t="e">
        <f t="shared" si="2"/>
        <v>#DIV/0!</v>
      </c>
      <c r="H24" s="96">
        <v>0.5</v>
      </c>
      <c r="I24" s="73">
        <f>jar_information!M9</f>
        <v>44165.4375</v>
      </c>
      <c r="J24" s="74">
        <f t="shared" si="3"/>
        <v>11.0625</v>
      </c>
      <c r="K24" s="74">
        <f t="shared" si="4"/>
        <v>265.5</v>
      </c>
      <c r="L24" s="75">
        <f>jar_information!H9</f>
        <v>368.18572718286885</v>
      </c>
      <c r="M24" s="74" t="e">
        <f t="shared" si="5"/>
        <v>#DIV/0!</v>
      </c>
      <c r="N24" s="74" t="e">
        <f t="shared" si="6"/>
        <v>#DIV/0!</v>
      </c>
      <c r="O24" s="76" t="e">
        <f t="shared" si="7"/>
        <v>#DIV/0!</v>
      </c>
      <c r="P24" s="77" t="e">
        <f t="shared" si="8"/>
        <v>#DIV/0!</v>
      </c>
      <c r="Q24" s="78"/>
      <c r="R24" s="78">
        <f t="shared" si="9"/>
        <v>0</v>
      </c>
      <c r="S24" s="78" t="e">
        <f t="shared" si="10"/>
        <v>#DIV/0!</v>
      </c>
      <c r="T24" s="79" t="e">
        <f t="shared" si="11"/>
        <v>#DIV/0!</v>
      </c>
      <c r="U24" s="7" t="e">
        <f t="shared" si="12"/>
        <v>#DIV/0!</v>
      </c>
      <c r="V24" s="90" t="e">
        <f t="shared" si="13"/>
        <v>#DIV/0!</v>
      </c>
      <c r="W24" s="211">
        <f t="shared" si="17"/>
        <v>7.8060465850108978</v>
      </c>
      <c r="X24" s="211" t="e">
        <f t="shared" si="14"/>
        <v>#DIV/0!</v>
      </c>
      <c r="Y24" s="211">
        <v>2.128921795912063</v>
      </c>
      <c r="Z24" s="211" t="e">
        <f t="shared" si="15"/>
        <v>#DIV/0!</v>
      </c>
      <c r="AA24" s="212">
        <v>44169.5625</v>
      </c>
      <c r="AB24" s="4" t="s">
        <v>298</v>
      </c>
    </row>
    <row r="25" spans="1:28">
      <c r="A25" s="29" t="s">
        <v>299</v>
      </c>
      <c r="B25" s="71">
        <f t="shared" si="16"/>
        <v>44176.5</v>
      </c>
      <c r="C25" s="44"/>
      <c r="D25" s="80"/>
      <c r="E25" s="81"/>
      <c r="F25" s="72" t="e">
        <f t="shared" si="1"/>
        <v>#DIV/0!</v>
      </c>
      <c r="G25" s="72" t="e">
        <f t="shared" si="2"/>
        <v>#DIV/0!</v>
      </c>
      <c r="H25" s="96">
        <v>0.5</v>
      </c>
      <c r="I25" s="73">
        <f>jar_information!M10</f>
        <v>44165.4375</v>
      </c>
      <c r="J25" s="74">
        <f t="shared" si="3"/>
        <v>11.0625</v>
      </c>
      <c r="K25" s="74">
        <f t="shared" si="4"/>
        <v>265.5</v>
      </c>
      <c r="L25" s="75">
        <f>jar_information!H10</f>
        <v>365.12977338665411</v>
      </c>
      <c r="M25" s="74" t="e">
        <f t="shared" si="5"/>
        <v>#DIV/0!</v>
      </c>
      <c r="N25" s="74" t="e">
        <f t="shared" si="6"/>
        <v>#DIV/0!</v>
      </c>
      <c r="O25" s="76" t="e">
        <f t="shared" si="7"/>
        <v>#DIV/0!</v>
      </c>
      <c r="P25" s="77" t="e">
        <f t="shared" si="8"/>
        <v>#DIV/0!</v>
      </c>
      <c r="Q25" s="78"/>
      <c r="R25" s="78">
        <f t="shared" si="9"/>
        <v>0</v>
      </c>
      <c r="S25" s="78" t="e">
        <f t="shared" si="10"/>
        <v>#DIV/0!</v>
      </c>
      <c r="T25" s="79" t="e">
        <f t="shared" si="11"/>
        <v>#DIV/0!</v>
      </c>
      <c r="U25" s="7" t="e">
        <f t="shared" si="12"/>
        <v>#DIV/0!</v>
      </c>
      <c r="V25" s="90" t="e">
        <f t="shared" si="13"/>
        <v>#DIV/0!</v>
      </c>
      <c r="W25" s="211">
        <f t="shared" si="17"/>
        <v>7.8060465850108978</v>
      </c>
      <c r="X25" s="211" t="e">
        <f t="shared" si="14"/>
        <v>#DIV/0!</v>
      </c>
      <c r="Y25" s="211">
        <v>2.128921795912063</v>
      </c>
      <c r="Z25" s="211" t="e">
        <f t="shared" si="15"/>
        <v>#DIV/0!</v>
      </c>
      <c r="AA25" s="212">
        <v>44169.5625</v>
      </c>
      <c r="AB25" s="4" t="s">
        <v>299</v>
      </c>
    </row>
    <row r="26" spans="1:28">
      <c r="A26" s="29" t="s">
        <v>300</v>
      </c>
      <c r="B26" s="71">
        <f t="shared" si="16"/>
        <v>44176.5</v>
      </c>
      <c r="C26" s="44"/>
      <c r="D26" s="80"/>
      <c r="E26" s="81"/>
      <c r="F26" s="72" t="e">
        <f t="shared" si="1"/>
        <v>#DIV/0!</v>
      </c>
      <c r="G26" s="72" t="e">
        <f t="shared" si="2"/>
        <v>#DIV/0!</v>
      </c>
      <c r="H26" s="96">
        <v>0.5</v>
      </c>
      <c r="I26" s="73">
        <f>jar_information!M11</f>
        <v>44165.4375</v>
      </c>
      <c r="J26" s="74">
        <f t="shared" si="3"/>
        <v>11.0625</v>
      </c>
      <c r="K26" s="74">
        <f t="shared" si="4"/>
        <v>265.5</v>
      </c>
      <c r="L26" s="75">
        <f>jar_information!H11</f>
        <v>368.18572718286885</v>
      </c>
      <c r="M26" s="74" t="e">
        <f t="shared" si="5"/>
        <v>#DIV/0!</v>
      </c>
      <c r="N26" s="74" t="e">
        <f t="shared" si="6"/>
        <v>#DIV/0!</v>
      </c>
      <c r="O26" s="76" t="e">
        <f t="shared" si="7"/>
        <v>#DIV/0!</v>
      </c>
      <c r="P26" s="77" t="e">
        <f t="shared" si="8"/>
        <v>#DIV/0!</v>
      </c>
      <c r="Q26" s="78"/>
      <c r="R26" s="78">
        <f t="shared" si="9"/>
        <v>0</v>
      </c>
      <c r="S26" s="78" t="e">
        <f t="shared" si="10"/>
        <v>#DIV/0!</v>
      </c>
      <c r="T26" s="79" t="e">
        <f t="shared" si="11"/>
        <v>#DIV/0!</v>
      </c>
      <c r="U26" s="7" t="e">
        <f t="shared" si="12"/>
        <v>#DIV/0!</v>
      </c>
      <c r="V26" s="90" t="e">
        <f t="shared" si="13"/>
        <v>#DIV/0!</v>
      </c>
      <c r="W26" s="211">
        <f t="shared" si="17"/>
        <v>6.8280955876189529</v>
      </c>
      <c r="X26" s="211" t="e">
        <f t="shared" si="14"/>
        <v>#DIV/0!</v>
      </c>
      <c r="Y26" s="211">
        <v>1.8622078875324415</v>
      </c>
      <c r="Z26" s="211" t="e">
        <f t="shared" si="15"/>
        <v>#DIV/0!</v>
      </c>
      <c r="AA26" s="212">
        <v>44173.583333333336</v>
      </c>
      <c r="AB26" s="4" t="s">
        <v>300</v>
      </c>
    </row>
    <row r="27" spans="1:28">
      <c r="A27" s="29" t="s">
        <v>301</v>
      </c>
      <c r="B27" s="71">
        <f t="shared" si="16"/>
        <v>44176.5</v>
      </c>
      <c r="C27" s="44">
        <v>1</v>
      </c>
      <c r="D27" s="80">
        <v>367.97</v>
      </c>
      <c r="E27" s="81"/>
      <c r="F27" s="72">
        <f t="shared" si="1"/>
        <v>4.0986656503351161E-3</v>
      </c>
      <c r="G27" s="72">
        <f t="shared" si="2"/>
        <v>-1.8365678224060389E-4</v>
      </c>
      <c r="H27" s="96">
        <v>0.5</v>
      </c>
      <c r="I27" s="73">
        <f>jar_information!M12</f>
        <v>44165.4375</v>
      </c>
      <c r="J27" s="74">
        <f t="shared" si="3"/>
        <v>11.0625</v>
      </c>
      <c r="K27" s="74">
        <f t="shared" si="4"/>
        <v>265.5</v>
      </c>
      <c r="L27" s="75">
        <f>jar_information!H12</f>
        <v>374.31908006509644</v>
      </c>
      <c r="M27" s="74">
        <f t="shared" si="5"/>
        <v>1.534208755727851</v>
      </c>
      <c r="N27" s="74">
        <f t="shared" si="6"/>
        <v>2.8076020229819676</v>
      </c>
      <c r="O27" s="76">
        <f t="shared" si="7"/>
        <v>0.7657096426314457</v>
      </c>
      <c r="P27" s="77">
        <f t="shared" si="8"/>
        <v>0.39555251179762896</v>
      </c>
      <c r="Q27" s="78"/>
      <c r="R27" s="78">
        <f t="shared" si="9"/>
        <v>0</v>
      </c>
      <c r="S27" s="78">
        <f t="shared" si="10"/>
        <v>0</v>
      </c>
      <c r="T27" s="79">
        <f t="shared" si="11"/>
        <v>4098.665650335116</v>
      </c>
      <c r="U27" s="7">
        <f t="shared" si="12"/>
        <v>0.4098665650335116</v>
      </c>
      <c r="V27" s="90">
        <f t="shared" si="13"/>
        <v>2.8840287858058217E-3</v>
      </c>
      <c r="W27" s="137">
        <f t="shared" si="17"/>
        <v>6.8280955876189529</v>
      </c>
      <c r="X27" s="137">
        <f t="shared" si="14"/>
        <v>4.0204935646369853</v>
      </c>
      <c r="Y27" s="137">
        <v>1.8622078875324415</v>
      </c>
      <c r="Z27" s="137">
        <f t="shared" si="15"/>
        <v>15.841529424301282</v>
      </c>
      <c r="AB27" s="4" t="s">
        <v>301</v>
      </c>
    </row>
    <row r="28" spans="1:28">
      <c r="A28" t="s">
        <v>302</v>
      </c>
      <c r="B28" s="71">
        <f t="shared" si="16"/>
        <v>44176.5</v>
      </c>
      <c r="C28" s="44"/>
      <c r="D28" s="80"/>
      <c r="E28" s="81"/>
      <c r="F28" s="72" t="e">
        <f t="shared" si="1"/>
        <v>#DIV/0!</v>
      </c>
      <c r="G28" s="72" t="e">
        <f t="shared" si="2"/>
        <v>#DIV/0!</v>
      </c>
      <c r="H28" s="96">
        <v>0.5</v>
      </c>
      <c r="I28" s="73">
        <f>jar_information!M13</f>
        <v>44165.4375</v>
      </c>
      <c r="J28" s="74">
        <f t="shared" si="3"/>
        <v>11.0625</v>
      </c>
      <c r="K28" s="74">
        <f t="shared" si="4"/>
        <v>265.5</v>
      </c>
      <c r="L28" s="75">
        <f>jar_information!H13</f>
        <v>371.24882105804681</v>
      </c>
      <c r="M28" s="74" t="e">
        <f t="shared" si="5"/>
        <v>#DIV/0!</v>
      </c>
      <c r="N28" s="74" t="e">
        <f t="shared" si="6"/>
        <v>#DIV/0!</v>
      </c>
      <c r="O28" s="76" t="e">
        <f t="shared" si="7"/>
        <v>#DIV/0!</v>
      </c>
      <c r="P28" s="77" t="e">
        <f t="shared" si="8"/>
        <v>#DIV/0!</v>
      </c>
      <c r="Q28" s="78"/>
      <c r="R28" s="78">
        <f t="shared" si="9"/>
        <v>0</v>
      </c>
      <c r="S28" s="78" t="e">
        <f t="shared" si="10"/>
        <v>#DIV/0!</v>
      </c>
      <c r="T28" s="79" t="e">
        <f t="shared" si="11"/>
        <v>#DIV/0!</v>
      </c>
      <c r="U28" s="7" t="e">
        <f t="shared" si="12"/>
        <v>#DIV/0!</v>
      </c>
      <c r="V28" s="90" t="e">
        <f t="shared" si="13"/>
        <v>#DIV/0!</v>
      </c>
      <c r="W28" s="211">
        <f t="shared" si="17"/>
        <v>3.8242757661929319</v>
      </c>
      <c r="X28" s="211" t="e">
        <f t="shared" si="14"/>
        <v>#DIV/0!</v>
      </c>
      <c r="Y28" s="211">
        <v>1.0429842998707997</v>
      </c>
      <c r="Z28" s="211" t="e">
        <f t="shared" si="15"/>
        <v>#DIV/0!</v>
      </c>
      <c r="AA28" s="212">
        <v>44172.541666666664</v>
      </c>
      <c r="AB28" s="4" t="s">
        <v>302</v>
      </c>
    </row>
    <row r="29" spans="1:28">
      <c r="A29" t="s">
        <v>303</v>
      </c>
      <c r="B29" s="71">
        <f t="shared" si="16"/>
        <v>44176.5</v>
      </c>
      <c r="C29" s="44"/>
      <c r="D29" s="80"/>
      <c r="E29" s="81"/>
      <c r="F29" s="72" t="e">
        <f t="shared" si="1"/>
        <v>#DIV/0!</v>
      </c>
      <c r="G29" s="72" t="e">
        <f t="shared" si="2"/>
        <v>#DIV/0!</v>
      </c>
      <c r="H29" s="96">
        <v>0.5</v>
      </c>
      <c r="I29" s="73">
        <f>jar_information!M14</f>
        <v>44165.4375</v>
      </c>
      <c r="J29" s="74">
        <f t="shared" si="3"/>
        <v>11.0625</v>
      </c>
      <c r="K29" s="74">
        <f t="shared" si="4"/>
        <v>265.5</v>
      </c>
      <c r="L29" s="75">
        <f>jar_information!H14</f>
        <v>368.18572718286885</v>
      </c>
      <c r="M29" s="74" t="e">
        <f t="shared" si="5"/>
        <v>#DIV/0!</v>
      </c>
      <c r="N29" s="74" t="e">
        <f t="shared" si="6"/>
        <v>#DIV/0!</v>
      </c>
      <c r="O29" s="76" t="e">
        <f t="shared" si="7"/>
        <v>#DIV/0!</v>
      </c>
      <c r="P29" s="77" t="e">
        <f t="shared" si="8"/>
        <v>#DIV/0!</v>
      </c>
      <c r="Q29" s="78"/>
      <c r="R29" s="78">
        <f t="shared" si="9"/>
        <v>0</v>
      </c>
      <c r="S29" s="78" t="e">
        <f t="shared" si="10"/>
        <v>#DIV/0!</v>
      </c>
      <c r="T29" s="79" t="e">
        <f t="shared" si="11"/>
        <v>#DIV/0!</v>
      </c>
      <c r="U29" s="7" t="e">
        <f t="shared" si="12"/>
        <v>#DIV/0!</v>
      </c>
      <c r="V29" s="90" t="e">
        <f t="shared" si="13"/>
        <v>#DIV/0!</v>
      </c>
      <c r="W29" s="211">
        <f t="shared" si="17"/>
        <v>3.8242757661929319</v>
      </c>
      <c r="X29" s="211" t="e">
        <f t="shared" si="14"/>
        <v>#DIV/0!</v>
      </c>
      <c r="Y29" s="211">
        <v>1.0429842998707997</v>
      </c>
      <c r="Z29" s="211" t="e">
        <f t="shared" si="15"/>
        <v>#DIV/0!</v>
      </c>
      <c r="AA29" s="212">
        <v>44172.541666666664</v>
      </c>
      <c r="AB29" s="4" t="s">
        <v>303</v>
      </c>
    </row>
    <row r="30" spans="1:28">
      <c r="A30" t="s">
        <v>304</v>
      </c>
      <c r="B30" s="71">
        <f t="shared" si="16"/>
        <v>44176.5</v>
      </c>
      <c r="C30" s="44"/>
      <c r="D30" s="80"/>
      <c r="E30" s="81"/>
      <c r="F30" s="72" t="e">
        <f t="shared" si="1"/>
        <v>#DIV/0!</v>
      </c>
      <c r="G30" s="72" t="e">
        <f t="shared" si="2"/>
        <v>#DIV/0!</v>
      </c>
      <c r="H30" s="96">
        <v>0.5</v>
      </c>
      <c r="I30" s="73">
        <f>jar_information!M15</f>
        <v>44165.4375</v>
      </c>
      <c r="J30" s="74">
        <f t="shared" si="3"/>
        <v>11.0625</v>
      </c>
      <c r="K30" s="74">
        <f t="shared" si="4"/>
        <v>265.5</v>
      </c>
      <c r="L30" s="75">
        <f>jar_information!H15</f>
        <v>368.18572718286885</v>
      </c>
      <c r="M30" s="74" t="e">
        <f t="shared" si="5"/>
        <v>#DIV/0!</v>
      </c>
      <c r="N30" s="74" t="e">
        <f t="shared" si="6"/>
        <v>#DIV/0!</v>
      </c>
      <c r="O30" s="76" t="e">
        <f t="shared" si="7"/>
        <v>#DIV/0!</v>
      </c>
      <c r="P30" s="77" t="e">
        <f t="shared" si="8"/>
        <v>#DIV/0!</v>
      </c>
      <c r="Q30" s="78"/>
      <c r="R30" s="78">
        <f t="shared" si="9"/>
        <v>0</v>
      </c>
      <c r="S30" s="78" t="e">
        <f t="shared" si="10"/>
        <v>#DIV/0!</v>
      </c>
      <c r="T30" s="79" t="e">
        <f t="shared" si="11"/>
        <v>#DIV/0!</v>
      </c>
      <c r="U30" s="7" t="e">
        <f t="shared" si="12"/>
        <v>#DIV/0!</v>
      </c>
      <c r="V30" s="90" t="e">
        <f t="shared" si="13"/>
        <v>#DIV/0!</v>
      </c>
      <c r="W30" s="211">
        <f t="shared" si="17"/>
        <v>13.11505575573193</v>
      </c>
      <c r="X30" s="211" t="e">
        <f t="shared" si="14"/>
        <v>#DIV/0!</v>
      </c>
      <c r="Y30" s="211">
        <v>3.5768333879268903</v>
      </c>
      <c r="Z30" s="211" t="e">
        <f t="shared" si="15"/>
        <v>#DIV/0!</v>
      </c>
      <c r="AA30" s="212">
        <v>44172.541666666664</v>
      </c>
      <c r="AB30" s="4" t="s">
        <v>304</v>
      </c>
    </row>
    <row r="31" spans="1:28">
      <c r="A31" t="s">
        <v>305</v>
      </c>
      <c r="B31" s="71">
        <f t="shared" si="16"/>
        <v>44176.5</v>
      </c>
      <c r="C31" s="44">
        <v>1</v>
      </c>
      <c r="D31" s="80">
        <v>1243</v>
      </c>
      <c r="E31" s="81"/>
      <c r="F31" s="72">
        <f t="shared" si="1"/>
        <v>1.3660895236008282E-2</v>
      </c>
      <c r="G31" s="72">
        <f t="shared" si="2"/>
        <v>-1.8365678224060389E-4</v>
      </c>
      <c r="H31" s="96">
        <v>0.5</v>
      </c>
      <c r="I31" s="73">
        <f>jar_information!M16</f>
        <v>44165.4375</v>
      </c>
      <c r="J31" s="74">
        <f t="shared" si="3"/>
        <v>11.0625</v>
      </c>
      <c r="K31" s="74">
        <f t="shared" si="4"/>
        <v>265.5</v>
      </c>
      <c r="L31" s="75">
        <f>jar_information!H16</f>
        <v>377.39652937427036</v>
      </c>
      <c r="M31" s="74">
        <f t="shared" si="5"/>
        <v>5.1555744502150294</v>
      </c>
      <c r="N31" s="74">
        <f t="shared" si="6"/>
        <v>9.434701243893505</v>
      </c>
      <c r="O31" s="76">
        <f t="shared" si="7"/>
        <v>2.5731003392436831</v>
      </c>
      <c r="P31" s="77">
        <f t="shared" si="8"/>
        <v>1.3239577188824252</v>
      </c>
      <c r="Q31" s="78"/>
      <c r="R31" s="78">
        <f t="shared" si="9"/>
        <v>0</v>
      </c>
      <c r="S31" s="78">
        <f t="shared" si="10"/>
        <v>0</v>
      </c>
      <c r="T31" s="79">
        <f t="shared" si="11"/>
        <v>13660.895236008282</v>
      </c>
      <c r="U31" s="7">
        <f t="shared" si="12"/>
        <v>1.3660895236008281</v>
      </c>
      <c r="V31" s="90">
        <f t="shared" si="13"/>
        <v>9.6915267014827996E-3</v>
      </c>
      <c r="W31" s="137">
        <f t="shared" si="17"/>
        <v>13.11505575573193</v>
      </c>
      <c r="X31" s="137">
        <f t="shared" si="14"/>
        <v>3.6803545118384253</v>
      </c>
      <c r="Y31" s="137">
        <v>3.5768333879268903</v>
      </c>
      <c r="Z31" s="137">
        <f t="shared" si="15"/>
        <v>4.3153376810489021</v>
      </c>
      <c r="AB31" s="4" t="s">
        <v>305</v>
      </c>
    </row>
    <row r="32" spans="1:28">
      <c r="A32" t="s">
        <v>306</v>
      </c>
      <c r="B32" s="71">
        <f t="shared" si="16"/>
        <v>44176.5</v>
      </c>
      <c r="C32" s="44"/>
      <c r="D32" s="80"/>
      <c r="E32" s="81"/>
      <c r="F32" s="72" t="e">
        <f t="shared" si="1"/>
        <v>#DIV/0!</v>
      </c>
      <c r="G32" s="72" t="e">
        <f t="shared" si="2"/>
        <v>#DIV/0!</v>
      </c>
      <c r="H32" s="96">
        <v>0.5</v>
      </c>
      <c r="I32" s="73">
        <f>jar_information!M17</f>
        <v>44165.4375</v>
      </c>
      <c r="J32" s="74">
        <f t="shared" si="3"/>
        <v>11.0625</v>
      </c>
      <c r="K32" s="74">
        <f t="shared" si="4"/>
        <v>265.5</v>
      </c>
      <c r="L32" s="75">
        <f>jar_information!H17</f>
        <v>371.24882105804681</v>
      </c>
      <c r="M32" s="74" t="e">
        <f t="shared" si="5"/>
        <v>#DIV/0!</v>
      </c>
      <c r="N32" s="74" t="e">
        <f t="shared" si="6"/>
        <v>#DIV/0!</v>
      </c>
      <c r="O32" s="76" t="e">
        <f t="shared" si="7"/>
        <v>#DIV/0!</v>
      </c>
      <c r="P32" s="77" t="e">
        <f t="shared" si="8"/>
        <v>#DIV/0!</v>
      </c>
      <c r="Q32" s="78"/>
      <c r="R32" s="78">
        <f t="shared" si="9"/>
        <v>0</v>
      </c>
      <c r="S32" s="78" t="e">
        <f t="shared" si="10"/>
        <v>#DIV/0!</v>
      </c>
      <c r="T32" s="79" t="e">
        <f t="shared" si="11"/>
        <v>#DIV/0!</v>
      </c>
      <c r="U32" s="7" t="e">
        <f t="shared" si="12"/>
        <v>#DIV/0!</v>
      </c>
      <c r="V32" s="90" t="e">
        <f t="shared" si="13"/>
        <v>#DIV/0!</v>
      </c>
      <c r="W32" s="211">
        <f t="shared" si="17"/>
        <v>4.5824768522907515</v>
      </c>
      <c r="X32" s="211" t="e">
        <f t="shared" si="14"/>
        <v>#DIV/0!</v>
      </c>
      <c r="Y32" s="211">
        <v>1.249766414261114</v>
      </c>
      <c r="Z32" s="211" t="e">
        <f t="shared" si="15"/>
        <v>#DIV/0!</v>
      </c>
      <c r="AA32" s="212">
        <v>44169.5625</v>
      </c>
      <c r="AB32" s="4" t="s">
        <v>306</v>
      </c>
    </row>
    <row r="33" spans="1:28">
      <c r="A33" t="s">
        <v>307</v>
      </c>
      <c r="B33" s="71">
        <f t="shared" si="16"/>
        <v>44176.5</v>
      </c>
      <c r="C33" s="44"/>
      <c r="D33" s="80"/>
      <c r="E33" s="81"/>
      <c r="F33" s="72" t="e">
        <f t="shared" si="1"/>
        <v>#DIV/0!</v>
      </c>
      <c r="G33" s="72" t="e">
        <f t="shared" si="2"/>
        <v>#DIV/0!</v>
      </c>
      <c r="H33" s="96">
        <v>0.5</v>
      </c>
      <c r="I33" s="73">
        <f>jar_information!M18</f>
        <v>44165.4375</v>
      </c>
      <c r="J33" s="74">
        <f t="shared" si="3"/>
        <v>11.0625</v>
      </c>
      <c r="K33" s="74">
        <f t="shared" si="4"/>
        <v>265.5</v>
      </c>
      <c r="L33" s="75">
        <f>jar_information!H18</f>
        <v>368.18572718286885</v>
      </c>
      <c r="M33" s="74" t="e">
        <f t="shared" si="5"/>
        <v>#DIV/0!</v>
      </c>
      <c r="N33" s="74" t="e">
        <f t="shared" si="6"/>
        <v>#DIV/0!</v>
      </c>
      <c r="O33" s="76" t="e">
        <f t="shared" si="7"/>
        <v>#DIV/0!</v>
      </c>
      <c r="P33" s="77" t="e">
        <f t="shared" si="8"/>
        <v>#DIV/0!</v>
      </c>
      <c r="Q33" s="78"/>
      <c r="R33" s="78">
        <f t="shared" si="9"/>
        <v>0</v>
      </c>
      <c r="S33" s="78" t="e">
        <f t="shared" si="10"/>
        <v>#DIV/0!</v>
      </c>
      <c r="T33" s="79" t="e">
        <f t="shared" si="11"/>
        <v>#DIV/0!</v>
      </c>
      <c r="U33" s="7" t="e">
        <f t="shared" si="12"/>
        <v>#DIV/0!</v>
      </c>
      <c r="V33" s="90" t="e">
        <f t="shared" si="13"/>
        <v>#DIV/0!</v>
      </c>
      <c r="W33" s="211">
        <f t="shared" si="17"/>
        <v>4.5824768522907515</v>
      </c>
      <c r="X33" s="211" t="e">
        <f t="shared" si="14"/>
        <v>#DIV/0!</v>
      </c>
      <c r="Y33" s="211">
        <v>1.249766414261114</v>
      </c>
      <c r="Z33" s="211" t="e">
        <f t="shared" si="15"/>
        <v>#DIV/0!</v>
      </c>
      <c r="AA33" s="212">
        <v>44169.5625</v>
      </c>
      <c r="AB33" s="4" t="s">
        <v>307</v>
      </c>
    </row>
    <row r="34" spans="1:28">
      <c r="A34" t="s">
        <v>308</v>
      </c>
      <c r="B34" s="71">
        <f t="shared" si="16"/>
        <v>44176.5</v>
      </c>
      <c r="C34" s="44">
        <v>1</v>
      </c>
      <c r="D34" s="80">
        <v>1065</v>
      </c>
      <c r="E34" s="81"/>
      <c r="F34" s="72">
        <f t="shared" si="1"/>
        <v>1.1715731223060357E-2</v>
      </c>
      <c r="G34" s="72">
        <f t="shared" si="2"/>
        <v>-1.8365678224060389E-4</v>
      </c>
      <c r="H34" s="96">
        <v>0.5</v>
      </c>
      <c r="I34" s="73">
        <f>jar_information!M19</f>
        <v>44165.4375</v>
      </c>
      <c r="J34" s="74">
        <f t="shared" si="3"/>
        <v>11.0625</v>
      </c>
      <c r="K34" s="74">
        <f t="shared" si="4"/>
        <v>265.5</v>
      </c>
      <c r="L34" s="75">
        <f>jar_information!H19</f>
        <v>374.31908006509644</v>
      </c>
      <c r="M34" s="74">
        <f t="shared" si="5"/>
        <v>4.3854217337058801</v>
      </c>
      <c r="N34" s="74">
        <f t="shared" si="6"/>
        <v>8.0253217726817603</v>
      </c>
      <c r="O34" s="76">
        <f t="shared" si="7"/>
        <v>2.188724119822298</v>
      </c>
      <c r="P34" s="77">
        <f t="shared" si="8"/>
        <v>1.1306574646918393</v>
      </c>
      <c r="Q34" s="78"/>
      <c r="R34" s="78">
        <f t="shared" si="9"/>
        <v>0</v>
      </c>
      <c r="S34" s="78">
        <f t="shared" si="10"/>
        <v>0</v>
      </c>
      <c r="T34" s="79">
        <f t="shared" si="11"/>
        <v>11715.731223060357</v>
      </c>
      <c r="U34" s="7">
        <f t="shared" si="12"/>
        <v>1.1715731223060357</v>
      </c>
      <c r="V34" s="90">
        <f t="shared" si="13"/>
        <v>8.2437819955642113E-3</v>
      </c>
      <c r="W34" s="137">
        <f t="shared" si="17"/>
        <v>12.14735031673621</v>
      </c>
      <c r="X34" s="137">
        <f t="shared" si="14"/>
        <v>4.1220285440544497</v>
      </c>
      <c r="Y34" s="137">
        <v>3.3129137227462393</v>
      </c>
      <c r="Z34" s="137">
        <f t="shared" si="15"/>
        <v>5.6820077823950719</v>
      </c>
      <c r="AB34" s="4" t="s">
        <v>308</v>
      </c>
    </row>
    <row r="35" spans="1:28">
      <c r="A35" t="s">
        <v>309</v>
      </c>
      <c r="B35" s="71">
        <f t="shared" si="16"/>
        <v>44176.5</v>
      </c>
      <c r="C35" s="44"/>
      <c r="D35" s="80"/>
      <c r="E35" s="81"/>
      <c r="F35" s="72" t="e">
        <f t="shared" si="1"/>
        <v>#DIV/0!</v>
      </c>
      <c r="G35" s="72" t="e">
        <f t="shared" si="2"/>
        <v>#DIV/0!</v>
      </c>
      <c r="H35" s="96">
        <v>0.5</v>
      </c>
      <c r="I35" s="73">
        <f>jar_information!M20</f>
        <v>44165.4375</v>
      </c>
      <c r="J35" s="74">
        <f t="shared" si="3"/>
        <v>11.0625</v>
      </c>
      <c r="K35" s="74">
        <f t="shared" si="4"/>
        <v>265.5</v>
      </c>
      <c r="L35" s="75">
        <f>jar_information!H20</f>
        <v>368.18572718286885</v>
      </c>
      <c r="M35" s="74" t="e">
        <f t="shared" si="5"/>
        <v>#DIV/0!</v>
      </c>
      <c r="N35" s="74" t="e">
        <f t="shared" si="6"/>
        <v>#DIV/0!</v>
      </c>
      <c r="O35" s="76" t="e">
        <f t="shared" si="7"/>
        <v>#DIV/0!</v>
      </c>
      <c r="P35" s="77" t="e">
        <f t="shared" si="8"/>
        <v>#DIV/0!</v>
      </c>
      <c r="Q35" s="78"/>
      <c r="R35" s="78">
        <f t="shared" si="9"/>
        <v>0</v>
      </c>
      <c r="S35" s="78" t="e">
        <f t="shared" si="10"/>
        <v>#DIV/0!</v>
      </c>
      <c r="T35" s="79" t="e">
        <f t="shared" si="11"/>
        <v>#DIV/0!</v>
      </c>
      <c r="U35" s="7" t="e">
        <f t="shared" si="12"/>
        <v>#DIV/0!</v>
      </c>
      <c r="V35" s="90" t="e">
        <f t="shared" si="13"/>
        <v>#DIV/0!</v>
      </c>
      <c r="W35" s="211">
        <f t="shared" si="17"/>
        <v>12.14735031673621</v>
      </c>
      <c r="X35" s="211" t="e">
        <f t="shared" si="14"/>
        <v>#DIV/0!</v>
      </c>
      <c r="Y35" s="211">
        <v>3.3129137227462393</v>
      </c>
      <c r="Z35" s="211" t="e">
        <f t="shared" si="15"/>
        <v>#DIV/0!</v>
      </c>
      <c r="AA35" s="212">
        <v>44172.541666666664</v>
      </c>
      <c r="AB35" s="4" t="s">
        <v>309</v>
      </c>
    </row>
    <row r="36" spans="1:28">
      <c r="A36" t="s">
        <v>310</v>
      </c>
      <c r="B36" s="71">
        <f t="shared" si="16"/>
        <v>44176.5</v>
      </c>
      <c r="C36" s="44"/>
      <c r="D36" s="80"/>
      <c r="E36" s="81"/>
      <c r="F36" s="72" t="e">
        <f t="shared" si="1"/>
        <v>#DIV/0!</v>
      </c>
      <c r="G36" s="72" t="e">
        <f t="shared" si="2"/>
        <v>#DIV/0!</v>
      </c>
      <c r="H36" s="96">
        <v>0.5</v>
      </c>
      <c r="I36" s="73">
        <f>jar_information!M21</f>
        <v>44165.4375</v>
      </c>
      <c r="J36" s="74">
        <f t="shared" si="3"/>
        <v>11.0625</v>
      </c>
      <c r="K36" s="74">
        <f t="shared" si="4"/>
        <v>265.5</v>
      </c>
      <c r="L36" s="75">
        <f>jar_information!H21</f>
        <v>380.48119427385262</v>
      </c>
      <c r="M36" s="74" t="e">
        <f t="shared" si="5"/>
        <v>#DIV/0!</v>
      </c>
      <c r="N36" s="74" t="e">
        <f t="shared" si="6"/>
        <v>#DIV/0!</v>
      </c>
      <c r="O36" s="76" t="e">
        <f t="shared" si="7"/>
        <v>#DIV/0!</v>
      </c>
      <c r="P36" s="77" t="e">
        <f t="shared" si="8"/>
        <v>#DIV/0!</v>
      </c>
      <c r="Q36" s="78"/>
      <c r="R36" s="78">
        <f t="shared" si="9"/>
        <v>0</v>
      </c>
      <c r="S36" s="78" t="e">
        <f t="shared" si="10"/>
        <v>#DIV/0!</v>
      </c>
      <c r="T36" s="79" t="e">
        <f t="shared" si="11"/>
        <v>#DIV/0!</v>
      </c>
      <c r="U36" s="7" t="e">
        <f t="shared" si="12"/>
        <v>#DIV/0!</v>
      </c>
      <c r="V36" s="90" t="e">
        <f t="shared" si="13"/>
        <v>#DIV/0!</v>
      </c>
      <c r="W36" s="211">
        <f t="shared" si="17"/>
        <v>4.7370562835765471</v>
      </c>
      <c r="X36" s="211" t="e">
        <f t="shared" si="14"/>
        <v>#DIV/0!</v>
      </c>
      <c r="Y36" s="211">
        <v>1.2919244409754218</v>
      </c>
      <c r="Z36" s="211" t="e">
        <f t="shared" si="15"/>
        <v>#DIV/0!</v>
      </c>
      <c r="AA36" s="212">
        <v>44173.583333333336</v>
      </c>
      <c r="AB36" s="4" t="s">
        <v>310</v>
      </c>
    </row>
    <row r="37" spans="1:28">
      <c r="A37" t="s">
        <v>311</v>
      </c>
      <c r="B37" s="71">
        <f t="shared" si="16"/>
        <v>44176.5</v>
      </c>
      <c r="C37" s="44"/>
      <c r="D37" s="80"/>
      <c r="E37" s="81"/>
      <c r="F37" s="72" t="e">
        <f t="shared" si="1"/>
        <v>#DIV/0!</v>
      </c>
      <c r="G37" s="72" t="e">
        <f t="shared" si="2"/>
        <v>#DIV/0!</v>
      </c>
      <c r="H37" s="96">
        <v>0.5</v>
      </c>
      <c r="I37" s="73">
        <f>jar_information!M22</f>
        <v>44165.4375</v>
      </c>
      <c r="J37" s="74">
        <f t="shared" si="3"/>
        <v>11.0625</v>
      </c>
      <c r="K37" s="74">
        <f t="shared" si="4"/>
        <v>265.5</v>
      </c>
      <c r="L37" s="75">
        <f>jar_information!H22</f>
        <v>368.18572718286885</v>
      </c>
      <c r="M37" s="74" t="e">
        <f t="shared" si="5"/>
        <v>#DIV/0!</v>
      </c>
      <c r="N37" s="74" t="e">
        <f t="shared" si="6"/>
        <v>#DIV/0!</v>
      </c>
      <c r="O37" s="76" t="e">
        <f t="shared" si="7"/>
        <v>#DIV/0!</v>
      </c>
      <c r="P37" s="77" t="e">
        <f t="shared" si="8"/>
        <v>#DIV/0!</v>
      </c>
      <c r="Q37" s="78"/>
      <c r="R37" s="78">
        <f t="shared" si="9"/>
        <v>0</v>
      </c>
      <c r="S37" s="78" t="e">
        <f t="shared" si="10"/>
        <v>#DIV/0!</v>
      </c>
      <c r="T37" s="79" t="e">
        <f t="shared" si="11"/>
        <v>#DIV/0!</v>
      </c>
      <c r="U37" s="7" t="e">
        <f t="shared" si="12"/>
        <v>#DIV/0!</v>
      </c>
      <c r="V37" s="90" t="e">
        <f t="shared" si="13"/>
        <v>#DIV/0!</v>
      </c>
      <c r="W37" s="211">
        <f t="shared" si="17"/>
        <v>4.7370562835765471</v>
      </c>
      <c r="X37" s="211" t="e">
        <f t="shared" si="14"/>
        <v>#DIV/0!</v>
      </c>
      <c r="Y37" s="211">
        <v>1.2919244409754218</v>
      </c>
      <c r="Z37" s="211" t="e">
        <f t="shared" si="15"/>
        <v>#DIV/0!</v>
      </c>
      <c r="AA37" s="212">
        <v>44169.5625</v>
      </c>
      <c r="AB37" s="4" t="s">
        <v>311</v>
      </c>
    </row>
    <row r="38" spans="1:28">
      <c r="A38" t="s">
        <v>312</v>
      </c>
      <c r="B38" s="71">
        <f t="shared" si="16"/>
        <v>44176.5</v>
      </c>
      <c r="C38" s="44">
        <v>1</v>
      </c>
      <c r="D38" s="80">
        <v>229.33</v>
      </c>
      <c r="E38" s="81"/>
      <c r="F38" s="72">
        <f t="shared" si="1"/>
        <v>2.583623297778372E-3</v>
      </c>
      <c r="G38" s="72">
        <f t="shared" si="2"/>
        <v>-1.8365678224060389E-4</v>
      </c>
      <c r="H38" s="96">
        <v>0.5</v>
      </c>
      <c r="I38" s="73">
        <f>jar_information!M23</f>
        <v>44165.4375</v>
      </c>
      <c r="J38" s="74">
        <f t="shared" si="3"/>
        <v>11.0625</v>
      </c>
      <c r="K38" s="74">
        <f t="shared" si="4"/>
        <v>265.5</v>
      </c>
      <c r="L38" s="75">
        <f>jar_information!H23</f>
        <v>389.7787371829466</v>
      </c>
      <c r="M38" s="74">
        <f t="shared" si="5"/>
        <v>1.0070414263644938</v>
      </c>
      <c r="N38" s="74">
        <f t="shared" si="6"/>
        <v>1.8428858102470238</v>
      </c>
      <c r="O38" s="76">
        <f t="shared" si="7"/>
        <v>0.50260522097646099</v>
      </c>
      <c r="P38" s="77">
        <f t="shared" si="8"/>
        <v>0.25455495181812476</v>
      </c>
      <c r="Q38" s="78"/>
      <c r="R38" s="78">
        <f t="shared" si="9"/>
        <v>0</v>
      </c>
      <c r="S38" s="78">
        <f t="shared" si="10"/>
        <v>0</v>
      </c>
      <c r="T38" s="79">
        <f t="shared" si="11"/>
        <v>2583.623297778372</v>
      </c>
      <c r="U38" s="7">
        <f t="shared" si="12"/>
        <v>0.25836232977783719</v>
      </c>
      <c r="V38" s="90">
        <f t="shared" si="13"/>
        <v>1.8930516797606817E-3</v>
      </c>
      <c r="W38" s="137">
        <f t="shared" si="17"/>
        <v>4.0044384396609969</v>
      </c>
      <c r="X38" s="137">
        <f t="shared" si="14"/>
        <v>2.1615526294139729</v>
      </c>
      <c r="Y38" s="137">
        <v>1.0921195744529992</v>
      </c>
      <c r="Z38" s="137">
        <f t="shared" si="15"/>
        <v>12.975397515099889</v>
      </c>
      <c r="AB38" s="4" t="s">
        <v>312</v>
      </c>
    </row>
    <row r="39" spans="1:28">
      <c r="A39" t="s">
        <v>313</v>
      </c>
      <c r="B39" s="71">
        <f t="shared" si="16"/>
        <v>44176.5</v>
      </c>
      <c r="C39" s="44">
        <v>1</v>
      </c>
      <c r="D39" s="80">
        <v>339.95</v>
      </c>
      <c r="E39" s="81"/>
      <c r="F39" s="72">
        <f t="shared" si="1"/>
        <v>3.7924662366115155E-3</v>
      </c>
      <c r="G39" s="72">
        <f t="shared" si="2"/>
        <v>-1.8365678224060389E-4</v>
      </c>
      <c r="H39" s="96">
        <v>0.5</v>
      </c>
      <c r="I39" s="73">
        <f>jar_information!M24</f>
        <v>44165.4375</v>
      </c>
      <c r="J39" s="74">
        <f t="shared" si="3"/>
        <v>11.0625</v>
      </c>
      <c r="K39" s="74">
        <f t="shared" si="4"/>
        <v>265.5</v>
      </c>
      <c r="L39" s="75">
        <f>jar_information!H24</f>
        <v>380.48119427385262</v>
      </c>
      <c r="M39" s="74">
        <f t="shared" si="5"/>
        <v>1.4429620829492127</v>
      </c>
      <c r="N39" s="74">
        <f t="shared" si="6"/>
        <v>2.6406206117970594</v>
      </c>
      <c r="O39" s="76">
        <f t="shared" si="7"/>
        <v>0.72016925776283436</v>
      </c>
      <c r="P39" s="77">
        <f t="shared" si="8"/>
        <v>0.36908987073435817</v>
      </c>
      <c r="Q39" s="78"/>
      <c r="R39" s="78">
        <f t="shared" si="9"/>
        <v>0</v>
      </c>
      <c r="S39" s="78">
        <f t="shared" si="10"/>
        <v>0</v>
      </c>
      <c r="T39" s="79">
        <f t="shared" si="11"/>
        <v>3792.4662366115153</v>
      </c>
      <c r="U39" s="7">
        <f t="shared" si="12"/>
        <v>0.37924662366115153</v>
      </c>
      <c r="V39" s="90">
        <f t="shared" si="13"/>
        <v>2.7125019124777188E-3</v>
      </c>
      <c r="W39" s="137">
        <f t="shared" si="17"/>
        <v>4.0044384396609969</v>
      </c>
      <c r="X39" s="137">
        <f t="shared" si="14"/>
        <v>1.3638178278639375</v>
      </c>
      <c r="Y39" s="137">
        <v>1.0921195744529992</v>
      </c>
      <c r="Z39" s="137">
        <f t="shared" si="15"/>
        <v>5.7135185014242857</v>
      </c>
      <c r="AB39" t="s">
        <v>313</v>
      </c>
    </row>
  </sheetData>
  <conditionalFormatting sqref="O18:O39">
    <cfRule type="cellIs" dxfId="5" priority="1" operator="greaterThan">
      <formula>4</formula>
    </cfRule>
    <cfRule type="cellIs" dxfId="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G1" workbookViewId="0">
      <selection activeCell="AB22" sqref="AB22"/>
    </sheetView>
  </sheetViews>
  <sheetFormatPr baseColWidth="10" defaultRowHeight="14" x14ac:dyDescent="0"/>
  <cols>
    <col min="1" max="1" width="31.1640625" bestFit="1" customWidth="1"/>
    <col min="27" max="27" width="15.1640625" bestFit="1" customWidth="1"/>
  </cols>
  <sheetData>
    <row r="1" spans="1:27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7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7">
      <c r="A3" s="44">
        <v>5</v>
      </c>
      <c r="B3" s="52">
        <v>44179</v>
      </c>
      <c r="C3" s="53">
        <v>2992</v>
      </c>
      <c r="D3" s="42">
        <v>1379.1</v>
      </c>
      <c r="E3" s="54">
        <v>258.8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7">
      <c r="A4" s="44">
        <v>4.4000000000000004</v>
      </c>
      <c r="B4" s="52">
        <v>44179</v>
      </c>
      <c r="C4" s="53">
        <v>2992</v>
      </c>
      <c r="D4" s="54">
        <v>1311.2</v>
      </c>
      <c r="E4" s="54">
        <v>235.46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7">
      <c r="A5" s="44">
        <v>4</v>
      </c>
      <c r="B5" s="52">
        <v>44179</v>
      </c>
      <c r="C5" s="53">
        <v>2992</v>
      </c>
      <c r="D5" s="42">
        <v>1189.8</v>
      </c>
      <c r="E5" s="54">
        <v>217.93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27">
      <c r="A6" s="44">
        <v>3.4</v>
      </c>
      <c r="B6" s="52">
        <v>44179</v>
      </c>
      <c r="C6" s="53">
        <v>2992</v>
      </c>
      <c r="D6" s="54">
        <v>1028.2</v>
      </c>
      <c r="E6" s="54">
        <v>183.41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27">
      <c r="A7" s="44">
        <v>3</v>
      </c>
      <c r="B7" s="52">
        <v>44179</v>
      </c>
      <c r="C7" s="53">
        <v>2992</v>
      </c>
      <c r="D7" s="42">
        <v>901.91</v>
      </c>
      <c r="E7" s="54">
        <v>161.91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27">
      <c r="A8" s="44">
        <v>2.4</v>
      </c>
      <c r="B8" s="52">
        <v>44179</v>
      </c>
      <c r="C8" s="53">
        <v>2992</v>
      </c>
      <c r="D8" s="54">
        <v>649.55999999999995</v>
      </c>
      <c r="E8" s="54">
        <v>128.54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7">
      <c r="A9" s="44">
        <v>2</v>
      </c>
      <c r="B9" s="52">
        <v>44179</v>
      </c>
      <c r="C9" s="53">
        <v>2992</v>
      </c>
      <c r="D9" s="42">
        <v>521.24</v>
      </c>
      <c r="E9" s="54">
        <v>102.39</v>
      </c>
      <c r="F9" s="55">
        <f t="shared" si="0"/>
        <v>5.984</v>
      </c>
      <c r="G9" s="58" t="s">
        <v>70</v>
      </c>
      <c r="H9" s="58"/>
      <c r="I9" s="59">
        <f>SLOPE(F3:F15,D3:D15)</f>
        <v>1.0204598791262492E-2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7">
      <c r="A10" s="44">
        <v>1.4</v>
      </c>
      <c r="B10" s="52">
        <v>44179</v>
      </c>
      <c r="C10" s="53">
        <v>2992</v>
      </c>
      <c r="D10" s="42">
        <v>387.31</v>
      </c>
      <c r="E10" s="54">
        <v>78.078999999999994</v>
      </c>
      <c r="F10" s="55">
        <f t="shared" si="0"/>
        <v>4.1887999999999996</v>
      </c>
      <c r="G10" s="58" t="s">
        <v>71</v>
      </c>
      <c r="H10" s="58"/>
      <c r="I10" s="59">
        <f>INTERCEPT(F3:F15,D3:D15)</f>
        <v>0.1320138528865975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7">
      <c r="A11" s="44">
        <v>1</v>
      </c>
      <c r="B11" s="52">
        <v>44179</v>
      </c>
      <c r="C11" s="53">
        <v>2992</v>
      </c>
      <c r="D11" s="42">
        <v>285.7</v>
      </c>
      <c r="E11" s="54">
        <v>61.5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27">
      <c r="A12" s="60">
        <v>0.4</v>
      </c>
      <c r="B12" s="52">
        <v>44179</v>
      </c>
      <c r="C12" s="53">
        <v>2992</v>
      </c>
      <c r="D12" s="60">
        <v>107.58</v>
      </c>
      <c r="E12" s="60">
        <v>25.504000000000001</v>
      </c>
      <c r="F12" s="55">
        <f t="shared" si="0"/>
        <v>1.1968000000000001</v>
      </c>
      <c r="G12" s="61" t="s">
        <v>72</v>
      </c>
      <c r="H12" s="61"/>
      <c r="I12" s="62">
        <f>SLOPE(F3:F15,E3:E15)</f>
        <v>5.6958330299447218E-2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27">
      <c r="A13" s="60">
        <v>0.2</v>
      </c>
      <c r="B13" s="52">
        <v>44179</v>
      </c>
      <c r="C13" s="53">
        <v>2992</v>
      </c>
      <c r="D13" s="60">
        <v>52.996000000000002</v>
      </c>
      <c r="E13" s="60">
        <v>12.916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-0.17059943828958168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27">
      <c r="A14" s="60">
        <v>0.1</v>
      </c>
      <c r="B14" s="52">
        <v>44179</v>
      </c>
      <c r="C14" s="53">
        <v>2992</v>
      </c>
      <c r="D14" s="60">
        <v>21.617999999999999</v>
      </c>
      <c r="E14" s="60">
        <v>6.5570000000000004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32"/>
      <c r="X14" s="132"/>
      <c r="Y14" s="132"/>
      <c r="Z14" s="132"/>
    </row>
    <row r="15" spans="1:27">
      <c r="A15" s="60">
        <v>0</v>
      </c>
      <c r="B15" s="52">
        <v>44179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32"/>
      <c r="X15" s="132"/>
      <c r="Y15" s="132"/>
      <c r="Z15" s="132"/>
    </row>
    <row r="16" spans="1:27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155" t="s">
        <v>278</v>
      </c>
      <c r="X16" s="155" t="s">
        <v>279</v>
      </c>
      <c r="Y16" s="155" t="s">
        <v>280</v>
      </c>
      <c r="Z16" s="155" t="s">
        <v>282</v>
      </c>
      <c r="AA16" s="155" t="s">
        <v>315</v>
      </c>
    </row>
    <row r="17" spans="1:28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1" t="s">
        <v>113</v>
      </c>
      <c r="W17" s="156"/>
      <c r="X17" s="213"/>
      <c r="Y17" s="213"/>
      <c r="Z17" s="156"/>
    </row>
    <row r="18" spans="1:28">
      <c r="A18" s="29" t="s">
        <v>292</v>
      </c>
      <c r="B18" s="71">
        <f t="shared" ref="B18:B39" si="1">$B$3+H18</f>
        <v>44179.65625</v>
      </c>
      <c r="C18" s="44">
        <v>0.4</v>
      </c>
      <c r="D18" s="80">
        <v>1039.5</v>
      </c>
      <c r="E18" s="81">
        <v>181.15</v>
      </c>
      <c r="F18" s="72">
        <f t="shared" ref="F18:F39" si="2">((I$9*D18)+I$10)/C18/1000</f>
        <v>2.6849235741009891E-2</v>
      </c>
      <c r="G18" s="72">
        <f t="shared" ref="G18:G39" si="3">((I$12*E18)+I$13)/C18/1000</f>
        <v>2.5368505238638202E-2</v>
      </c>
      <c r="H18" s="96">
        <v>0.65625</v>
      </c>
      <c r="I18" s="73">
        <f>jar_information!M3</f>
        <v>44165.4375</v>
      </c>
      <c r="J18" s="74">
        <f t="shared" ref="J18:J39" si="4">B18-I18</f>
        <v>14.21875</v>
      </c>
      <c r="K18" s="74">
        <f t="shared" ref="K18:K39" si="5">J18*24</f>
        <v>341.25</v>
      </c>
      <c r="L18" s="75">
        <f>jar_information!H3</f>
        <v>371.24882105804681</v>
      </c>
      <c r="M18" s="74">
        <f t="shared" ref="M18:M39" si="6">F18*L18</f>
        <v>9.9677471151594954</v>
      </c>
      <c r="N18" s="74">
        <f t="shared" ref="N18:N39" si="7">M18*1.83</f>
        <v>18.240977220741879</v>
      </c>
      <c r="O18" s="76">
        <f t="shared" ref="O18:O39" si="8">N18*(12/(12+(16*2)))</f>
        <v>4.9748119692932393</v>
      </c>
      <c r="P18" s="77">
        <f t="shared" ref="P18:P39" si="9">O18*(400/(400+L18))</f>
        <v>2.5801333284210326</v>
      </c>
      <c r="Q18" s="78">
        <v>697</v>
      </c>
      <c r="R18" s="78">
        <f t="shared" ref="R18:R39" si="10">Q18/314.7</f>
        <v>2.2148077534159518</v>
      </c>
      <c r="S18" s="78">
        <f t="shared" ref="S18:S37" si="11">R18/P18*100</f>
        <v>85.840825705365802</v>
      </c>
      <c r="T18" s="79">
        <f t="shared" ref="T18:T39" si="12">F18*1000000</f>
        <v>26849.235741009892</v>
      </c>
      <c r="U18" s="7">
        <f t="shared" ref="U18:U39" si="13">M18/L18*100</f>
        <v>2.6849235741009889</v>
      </c>
      <c r="V18" s="90">
        <f t="shared" ref="V18:V39" si="14">O18/K18</f>
        <v>1.4578203573020481E-2</v>
      </c>
      <c r="W18" s="137">
        <f>Y18*44/12</f>
        <v>21.650063430477442</v>
      </c>
      <c r="X18" s="137">
        <f t="shared" ref="X18:X39" si="15">IF((W18-N18)&lt;=0,"!",W18-N18)</f>
        <v>3.4090862097355625</v>
      </c>
      <c r="Y18" s="137">
        <v>5.9045627537665748</v>
      </c>
      <c r="Z18" s="137">
        <f t="shared" ref="Z18:Z39" si="16">IF(Y18/V18/24-J18&lt;1,"&lt;1",Y18/V18/24-J18)</f>
        <v>2.6573655543826256</v>
      </c>
      <c r="AA18" s="158">
        <v>44179.694444444445</v>
      </c>
      <c r="AB18" t="s">
        <v>292</v>
      </c>
    </row>
    <row r="19" spans="1:28">
      <c r="A19" s="29" t="s">
        <v>293</v>
      </c>
      <c r="B19" s="71">
        <f t="shared" si="1"/>
        <v>44179.65625</v>
      </c>
      <c r="C19" s="44">
        <v>0.4</v>
      </c>
      <c r="D19" s="80">
        <v>302.98</v>
      </c>
      <c r="E19" s="81">
        <v>61.622</v>
      </c>
      <c r="F19" s="72">
        <f t="shared" si="2"/>
        <v>8.0595079866582677E-3</v>
      </c>
      <c r="G19" s="72">
        <f t="shared" si="3"/>
        <v>8.3482169785573865E-3</v>
      </c>
      <c r="H19" s="96">
        <v>0.65625</v>
      </c>
      <c r="I19" s="73">
        <f>jar_information!M4</f>
        <v>44165.4375</v>
      </c>
      <c r="J19" s="74">
        <f t="shared" si="4"/>
        <v>14.21875</v>
      </c>
      <c r="K19" s="74">
        <f t="shared" si="5"/>
        <v>341.25</v>
      </c>
      <c r="L19" s="75">
        <f>jar_information!H4</f>
        <v>396.0136460677399</v>
      </c>
      <c r="M19" s="74">
        <f t="shared" si="6"/>
        <v>3.1916751433086104</v>
      </c>
      <c r="N19" s="74">
        <f t="shared" si="7"/>
        <v>5.840765512254757</v>
      </c>
      <c r="O19" s="76">
        <f t="shared" si="8"/>
        <v>1.5929360487967519</v>
      </c>
      <c r="P19" s="77">
        <f t="shared" si="9"/>
        <v>0.80045665381027642</v>
      </c>
      <c r="Q19" s="78">
        <v>260.39999999999998</v>
      </c>
      <c r="R19" s="78">
        <f t="shared" si="10"/>
        <v>0.82745471877979027</v>
      </c>
      <c r="S19" s="78">
        <f t="shared" si="11"/>
        <v>103.37283284997379</v>
      </c>
      <c r="T19" s="79">
        <f t="shared" si="12"/>
        <v>8059.5079866582673</v>
      </c>
      <c r="U19" s="7">
        <f t="shared" si="13"/>
        <v>0.80595079866582675</v>
      </c>
      <c r="V19" s="90">
        <f t="shared" si="14"/>
        <v>4.6679444653384668E-3</v>
      </c>
      <c r="W19" s="137">
        <f t="shared" ref="W19:W39" si="17">Y19*44/12</f>
        <v>21.650063430477442</v>
      </c>
      <c r="X19" s="137">
        <f t="shared" si="15"/>
        <v>15.809297918222684</v>
      </c>
      <c r="Y19" s="137">
        <v>5.9045627537665748</v>
      </c>
      <c r="Z19" s="137">
        <f t="shared" si="16"/>
        <v>38.486128967699635</v>
      </c>
      <c r="AA19" s="158">
        <v>44179.694444444445</v>
      </c>
      <c r="AB19" t="s">
        <v>293</v>
      </c>
    </row>
    <row r="20" spans="1:28">
      <c r="A20" s="29" t="s">
        <v>294</v>
      </c>
      <c r="B20" s="71">
        <f t="shared" si="1"/>
        <v>44179.65625</v>
      </c>
      <c r="C20" s="44"/>
      <c r="D20" s="80"/>
      <c r="E20" s="81"/>
      <c r="F20" s="72" t="e">
        <f t="shared" si="2"/>
        <v>#DIV/0!</v>
      </c>
      <c r="G20" s="72" t="e">
        <f t="shared" si="3"/>
        <v>#DIV/0!</v>
      </c>
      <c r="H20" s="96">
        <v>0.65625</v>
      </c>
      <c r="I20" s="73">
        <f>jar_information!M5</f>
        <v>44165.4375</v>
      </c>
      <c r="J20" s="74">
        <f t="shared" si="4"/>
        <v>14.21875</v>
      </c>
      <c r="K20" s="74">
        <f t="shared" si="5"/>
        <v>341.25</v>
      </c>
      <c r="L20" s="75">
        <f>jar_information!H5</f>
        <v>356.00450368854933</v>
      </c>
      <c r="M20" s="74" t="e">
        <f t="shared" si="6"/>
        <v>#DIV/0!</v>
      </c>
      <c r="N20" s="74" t="e">
        <f t="shared" si="7"/>
        <v>#DIV/0!</v>
      </c>
      <c r="O20" s="76" t="e">
        <f t="shared" si="8"/>
        <v>#DIV/0!</v>
      </c>
      <c r="P20" s="77" t="e">
        <f t="shared" si="9"/>
        <v>#DIV/0!</v>
      </c>
      <c r="Q20" s="78"/>
      <c r="R20" s="78">
        <f t="shared" si="10"/>
        <v>0</v>
      </c>
      <c r="S20" s="78" t="e">
        <f t="shared" si="11"/>
        <v>#DIV/0!</v>
      </c>
      <c r="T20" s="79" t="e">
        <f t="shared" si="12"/>
        <v>#DIV/0!</v>
      </c>
      <c r="U20" s="7" t="e">
        <f t="shared" si="13"/>
        <v>#DIV/0!</v>
      </c>
      <c r="V20" s="90" t="e">
        <f t="shared" si="14"/>
        <v>#DIV/0!</v>
      </c>
      <c r="W20" s="211">
        <f t="shared" si="17"/>
        <v>8.9690216559265394</v>
      </c>
      <c r="X20" s="211" t="e">
        <f t="shared" si="15"/>
        <v>#DIV/0!</v>
      </c>
      <c r="Y20" s="211">
        <v>2.4460968152526927</v>
      </c>
      <c r="Z20" s="211" t="e">
        <f t="shared" si="16"/>
        <v>#DIV/0!</v>
      </c>
      <c r="AA20" s="212">
        <v>44173.583333333336</v>
      </c>
      <c r="AB20" s="4" t="s">
        <v>294</v>
      </c>
    </row>
    <row r="21" spans="1:28">
      <c r="A21" s="29" t="s">
        <v>295</v>
      </c>
      <c r="B21" s="71">
        <f t="shared" si="1"/>
        <v>44179.65625</v>
      </c>
      <c r="C21" s="44"/>
      <c r="D21" s="80"/>
      <c r="E21" s="81"/>
      <c r="F21" s="72" t="e">
        <f t="shared" si="2"/>
        <v>#DIV/0!</v>
      </c>
      <c r="G21" s="72" t="e">
        <f t="shared" si="3"/>
        <v>#DIV/0!</v>
      </c>
      <c r="H21" s="96">
        <v>0.65625</v>
      </c>
      <c r="I21" s="73">
        <f>jar_information!M6</f>
        <v>44165.4375</v>
      </c>
      <c r="J21" s="74">
        <f t="shared" si="4"/>
        <v>14.21875</v>
      </c>
      <c r="K21" s="74">
        <f t="shared" si="5"/>
        <v>341.25</v>
      </c>
      <c r="L21" s="75">
        <f>jar_information!H6</f>
        <v>362.08093473315461</v>
      </c>
      <c r="M21" s="74" t="e">
        <f t="shared" si="6"/>
        <v>#DIV/0!</v>
      </c>
      <c r="N21" s="74" t="e">
        <f t="shared" si="7"/>
        <v>#DIV/0!</v>
      </c>
      <c r="O21" s="76" t="e">
        <f t="shared" si="8"/>
        <v>#DIV/0!</v>
      </c>
      <c r="P21" s="77" t="e">
        <f t="shared" si="9"/>
        <v>#DIV/0!</v>
      </c>
      <c r="Q21" s="78"/>
      <c r="R21" s="78">
        <f t="shared" si="10"/>
        <v>0</v>
      </c>
      <c r="S21" s="78" t="e">
        <f t="shared" si="11"/>
        <v>#DIV/0!</v>
      </c>
      <c r="T21" s="79" t="e">
        <f t="shared" si="12"/>
        <v>#DIV/0!</v>
      </c>
      <c r="U21" s="7" t="e">
        <f t="shared" si="13"/>
        <v>#DIV/0!</v>
      </c>
      <c r="V21" s="90" t="e">
        <f t="shared" si="14"/>
        <v>#DIV/0!</v>
      </c>
      <c r="W21" s="211">
        <f t="shared" si="17"/>
        <v>8.9690216559265394</v>
      </c>
      <c r="X21" s="211" t="e">
        <f t="shared" si="15"/>
        <v>#DIV/0!</v>
      </c>
      <c r="Y21" s="211">
        <v>2.4460968152526927</v>
      </c>
      <c r="Z21" s="211" t="e">
        <f t="shared" si="16"/>
        <v>#DIV/0!</v>
      </c>
      <c r="AA21" s="212">
        <v>44173.583333333336</v>
      </c>
      <c r="AB21" s="4" t="s">
        <v>295</v>
      </c>
    </row>
    <row r="22" spans="1:28">
      <c r="A22" s="29" t="s">
        <v>296</v>
      </c>
      <c r="B22" s="71">
        <f t="shared" si="1"/>
        <v>44179.65625</v>
      </c>
      <c r="C22" s="44"/>
      <c r="D22" s="80"/>
      <c r="E22" s="81"/>
      <c r="F22" s="72" t="e">
        <f t="shared" si="2"/>
        <v>#DIV/0!</v>
      </c>
      <c r="G22" s="72" t="e">
        <f t="shared" si="3"/>
        <v>#DIV/0!</v>
      </c>
      <c r="H22" s="96">
        <v>0.65625</v>
      </c>
      <c r="I22" s="73">
        <f>jar_information!M7</f>
        <v>44165.4375</v>
      </c>
      <c r="J22" s="74">
        <f t="shared" si="4"/>
        <v>14.21875</v>
      </c>
      <c r="K22" s="74">
        <f t="shared" si="5"/>
        <v>341.25</v>
      </c>
      <c r="L22" s="75">
        <f>jar_information!H7</f>
        <v>368.18572718286885</v>
      </c>
      <c r="M22" s="74" t="e">
        <f t="shared" si="6"/>
        <v>#DIV/0!</v>
      </c>
      <c r="N22" s="74" t="e">
        <f t="shared" si="7"/>
        <v>#DIV/0!</v>
      </c>
      <c r="O22" s="76" t="e">
        <f t="shared" si="8"/>
        <v>#DIV/0!</v>
      </c>
      <c r="P22" s="77" t="e">
        <f t="shared" si="9"/>
        <v>#DIV/0!</v>
      </c>
      <c r="Q22" s="78"/>
      <c r="R22" s="78">
        <f t="shared" si="10"/>
        <v>0</v>
      </c>
      <c r="S22" s="78" t="e">
        <f t="shared" si="11"/>
        <v>#DIV/0!</v>
      </c>
      <c r="T22" s="79" t="e">
        <f t="shared" si="12"/>
        <v>#DIV/0!</v>
      </c>
      <c r="U22" s="7" t="e">
        <f t="shared" si="13"/>
        <v>#DIV/0!</v>
      </c>
      <c r="V22" s="90" t="e">
        <f t="shared" si="14"/>
        <v>#DIV/0!</v>
      </c>
      <c r="W22" s="211">
        <f t="shared" si="17"/>
        <v>4.4310190566310377</v>
      </c>
      <c r="X22" s="211" t="e">
        <f t="shared" si="15"/>
        <v>#DIV/0!</v>
      </c>
      <c r="Y22" s="211">
        <v>1.2084597427175559</v>
      </c>
      <c r="Z22" s="211" t="e">
        <f t="shared" si="16"/>
        <v>#DIV/0!</v>
      </c>
      <c r="AA22" s="212">
        <v>44173.583333333336</v>
      </c>
      <c r="AB22" s="4" t="s">
        <v>296</v>
      </c>
    </row>
    <row r="23" spans="1:28">
      <c r="A23" s="29" t="s">
        <v>297</v>
      </c>
      <c r="B23" s="71">
        <f t="shared" si="1"/>
        <v>44179.65625</v>
      </c>
      <c r="C23" s="44">
        <v>1</v>
      </c>
      <c r="D23" s="80">
        <v>315.22000000000003</v>
      </c>
      <c r="E23" s="81">
        <v>60.813000000000002</v>
      </c>
      <c r="F23" s="72">
        <f t="shared" si="2"/>
        <v>3.3487074838683606E-3</v>
      </c>
      <c r="G23" s="72">
        <f t="shared" si="3"/>
        <v>3.2932075022107021E-3</v>
      </c>
      <c r="H23" s="96">
        <v>0.65625</v>
      </c>
      <c r="I23" s="73">
        <f>jar_information!M8</f>
        <v>44165.4375</v>
      </c>
      <c r="J23" s="74">
        <f t="shared" si="4"/>
        <v>14.21875</v>
      </c>
      <c r="K23" s="74">
        <f t="shared" si="5"/>
        <v>341.25</v>
      </c>
      <c r="L23" s="75">
        <f>jar_information!H8</f>
        <v>405.42134882290139</v>
      </c>
      <c r="M23" s="74">
        <f t="shared" si="6"/>
        <v>1.357637504923255</v>
      </c>
      <c r="N23" s="74">
        <f t="shared" si="7"/>
        <v>2.4844766340095568</v>
      </c>
      <c r="O23" s="76">
        <f t="shared" si="8"/>
        <v>0.67758453654806083</v>
      </c>
      <c r="P23" s="77">
        <f t="shared" si="9"/>
        <v>0.33651183323527734</v>
      </c>
      <c r="Q23" s="78">
        <v>184.7</v>
      </c>
      <c r="R23" s="78">
        <f t="shared" si="10"/>
        <v>0.58690816650778521</v>
      </c>
      <c r="S23" s="78">
        <f>R23/O23*100</f>
        <v>86.617703747753112</v>
      </c>
      <c r="T23" s="79">
        <f t="shared" si="12"/>
        <v>3348.7074838683607</v>
      </c>
      <c r="U23" s="7">
        <f t="shared" si="13"/>
        <v>0.33487074838683606</v>
      </c>
      <c r="V23" s="90">
        <f t="shared" si="14"/>
        <v>1.985595711496149E-3</v>
      </c>
      <c r="W23" s="137">
        <f t="shared" si="17"/>
        <v>4.4310190566310377</v>
      </c>
      <c r="X23" s="137">
        <f t="shared" si="15"/>
        <v>1.9465424226214809</v>
      </c>
      <c r="Y23" s="137">
        <v>1.2084597427175559</v>
      </c>
      <c r="Z23" s="137">
        <f t="shared" si="16"/>
        <v>11.14013297318969</v>
      </c>
      <c r="AA23" t="s">
        <v>363</v>
      </c>
      <c r="AB23" s="4" t="s">
        <v>297</v>
      </c>
    </row>
    <row r="24" spans="1:28">
      <c r="A24" s="29" t="s">
        <v>298</v>
      </c>
      <c r="B24" s="71">
        <f t="shared" si="1"/>
        <v>44179.65625</v>
      </c>
      <c r="C24" s="44"/>
      <c r="D24" s="80"/>
      <c r="E24" s="81"/>
      <c r="F24" s="72" t="e">
        <f t="shared" si="2"/>
        <v>#DIV/0!</v>
      </c>
      <c r="G24" s="72" t="e">
        <f t="shared" si="3"/>
        <v>#DIV/0!</v>
      </c>
      <c r="H24" s="96">
        <v>0.65625</v>
      </c>
      <c r="I24" s="73">
        <f>jar_information!M9</f>
        <v>44165.4375</v>
      </c>
      <c r="J24" s="74">
        <f t="shared" si="4"/>
        <v>14.21875</v>
      </c>
      <c r="K24" s="74">
        <f t="shared" si="5"/>
        <v>341.25</v>
      </c>
      <c r="L24" s="75">
        <f>jar_information!H9</f>
        <v>368.18572718286885</v>
      </c>
      <c r="M24" s="74" t="e">
        <f t="shared" si="6"/>
        <v>#DIV/0!</v>
      </c>
      <c r="N24" s="74" t="e">
        <f t="shared" si="7"/>
        <v>#DIV/0!</v>
      </c>
      <c r="O24" s="76" t="e">
        <f t="shared" si="8"/>
        <v>#DIV/0!</v>
      </c>
      <c r="P24" s="77" t="e">
        <f t="shared" si="9"/>
        <v>#DIV/0!</v>
      </c>
      <c r="Q24" s="78"/>
      <c r="R24" s="78">
        <f t="shared" si="10"/>
        <v>0</v>
      </c>
      <c r="S24" s="78" t="e">
        <f t="shared" si="11"/>
        <v>#DIV/0!</v>
      </c>
      <c r="T24" s="79" t="e">
        <f t="shared" si="12"/>
        <v>#DIV/0!</v>
      </c>
      <c r="U24" s="7" t="e">
        <f t="shared" si="13"/>
        <v>#DIV/0!</v>
      </c>
      <c r="V24" s="90" t="e">
        <f t="shared" si="14"/>
        <v>#DIV/0!</v>
      </c>
      <c r="W24" s="211">
        <f t="shared" si="17"/>
        <v>7.8060465850108978</v>
      </c>
      <c r="X24" s="211" t="e">
        <f t="shared" si="15"/>
        <v>#DIV/0!</v>
      </c>
      <c r="Y24" s="211">
        <v>2.128921795912063</v>
      </c>
      <c r="Z24" s="211" t="e">
        <f t="shared" si="16"/>
        <v>#DIV/0!</v>
      </c>
      <c r="AA24" s="212">
        <v>44169.5625</v>
      </c>
      <c r="AB24" s="4" t="s">
        <v>298</v>
      </c>
    </row>
    <row r="25" spans="1:28">
      <c r="A25" s="29" t="s">
        <v>299</v>
      </c>
      <c r="B25" s="71">
        <f t="shared" si="1"/>
        <v>44179.65625</v>
      </c>
      <c r="C25" s="44"/>
      <c r="D25" s="80"/>
      <c r="E25" s="81"/>
      <c r="F25" s="72" t="e">
        <f t="shared" si="2"/>
        <v>#DIV/0!</v>
      </c>
      <c r="G25" s="72" t="e">
        <f t="shared" si="3"/>
        <v>#DIV/0!</v>
      </c>
      <c r="H25" s="96">
        <v>0.65625</v>
      </c>
      <c r="I25" s="73">
        <f>jar_information!M10</f>
        <v>44165.4375</v>
      </c>
      <c r="J25" s="74">
        <f t="shared" si="4"/>
        <v>14.21875</v>
      </c>
      <c r="K25" s="74">
        <f t="shared" si="5"/>
        <v>341.25</v>
      </c>
      <c r="L25" s="75">
        <f>jar_information!H10</f>
        <v>365.12977338665411</v>
      </c>
      <c r="M25" s="74" t="e">
        <f t="shared" si="6"/>
        <v>#DIV/0!</v>
      </c>
      <c r="N25" s="74" t="e">
        <f t="shared" si="7"/>
        <v>#DIV/0!</v>
      </c>
      <c r="O25" s="76" t="e">
        <f t="shared" si="8"/>
        <v>#DIV/0!</v>
      </c>
      <c r="P25" s="77" t="e">
        <f t="shared" si="9"/>
        <v>#DIV/0!</v>
      </c>
      <c r="Q25" s="78"/>
      <c r="R25" s="78">
        <f t="shared" si="10"/>
        <v>0</v>
      </c>
      <c r="S25" s="78" t="e">
        <f t="shared" si="11"/>
        <v>#DIV/0!</v>
      </c>
      <c r="T25" s="79" t="e">
        <f t="shared" si="12"/>
        <v>#DIV/0!</v>
      </c>
      <c r="U25" s="7" t="e">
        <f t="shared" si="13"/>
        <v>#DIV/0!</v>
      </c>
      <c r="V25" s="90" t="e">
        <f t="shared" si="14"/>
        <v>#DIV/0!</v>
      </c>
      <c r="W25" s="211">
        <f t="shared" si="17"/>
        <v>7.8060465850108978</v>
      </c>
      <c r="X25" s="211" t="e">
        <f t="shared" si="15"/>
        <v>#DIV/0!</v>
      </c>
      <c r="Y25" s="211">
        <v>2.128921795912063</v>
      </c>
      <c r="Z25" s="211" t="e">
        <f t="shared" si="16"/>
        <v>#DIV/0!</v>
      </c>
      <c r="AA25" s="212">
        <v>44169.5625</v>
      </c>
      <c r="AB25" s="4" t="s">
        <v>299</v>
      </c>
    </row>
    <row r="26" spans="1:28">
      <c r="A26" s="29" t="s">
        <v>300</v>
      </c>
      <c r="B26" s="71">
        <f t="shared" si="1"/>
        <v>44179.65625</v>
      </c>
      <c r="C26" s="44"/>
      <c r="D26" s="80"/>
      <c r="E26" s="81"/>
      <c r="F26" s="72" t="e">
        <f t="shared" si="2"/>
        <v>#DIV/0!</v>
      </c>
      <c r="G26" s="72" t="e">
        <f t="shared" si="3"/>
        <v>#DIV/0!</v>
      </c>
      <c r="H26" s="96">
        <v>0.65625</v>
      </c>
      <c r="I26" s="73">
        <f>jar_information!M11</f>
        <v>44165.4375</v>
      </c>
      <c r="J26" s="74">
        <f t="shared" si="4"/>
        <v>14.21875</v>
      </c>
      <c r="K26" s="74">
        <f t="shared" si="5"/>
        <v>341.25</v>
      </c>
      <c r="L26" s="75">
        <f>jar_information!H11</f>
        <v>368.18572718286885</v>
      </c>
      <c r="M26" s="74" t="e">
        <f t="shared" si="6"/>
        <v>#DIV/0!</v>
      </c>
      <c r="N26" s="74" t="e">
        <f t="shared" si="7"/>
        <v>#DIV/0!</v>
      </c>
      <c r="O26" s="76" t="e">
        <f t="shared" si="8"/>
        <v>#DIV/0!</v>
      </c>
      <c r="P26" s="77" t="e">
        <f t="shared" si="9"/>
        <v>#DIV/0!</v>
      </c>
      <c r="Q26" s="78"/>
      <c r="R26" s="78">
        <f t="shared" si="10"/>
        <v>0</v>
      </c>
      <c r="S26" s="78" t="e">
        <f t="shared" si="11"/>
        <v>#DIV/0!</v>
      </c>
      <c r="T26" s="79" t="e">
        <f t="shared" si="12"/>
        <v>#DIV/0!</v>
      </c>
      <c r="U26" s="7" t="e">
        <f t="shared" si="13"/>
        <v>#DIV/0!</v>
      </c>
      <c r="V26" s="90" t="e">
        <f t="shared" si="14"/>
        <v>#DIV/0!</v>
      </c>
      <c r="W26" s="211">
        <f t="shared" si="17"/>
        <v>6.8280955876189529</v>
      </c>
      <c r="X26" s="211" t="e">
        <f t="shared" si="15"/>
        <v>#DIV/0!</v>
      </c>
      <c r="Y26" s="211">
        <v>1.8622078875324415</v>
      </c>
      <c r="Z26" s="211" t="e">
        <f t="shared" si="16"/>
        <v>#DIV/0!</v>
      </c>
      <c r="AA26" s="212">
        <v>44173.583333333336</v>
      </c>
      <c r="AB26" s="4" t="s">
        <v>300</v>
      </c>
    </row>
    <row r="27" spans="1:28">
      <c r="A27" s="29" t="s">
        <v>301</v>
      </c>
      <c r="B27" s="71">
        <f t="shared" si="1"/>
        <v>44179.65625</v>
      </c>
      <c r="C27" s="44">
        <v>1</v>
      </c>
      <c r="D27" s="80">
        <v>315.49</v>
      </c>
      <c r="E27" s="81">
        <v>64.995999999999995</v>
      </c>
      <c r="F27" s="72">
        <f t="shared" si="2"/>
        <v>3.3514627255420014E-3</v>
      </c>
      <c r="G27" s="72">
        <f t="shared" si="3"/>
        <v>3.5314641978532895E-3</v>
      </c>
      <c r="H27" s="96">
        <v>0.65625</v>
      </c>
      <c r="I27" s="73">
        <f>jar_information!M12</f>
        <v>44165.4375</v>
      </c>
      <c r="J27" s="74">
        <f t="shared" si="4"/>
        <v>14.21875</v>
      </c>
      <c r="K27" s="74">
        <f t="shared" si="5"/>
        <v>341.25</v>
      </c>
      <c r="L27" s="75">
        <f>jar_information!H12</f>
        <v>374.31908006509644</v>
      </c>
      <c r="M27" s="74">
        <f t="shared" si="6"/>
        <v>1.2545164442973429</v>
      </c>
      <c r="N27" s="74">
        <f t="shared" si="7"/>
        <v>2.2957650930641376</v>
      </c>
      <c r="O27" s="76">
        <f t="shared" si="8"/>
        <v>0.62611775265385561</v>
      </c>
      <c r="P27" s="77">
        <f t="shared" si="9"/>
        <v>0.32344172771835528</v>
      </c>
      <c r="Q27" s="78">
        <v>175</v>
      </c>
      <c r="R27" s="78">
        <f t="shared" si="10"/>
        <v>0.55608516047028922</v>
      </c>
      <c r="S27" s="78">
        <f>R27/O27*100</f>
        <v>88.814788929601974</v>
      </c>
      <c r="T27" s="79">
        <f t="shared" si="12"/>
        <v>3351.4627255420014</v>
      </c>
      <c r="U27" s="7">
        <f t="shared" si="13"/>
        <v>0.33514627255420021</v>
      </c>
      <c r="V27" s="90">
        <f t="shared" si="14"/>
        <v>1.8347772971541556E-3</v>
      </c>
      <c r="W27" s="137">
        <f t="shared" si="17"/>
        <v>6.8280955876189529</v>
      </c>
      <c r="X27" s="137">
        <f t="shared" si="15"/>
        <v>4.5323304945548148</v>
      </c>
      <c r="Y27" s="137">
        <v>1.8622078875324415</v>
      </c>
      <c r="Z27" s="137">
        <f t="shared" si="16"/>
        <v>28.070848543758608</v>
      </c>
      <c r="AA27" t="s">
        <v>363</v>
      </c>
      <c r="AB27" s="4" t="s">
        <v>301</v>
      </c>
    </row>
    <row r="28" spans="1:28">
      <c r="A28" s="4" t="s">
        <v>302</v>
      </c>
      <c r="B28" s="71">
        <f t="shared" si="1"/>
        <v>44179.65625</v>
      </c>
      <c r="C28" s="44"/>
      <c r="D28" s="80"/>
      <c r="E28" s="81"/>
      <c r="F28" s="72" t="e">
        <f t="shared" si="2"/>
        <v>#DIV/0!</v>
      </c>
      <c r="G28" s="72" t="e">
        <f t="shared" si="3"/>
        <v>#DIV/0!</v>
      </c>
      <c r="H28" s="96">
        <v>0.65625</v>
      </c>
      <c r="I28" s="73">
        <f>jar_information!M13</f>
        <v>44165.4375</v>
      </c>
      <c r="J28" s="74">
        <f t="shared" si="4"/>
        <v>14.21875</v>
      </c>
      <c r="K28" s="74">
        <f t="shared" si="5"/>
        <v>341.25</v>
      </c>
      <c r="L28" s="75">
        <f>jar_information!H13</f>
        <v>371.24882105804681</v>
      </c>
      <c r="M28" s="74" t="e">
        <f t="shared" si="6"/>
        <v>#DIV/0!</v>
      </c>
      <c r="N28" s="74" t="e">
        <f t="shared" si="7"/>
        <v>#DIV/0!</v>
      </c>
      <c r="O28" s="76" t="e">
        <f t="shared" si="8"/>
        <v>#DIV/0!</v>
      </c>
      <c r="P28" s="77" t="e">
        <f t="shared" si="9"/>
        <v>#DIV/0!</v>
      </c>
      <c r="Q28" s="78"/>
      <c r="R28" s="78">
        <f t="shared" si="10"/>
        <v>0</v>
      </c>
      <c r="S28" s="78" t="e">
        <f t="shared" si="11"/>
        <v>#DIV/0!</v>
      </c>
      <c r="T28" s="79" t="e">
        <f t="shared" si="12"/>
        <v>#DIV/0!</v>
      </c>
      <c r="U28" s="7" t="e">
        <f t="shared" si="13"/>
        <v>#DIV/0!</v>
      </c>
      <c r="V28" s="90" t="e">
        <f t="shared" si="14"/>
        <v>#DIV/0!</v>
      </c>
      <c r="W28" s="211">
        <f t="shared" si="17"/>
        <v>3.8242757661929319</v>
      </c>
      <c r="X28" s="211" t="e">
        <f t="shared" si="15"/>
        <v>#DIV/0!</v>
      </c>
      <c r="Y28" s="211">
        <v>1.0429842998707997</v>
      </c>
      <c r="Z28" s="211" t="e">
        <f t="shared" si="16"/>
        <v>#DIV/0!</v>
      </c>
      <c r="AA28" s="212">
        <v>44172.541666666664</v>
      </c>
      <c r="AB28" s="4" t="s">
        <v>302</v>
      </c>
    </row>
    <row r="29" spans="1:28">
      <c r="A29" s="4" t="s">
        <v>303</v>
      </c>
      <c r="B29" s="71">
        <f t="shared" si="1"/>
        <v>44179.65625</v>
      </c>
      <c r="C29" s="44"/>
      <c r="D29" s="80"/>
      <c r="E29" s="81"/>
      <c r="F29" s="72" t="e">
        <f t="shared" si="2"/>
        <v>#DIV/0!</v>
      </c>
      <c r="G29" s="72" t="e">
        <f t="shared" si="3"/>
        <v>#DIV/0!</v>
      </c>
      <c r="H29" s="96">
        <v>0.65625</v>
      </c>
      <c r="I29" s="73">
        <f>jar_information!M14</f>
        <v>44165.4375</v>
      </c>
      <c r="J29" s="74">
        <f t="shared" si="4"/>
        <v>14.21875</v>
      </c>
      <c r="K29" s="74">
        <f t="shared" si="5"/>
        <v>341.25</v>
      </c>
      <c r="L29" s="75">
        <f>jar_information!H14</f>
        <v>368.18572718286885</v>
      </c>
      <c r="M29" s="74" t="e">
        <f t="shared" si="6"/>
        <v>#DIV/0!</v>
      </c>
      <c r="N29" s="74" t="e">
        <f t="shared" si="7"/>
        <v>#DIV/0!</v>
      </c>
      <c r="O29" s="76" t="e">
        <f t="shared" si="8"/>
        <v>#DIV/0!</v>
      </c>
      <c r="P29" s="77" t="e">
        <f t="shared" si="9"/>
        <v>#DIV/0!</v>
      </c>
      <c r="Q29" s="78"/>
      <c r="R29" s="78">
        <f t="shared" si="10"/>
        <v>0</v>
      </c>
      <c r="S29" s="78" t="e">
        <f t="shared" si="11"/>
        <v>#DIV/0!</v>
      </c>
      <c r="T29" s="79" t="e">
        <f t="shared" si="12"/>
        <v>#DIV/0!</v>
      </c>
      <c r="U29" s="7" t="e">
        <f t="shared" si="13"/>
        <v>#DIV/0!</v>
      </c>
      <c r="V29" s="90" t="e">
        <f t="shared" si="14"/>
        <v>#DIV/0!</v>
      </c>
      <c r="W29" s="211">
        <f t="shared" si="17"/>
        <v>3.8242757661929319</v>
      </c>
      <c r="X29" s="211" t="e">
        <f t="shared" si="15"/>
        <v>#DIV/0!</v>
      </c>
      <c r="Y29" s="211">
        <v>1.0429842998707997</v>
      </c>
      <c r="Z29" s="211" t="e">
        <f t="shared" si="16"/>
        <v>#DIV/0!</v>
      </c>
      <c r="AA29" s="212">
        <v>44172.541666666664</v>
      </c>
      <c r="AB29" s="4" t="s">
        <v>303</v>
      </c>
    </row>
    <row r="30" spans="1:28">
      <c r="A30" s="4" t="s">
        <v>304</v>
      </c>
      <c r="B30" s="71">
        <f t="shared" si="1"/>
        <v>44179.65625</v>
      </c>
      <c r="C30" s="44"/>
      <c r="D30" s="80"/>
      <c r="E30" s="81"/>
      <c r="F30" s="72" t="e">
        <f t="shared" si="2"/>
        <v>#DIV/0!</v>
      </c>
      <c r="G30" s="72" t="e">
        <f t="shared" si="3"/>
        <v>#DIV/0!</v>
      </c>
      <c r="H30" s="96">
        <v>0.65625</v>
      </c>
      <c r="I30" s="73">
        <f>jar_information!M15</f>
        <v>44165.4375</v>
      </c>
      <c r="J30" s="74">
        <f t="shared" si="4"/>
        <v>14.21875</v>
      </c>
      <c r="K30" s="74">
        <f t="shared" si="5"/>
        <v>341.25</v>
      </c>
      <c r="L30" s="75">
        <f>jar_information!H15</f>
        <v>368.18572718286885</v>
      </c>
      <c r="M30" s="74" t="e">
        <f t="shared" si="6"/>
        <v>#DIV/0!</v>
      </c>
      <c r="N30" s="74" t="e">
        <f t="shared" si="7"/>
        <v>#DIV/0!</v>
      </c>
      <c r="O30" s="76" t="e">
        <f t="shared" si="8"/>
        <v>#DIV/0!</v>
      </c>
      <c r="P30" s="77" t="e">
        <f t="shared" si="9"/>
        <v>#DIV/0!</v>
      </c>
      <c r="Q30" s="78"/>
      <c r="R30" s="78">
        <f t="shared" si="10"/>
        <v>0</v>
      </c>
      <c r="S30" s="78" t="e">
        <f t="shared" si="11"/>
        <v>#DIV/0!</v>
      </c>
      <c r="T30" s="79" t="e">
        <f t="shared" si="12"/>
        <v>#DIV/0!</v>
      </c>
      <c r="U30" s="7" t="e">
        <f t="shared" si="13"/>
        <v>#DIV/0!</v>
      </c>
      <c r="V30" s="90" t="e">
        <f t="shared" si="14"/>
        <v>#DIV/0!</v>
      </c>
      <c r="W30" s="211">
        <f t="shared" si="17"/>
        <v>13.11505575573193</v>
      </c>
      <c r="X30" s="211" t="e">
        <f t="shared" si="15"/>
        <v>#DIV/0!</v>
      </c>
      <c r="Y30" s="211">
        <v>3.5768333879268903</v>
      </c>
      <c r="Z30" s="211" t="e">
        <f t="shared" si="16"/>
        <v>#DIV/0!</v>
      </c>
      <c r="AA30" s="212">
        <v>44172.541666666664</v>
      </c>
      <c r="AB30" s="4" t="s">
        <v>304</v>
      </c>
    </row>
    <row r="31" spans="1:28">
      <c r="A31" s="4" t="s">
        <v>305</v>
      </c>
      <c r="B31" s="71">
        <f t="shared" si="1"/>
        <v>44179.65625</v>
      </c>
      <c r="C31" s="44">
        <v>1</v>
      </c>
      <c r="D31" s="80">
        <v>1039</v>
      </c>
      <c r="E31" s="81">
        <v>179.87</v>
      </c>
      <c r="F31" s="72">
        <f t="shared" si="2"/>
        <v>1.0734591997008327E-2</v>
      </c>
      <c r="G31" s="72">
        <f t="shared" si="3"/>
        <v>1.007449543267199E-2</v>
      </c>
      <c r="H31" s="96">
        <v>0.65625</v>
      </c>
      <c r="I31" s="73">
        <f>jar_information!M16</f>
        <v>44165.4375</v>
      </c>
      <c r="J31" s="74">
        <f t="shared" si="4"/>
        <v>14.21875</v>
      </c>
      <c r="K31" s="74">
        <f t="shared" si="5"/>
        <v>341.25</v>
      </c>
      <c r="L31" s="75">
        <f>jar_information!H16</f>
        <v>377.39652937427036</v>
      </c>
      <c r="M31" s="74">
        <f t="shared" si="6"/>
        <v>4.0511977639197605</v>
      </c>
      <c r="N31" s="74">
        <f t="shared" si="7"/>
        <v>7.4136919079731616</v>
      </c>
      <c r="O31" s="76">
        <f t="shared" si="8"/>
        <v>2.0219159749017712</v>
      </c>
      <c r="P31" s="77">
        <f t="shared" si="9"/>
        <v>1.040352457724101</v>
      </c>
      <c r="Q31" s="78">
        <v>330.8</v>
      </c>
      <c r="R31" s="78">
        <f t="shared" si="10"/>
        <v>1.0511598347632667</v>
      </c>
      <c r="S31" s="78">
        <f t="shared" si="11"/>
        <v>101.03881881173311</v>
      </c>
      <c r="T31" s="79">
        <f t="shared" si="12"/>
        <v>10734.591997008327</v>
      </c>
      <c r="U31" s="7">
        <f t="shared" si="13"/>
        <v>1.0734591997008327</v>
      </c>
      <c r="V31" s="90">
        <f t="shared" si="14"/>
        <v>5.9250284978806479E-3</v>
      </c>
      <c r="W31" s="137">
        <f t="shared" si="17"/>
        <v>13.11505575573193</v>
      </c>
      <c r="X31" s="137">
        <f t="shared" si="15"/>
        <v>5.7013638477587687</v>
      </c>
      <c r="Y31" s="137">
        <v>3.5768333879268903</v>
      </c>
      <c r="Z31" s="137">
        <f t="shared" si="16"/>
        <v>10.934669017353709</v>
      </c>
      <c r="AA31" s="158">
        <v>44179.694444444445</v>
      </c>
      <c r="AB31" s="4" t="s">
        <v>305</v>
      </c>
    </row>
    <row r="32" spans="1:28">
      <c r="A32" s="4" t="s">
        <v>306</v>
      </c>
      <c r="B32" s="71">
        <f t="shared" si="1"/>
        <v>44179.65625</v>
      </c>
      <c r="C32" s="44"/>
      <c r="D32" s="80"/>
      <c r="E32" s="81"/>
      <c r="F32" s="72" t="e">
        <f t="shared" si="2"/>
        <v>#DIV/0!</v>
      </c>
      <c r="G32" s="72" t="e">
        <f t="shared" si="3"/>
        <v>#DIV/0!</v>
      </c>
      <c r="H32" s="96">
        <v>0.65625</v>
      </c>
      <c r="I32" s="73">
        <f>jar_information!M17</f>
        <v>44165.4375</v>
      </c>
      <c r="J32" s="74">
        <f t="shared" si="4"/>
        <v>14.21875</v>
      </c>
      <c r="K32" s="74">
        <f t="shared" si="5"/>
        <v>341.25</v>
      </c>
      <c r="L32" s="75">
        <f>jar_information!H17</f>
        <v>371.24882105804681</v>
      </c>
      <c r="M32" s="74" t="e">
        <f t="shared" si="6"/>
        <v>#DIV/0!</v>
      </c>
      <c r="N32" s="74" t="e">
        <f t="shared" si="7"/>
        <v>#DIV/0!</v>
      </c>
      <c r="O32" s="76" t="e">
        <f t="shared" si="8"/>
        <v>#DIV/0!</v>
      </c>
      <c r="P32" s="77" t="e">
        <f t="shared" si="9"/>
        <v>#DIV/0!</v>
      </c>
      <c r="Q32" s="78"/>
      <c r="R32" s="78">
        <f t="shared" si="10"/>
        <v>0</v>
      </c>
      <c r="S32" s="78" t="e">
        <f t="shared" si="11"/>
        <v>#DIV/0!</v>
      </c>
      <c r="T32" s="79" t="e">
        <f t="shared" si="12"/>
        <v>#DIV/0!</v>
      </c>
      <c r="U32" s="7" t="e">
        <f t="shared" si="13"/>
        <v>#DIV/0!</v>
      </c>
      <c r="V32" s="90" t="e">
        <f t="shared" si="14"/>
        <v>#DIV/0!</v>
      </c>
      <c r="W32" s="211">
        <f t="shared" si="17"/>
        <v>4.5824768522907515</v>
      </c>
      <c r="X32" s="211" t="e">
        <f t="shared" si="15"/>
        <v>#DIV/0!</v>
      </c>
      <c r="Y32" s="211">
        <v>1.249766414261114</v>
      </c>
      <c r="Z32" s="211" t="e">
        <f t="shared" si="16"/>
        <v>#DIV/0!</v>
      </c>
      <c r="AA32" s="212">
        <v>44169.5625</v>
      </c>
      <c r="AB32" s="4" t="s">
        <v>306</v>
      </c>
    </row>
    <row r="33" spans="1:28">
      <c r="A33" s="4" t="s">
        <v>307</v>
      </c>
      <c r="B33" s="71">
        <f t="shared" si="1"/>
        <v>44179.65625</v>
      </c>
      <c r="C33" s="44"/>
      <c r="D33" s="80"/>
      <c r="E33" s="81"/>
      <c r="F33" s="72" t="e">
        <f t="shared" si="2"/>
        <v>#DIV/0!</v>
      </c>
      <c r="G33" s="72" t="e">
        <f t="shared" si="3"/>
        <v>#DIV/0!</v>
      </c>
      <c r="H33" s="96">
        <v>0.65625</v>
      </c>
      <c r="I33" s="73">
        <f>jar_information!M18</f>
        <v>44165.4375</v>
      </c>
      <c r="J33" s="74">
        <f t="shared" si="4"/>
        <v>14.21875</v>
      </c>
      <c r="K33" s="74">
        <f t="shared" si="5"/>
        <v>341.25</v>
      </c>
      <c r="L33" s="75">
        <f>jar_information!H18</f>
        <v>368.18572718286885</v>
      </c>
      <c r="M33" s="74" t="e">
        <f t="shared" si="6"/>
        <v>#DIV/0!</v>
      </c>
      <c r="N33" s="74" t="e">
        <f t="shared" si="7"/>
        <v>#DIV/0!</v>
      </c>
      <c r="O33" s="76" t="e">
        <f t="shared" si="8"/>
        <v>#DIV/0!</v>
      </c>
      <c r="P33" s="77" t="e">
        <f t="shared" si="9"/>
        <v>#DIV/0!</v>
      </c>
      <c r="Q33" s="78"/>
      <c r="R33" s="78">
        <f t="shared" si="10"/>
        <v>0</v>
      </c>
      <c r="S33" s="78" t="e">
        <f t="shared" si="11"/>
        <v>#DIV/0!</v>
      </c>
      <c r="T33" s="79" t="e">
        <f t="shared" si="12"/>
        <v>#DIV/0!</v>
      </c>
      <c r="U33" s="7" t="e">
        <f t="shared" si="13"/>
        <v>#DIV/0!</v>
      </c>
      <c r="V33" s="90" t="e">
        <f t="shared" si="14"/>
        <v>#DIV/0!</v>
      </c>
      <c r="W33" s="211">
        <f t="shared" si="17"/>
        <v>4.5824768522907515</v>
      </c>
      <c r="X33" s="211" t="e">
        <f t="shared" si="15"/>
        <v>#DIV/0!</v>
      </c>
      <c r="Y33" s="211">
        <v>1.249766414261114</v>
      </c>
      <c r="Z33" s="211" t="e">
        <f t="shared" si="16"/>
        <v>#DIV/0!</v>
      </c>
      <c r="AA33" s="212">
        <v>44169.5625</v>
      </c>
      <c r="AB33" s="4" t="s">
        <v>307</v>
      </c>
    </row>
    <row r="34" spans="1:28">
      <c r="A34" s="4" t="s">
        <v>308</v>
      </c>
      <c r="B34" s="71">
        <f t="shared" si="1"/>
        <v>44179.65625</v>
      </c>
      <c r="C34" s="44">
        <v>1</v>
      </c>
      <c r="D34" s="80">
        <v>912.19</v>
      </c>
      <c r="E34" s="81">
        <v>159.28</v>
      </c>
      <c r="F34" s="72">
        <f t="shared" si="2"/>
        <v>9.4405468242883313E-3</v>
      </c>
      <c r="G34" s="72">
        <f t="shared" si="3"/>
        <v>8.9017234118063705E-3</v>
      </c>
      <c r="H34" s="96">
        <v>0.65625</v>
      </c>
      <c r="I34" s="73">
        <f>jar_information!M19</f>
        <v>44165.4375</v>
      </c>
      <c r="J34" s="74">
        <f t="shared" si="4"/>
        <v>14.21875</v>
      </c>
      <c r="K34" s="74">
        <f t="shared" si="5"/>
        <v>341.25</v>
      </c>
      <c r="L34" s="75">
        <f>jar_information!H19</f>
        <v>374.31908006509644</v>
      </c>
      <c r="M34" s="74">
        <f t="shared" si="6"/>
        <v>3.5337768025790757</v>
      </c>
      <c r="N34" s="74">
        <f t="shared" si="7"/>
        <v>6.4668115487197086</v>
      </c>
      <c r="O34" s="76">
        <f t="shared" si="8"/>
        <v>1.7636758769235568</v>
      </c>
      <c r="P34" s="77">
        <f t="shared" si="9"/>
        <v>0.91108480848762541</v>
      </c>
      <c r="Q34" s="78">
        <v>288.89999999999998</v>
      </c>
      <c r="R34" s="78">
        <f t="shared" si="10"/>
        <v>0.91801715919923732</v>
      </c>
      <c r="S34" s="78">
        <f t="shared" si="11"/>
        <v>100.76088972695301</v>
      </c>
      <c r="T34" s="79">
        <f t="shared" si="12"/>
        <v>9440.5468242883308</v>
      </c>
      <c r="U34" s="7">
        <f t="shared" si="13"/>
        <v>0.94405468242883317</v>
      </c>
      <c r="V34" s="90">
        <f t="shared" si="14"/>
        <v>5.1682809580177484E-3</v>
      </c>
      <c r="W34" s="137">
        <f t="shared" si="17"/>
        <v>12.14735031673621</v>
      </c>
      <c r="X34" s="137">
        <f t="shared" si="15"/>
        <v>5.6805387680165014</v>
      </c>
      <c r="Y34" s="137">
        <v>3.3129137227462393</v>
      </c>
      <c r="Z34" s="137">
        <f t="shared" si="16"/>
        <v>12.48995119143768</v>
      </c>
      <c r="AA34" s="158">
        <v>44179.694444444445</v>
      </c>
      <c r="AB34" s="4" t="s">
        <v>308</v>
      </c>
    </row>
    <row r="35" spans="1:28">
      <c r="A35" s="4" t="s">
        <v>309</v>
      </c>
      <c r="B35" s="71">
        <f t="shared" si="1"/>
        <v>44179.65625</v>
      </c>
      <c r="C35" s="44"/>
      <c r="D35" s="80"/>
      <c r="E35" s="81"/>
      <c r="F35" s="72" t="e">
        <f t="shared" si="2"/>
        <v>#DIV/0!</v>
      </c>
      <c r="G35" s="72" t="e">
        <f t="shared" si="3"/>
        <v>#DIV/0!</v>
      </c>
      <c r="H35" s="96">
        <v>0.65625</v>
      </c>
      <c r="I35" s="73">
        <f>jar_information!M20</f>
        <v>44165.4375</v>
      </c>
      <c r="J35" s="74">
        <f t="shared" si="4"/>
        <v>14.21875</v>
      </c>
      <c r="K35" s="74">
        <f t="shared" si="5"/>
        <v>341.25</v>
      </c>
      <c r="L35" s="75">
        <f>jar_information!H20</f>
        <v>368.18572718286885</v>
      </c>
      <c r="M35" s="74" t="e">
        <f t="shared" si="6"/>
        <v>#DIV/0!</v>
      </c>
      <c r="N35" s="74" t="e">
        <f t="shared" si="7"/>
        <v>#DIV/0!</v>
      </c>
      <c r="O35" s="76" t="e">
        <f t="shared" si="8"/>
        <v>#DIV/0!</v>
      </c>
      <c r="P35" s="77" t="e">
        <f t="shared" si="9"/>
        <v>#DIV/0!</v>
      </c>
      <c r="Q35" s="78"/>
      <c r="R35" s="78">
        <f t="shared" si="10"/>
        <v>0</v>
      </c>
      <c r="S35" s="78" t="e">
        <f t="shared" si="11"/>
        <v>#DIV/0!</v>
      </c>
      <c r="T35" s="79" t="e">
        <f t="shared" si="12"/>
        <v>#DIV/0!</v>
      </c>
      <c r="U35" s="7" t="e">
        <f t="shared" si="13"/>
        <v>#DIV/0!</v>
      </c>
      <c r="V35" s="90" t="e">
        <f t="shared" si="14"/>
        <v>#DIV/0!</v>
      </c>
      <c r="W35" s="211">
        <f t="shared" si="17"/>
        <v>12.14735031673621</v>
      </c>
      <c r="X35" s="211" t="e">
        <f t="shared" si="15"/>
        <v>#DIV/0!</v>
      </c>
      <c r="Y35" s="211">
        <v>3.3129137227462393</v>
      </c>
      <c r="Z35" s="211" t="e">
        <f t="shared" si="16"/>
        <v>#DIV/0!</v>
      </c>
      <c r="AA35" s="212">
        <v>44172.541666666664</v>
      </c>
      <c r="AB35" s="4" t="s">
        <v>309</v>
      </c>
    </row>
    <row r="36" spans="1:28">
      <c r="A36" s="4" t="s">
        <v>310</v>
      </c>
      <c r="B36" s="71">
        <f t="shared" si="1"/>
        <v>44179.65625</v>
      </c>
      <c r="C36" s="44"/>
      <c r="D36" s="80"/>
      <c r="E36" s="81"/>
      <c r="F36" s="72" t="e">
        <f t="shared" si="2"/>
        <v>#DIV/0!</v>
      </c>
      <c r="G36" s="72" t="e">
        <f t="shared" si="3"/>
        <v>#DIV/0!</v>
      </c>
      <c r="H36" s="96">
        <v>0.65625</v>
      </c>
      <c r="I36" s="73">
        <f>jar_information!M21</f>
        <v>44165.4375</v>
      </c>
      <c r="J36" s="74">
        <f t="shared" si="4"/>
        <v>14.21875</v>
      </c>
      <c r="K36" s="74">
        <f t="shared" si="5"/>
        <v>341.25</v>
      </c>
      <c r="L36" s="75">
        <f>jar_information!H21</f>
        <v>380.48119427385262</v>
      </c>
      <c r="M36" s="74" t="e">
        <f t="shared" si="6"/>
        <v>#DIV/0!</v>
      </c>
      <c r="N36" s="74" t="e">
        <f t="shared" si="7"/>
        <v>#DIV/0!</v>
      </c>
      <c r="O36" s="76" t="e">
        <f t="shared" si="8"/>
        <v>#DIV/0!</v>
      </c>
      <c r="P36" s="77" t="e">
        <f t="shared" si="9"/>
        <v>#DIV/0!</v>
      </c>
      <c r="Q36" s="78"/>
      <c r="R36" s="78">
        <f t="shared" si="10"/>
        <v>0</v>
      </c>
      <c r="S36" s="78" t="e">
        <f t="shared" si="11"/>
        <v>#DIV/0!</v>
      </c>
      <c r="T36" s="79" t="e">
        <f t="shared" si="12"/>
        <v>#DIV/0!</v>
      </c>
      <c r="U36" s="7" t="e">
        <f t="shared" si="13"/>
        <v>#DIV/0!</v>
      </c>
      <c r="V36" s="90" t="e">
        <f t="shared" si="14"/>
        <v>#DIV/0!</v>
      </c>
      <c r="W36" s="211">
        <f t="shared" si="17"/>
        <v>4.7370562835765471</v>
      </c>
      <c r="X36" s="211" t="e">
        <f t="shared" si="15"/>
        <v>#DIV/0!</v>
      </c>
      <c r="Y36" s="211">
        <v>1.2919244409754218</v>
      </c>
      <c r="Z36" s="211" t="e">
        <f t="shared" si="16"/>
        <v>#DIV/0!</v>
      </c>
      <c r="AA36" s="212">
        <v>44173.583333333336</v>
      </c>
      <c r="AB36" s="4" t="s">
        <v>310</v>
      </c>
    </row>
    <row r="37" spans="1:28">
      <c r="A37" s="4" t="s">
        <v>311</v>
      </c>
      <c r="B37" s="71">
        <f t="shared" si="1"/>
        <v>44179.65625</v>
      </c>
      <c r="C37" s="44"/>
      <c r="D37" s="80"/>
      <c r="E37" s="81"/>
      <c r="F37" s="72" t="e">
        <f t="shared" si="2"/>
        <v>#DIV/0!</v>
      </c>
      <c r="G37" s="72" t="e">
        <f t="shared" si="3"/>
        <v>#DIV/0!</v>
      </c>
      <c r="H37" s="96">
        <v>0.65625</v>
      </c>
      <c r="I37" s="73">
        <f>jar_information!M22</f>
        <v>44165.4375</v>
      </c>
      <c r="J37" s="74">
        <f t="shared" si="4"/>
        <v>14.21875</v>
      </c>
      <c r="K37" s="74">
        <f t="shared" si="5"/>
        <v>341.25</v>
      </c>
      <c r="L37" s="75">
        <f>jar_information!H22</f>
        <v>368.18572718286885</v>
      </c>
      <c r="M37" s="74" t="e">
        <f t="shared" si="6"/>
        <v>#DIV/0!</v>
      </c>
      <c r="N37" s="74" t="e">
        <f t="shared" si="7"/>
        <v>#DIV/0!</v>
      </c>
      <c r="O37" s="76" t="e">
        <f t="shared" si="8"/>
        <v>#DIV/0!</v>
      </c>
      <c r="P37" s="77" t="e">
        <f t="shared" si="9"/>
        <v>#DIV/0!</v>
      </c>
      <c r="Q37" s="78"/>
      <c r="R37" s="78">
        <f t="shared" si="10"/>
        <v>0</v>
      </c>
      <c r="S37" s="78" t="e">
        <f t="shared" si="11"/>
        <v>#DIV/0!</v>
      </c>
      <c r="T37" s="79" t="e">
        <f t="shared" si="12"/>
        <v>#DIV/0!</v>
      </c>
      <c r="U37" s="7" t="e">
        <f t="shared" si="13"/>
        <v>#DIV/0!</v>
      </c>
      <c r="V37" s="90" t="e">
        <f t="shared" si="14"/>
        <v>#DIV/0!</v>
      </c>
      <c r="W37" s="211">
        <f t="shared" si="17"/>
        <v>4.7370562835765471</v>
      </c>
      <c r="X37" s="211" t="e">
        <f t="shared" si="15"/>
        <v>#DIV/0!</v>
      </c>
      <c r="Y37" s="211">
        <v>1.2919244409754218</v>
      </c>
      <c r="Z37" s="211" t="e">
        <f t="shared" si="16"/>
        <v>#DIV/0!</v>
      </c>
      <c r="AA37" s="212">
        <v>44169.5625</v>
      </c>
      <c r="AB37" s="4" t="s">
        <v>311</v>
      </c>
    </row>
    <row r="38" spans="1:28">
      <c r="A38" s="4" t="s">
        <v>312</v>
      </c>
      <c r="B38" s="71">
        <f t="shared" si="1"/>
        <v>44179.65625</v>
      </c>
      <c r="C38" s="44">
        <v>1</v>
      </c>
      <c r="D38" s="80">
        <v>176.58</v>
      </c>
      <c r="E38" s="81">
        <v>39.021000000000001</v>
      </c>
      <c r="F38" s="72">
        <f t="shared" si="2"/>
        <v>1.9339419074477285E-3</v>
      </c>
      <c r="G38" s="72">
        <f t="shared" si="3"/>
        <v>2.0519715683251483E-3</v>
      </c>
      <c r="H38" s="96">
        <v>0.65625</v>
      </c>
      <c r="I38" s="73">
        <f>jar_information!M23</f>
        <v>44165.4375</v>
      </c>
      <c r="J38" s="74">
        <f t="shared" si="4"/>
        <v>14.21875</v>
      </c>
      <c r="K38" s="74">
        <f t="shared" si="5"/>
        <v>341.25</v>
      </c>
      <c r="L38" s="75">
        <f>jar_information!H23</f>
        <v>389.7787371829466</v>
      </c>
      <c r="M38" s="74">
        <f t="shared" si="6"/>
        <v>0.75380943447015458</v>
      </c>
      <c r="N38" s="74">
        <f t="shared" si="7"/>
        <v>1.3794712650803829</v>
      </c>
      <c r="O38" s="76">
        <f t="shared" si="8"/>
        <v>0.37621943593101348</v>
      </c>
      <c r="P38" s="77">
        <f t="shared" si="9"/>
        <v>0.19054422116905634</v>
      </c>
      <c r="Q38" s="78">
        <v>104.16</v>
      </c>
      <c r="R38" s="78">
        <f t="shared" si="10"/>
        <v>0.3309818875119161</v>
      </c>
      <c r="S38" s="78">
        <f>R38/O38*100</f>
        <v>87.975754546771341</v>
      </c>
      <c r="T38" s="79">
        <f t="shared" si="12"/>
        <v>1933.9419074477285</v>
      </c>
      <c r="U38" s="7">
        <f t="shared" si="13"/>
        <v>0.19339419074477285</v>
      </c>
      <c r="V38" s="90">
        <f t="shared" si="14"/>
        <v>1.1024745375267794E-3</v>
      </c>
      <c r="W38" s="137">
        <f t="shared" si="17"/>
        <v>4.0044384396609969</v>
      </c>
      <c r="X38" s="137">
        <f t="shared" si="15"/>
        <v>2.6249671745806138</v>
      </c>
      <c r="Y38" s="137">
        <v>1.0921195744529992</v>
      </c>
      <c r="Z38" s="137">
        <f t="shared" si="16"/>
        <v>27.056563596772882</v>
      </c>
      <c r="AA38" t="s">
        <v>363</v>
      </c>
      <c r="AB38" s="4" t="s">
        <v>312</v>
      </c>
    </row>
    <row r="39" spans="1:28">
      <c r="A39" t="s">
        <v>313</v>
      </c>
      <c r="B39" s="71">
        <f t="shared" si="1"/>
        <v>44179.65625</v>
      </c>
      <c r="C39" s="44">
        <v>1</v>
      </c>
      <c r="D39" s="80">
        <v>359.9</v>
      </c>
      <c r="E39" s="81">
        <v>75.245000000000005</v>
      </c>
      <c r="F39" s="72">
        <f t="shared" si="2"/>
        <v>3.804648957861968E-3</v>
      </c>
      <c r="G39" s="72">
        <f t="shared" si="3"/>
        <v>4.1152301250923246E-3</v>
      </c>
      <c r="H39" s="96">
        <v>0.65625</v>
      </c>
      <c r="I39" s="73">
        <f>jar_information!M24</f>
        <v>44165.4375</v>
      </c>
      <c r="J39" s="74">
        <f t="shared" si="4"/>
        <v>14.21875</v>
      </c>
      <c r="K39" s="74">
        <f t="shared" si="5"/>
        <v>341.25</v>
      </c>
      <c r="L39" s="75">
        <f>jar_information!H24</f>
        <v>380.48119427385262</v>
      </c>
      <c r="M39" s="74">
        <f t="shared" si="6"/>
        <v>1.4475973792800905</v>
      </c>
      <c r="N39" s="74">
        <f t="shared" si="7"/>
        <v>2.6491032040825657</v>
      </c>
      <c r="O39" s="76">
        <f t="shared" si="8"/>
        <v>0.72248269202251791</v>
      </c>
      <c r="P39" s="77">
        <f t="shared" si="9"/>
        <v>0.37027551583466628</v>
      </c>
      <c r="Q39" s="78">
        <v>203.46</v>
      </c>
      <c r="R39" s="78">
        <f t="shared" si="10"/>
        <v>0.6465204957102002</v>
      </c>
      <c r="S39" s="78">
        <f>R39/O39*100</f>
        <v>89.485949331233229</v>
      </c>
      <c r="T39" s="79">
        <f t="shared" si="12"/>
        <v>3804.648957861968</v>
      </c>
      <c r="U39" s="7">
        <f t="shared" si="13"/>
        <v>0.38046489578619686</v>
      </c>
      <c r="V39" s="90">
        <f t="shared" si="14"/>
        <v>2.1171653978681844E-3</v>
      </c>
      <c r="W39" s="137">
        <f t="shared" si="17"/>
        <v>4.0044384396609969</v>
      </c>
      <c r="X39" s="137">
        <f t="shared" si="15"/>
        <v>1.3553352355784312</v>
      </c>
      <c r="Y39" s="137">
        <v>1.0921195744529992</v>
      </c>
      <c r="Z39" s="137">
        <f t="shared" si="16"/>
        <v>7.2746025338619411</v>
      </c>
      <c r="AA39" t="s">
        <v>363</v>
      </c>
      <c r="AB39" t="s">
        <v>313</v>
      </c>
    </row>
  </sheetData>
  <conditionalFormatting sqref="O18:O39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abSelected="1" workbookViewId="0">
      <pane xSplit="6" ySplit="1" topLeftCell="G138" activePane="bottomRight" state="frozen"/>
      <selection pane="topRight" activeCell="F1" sqref="F1"/>
      <selection pane="bottomLeft" activeCell="A2" sqref="A2"/>
      <selection pane="bottomRight" activeCell="G161" sqref="G161"/>
    </sheetView>
  </sheetViews>
  <sheetFormatPr baseColWidth="10" defaultRowHeight="14" x14ac:dyDescent="0"/>
  <cols>
    <col min="1" max="1" width="27.83203125" bestFit="1" customWidth="1"/>
    <col min="3" max="3" width="17.1640625" bestFit="1" customWidth="1"/>
    <col min="4" max="4" width="5.33203125" style="125" bestFit="1" customWidth="1"/>
    <col min="5" max="5" width="5" customWidth="1"/>
    <col min="6" max="6" width="15.5" bestFit="1" customWidth="1"/>
  </cols>
  <sheetData>
    <row r="1" spans="1:17" ht="15" thickBot="1">
      <c r="A1" s="216" t="s">
        <v>364</v>
      </c>
      <c r="B1" s="217" t="s">
        <v>365</v>
      </c>
      <c r="C1" s="217" t="s">
        <v>366</v>
      </c>
      <c r="D1" s="219" t="s">
        <v>387</v>
      </c>
      <c r="E1" s="217" t="s">
        <v>367</v>
      </c>
      <c r="F1" s="217" t="s">
        <v>368</v>
      </c>
      <c r="G1" s="217" t="s">
        <v>369</v>
      </c>
      <c r="H1" s="218" t="s">
        <v>370</v>
      </c>
      <c r="I1" s="217" t="s">
        <v>371</v>
      </c>
      <c r="J1" s="217" t="s">
        <v>372</v>
      </c>
      <c r="K1" s="219" t="s">
        <v>373</v>
      </c>
      <c r="L1" s="218" t="s">
        <v>374</v>
      </c>
      <c r="M1" s="217" t="s">
        <v>375</v>
      </c>
      <c r="N1" s="217" t="s">
        <v>376</v>
      </c>
      <c r="O1" s="219" t="s">
        <v>377</v>
      </c>
      <c r="P1" s="219" t="s">
        <v>378</v>
      </c>
      <c r="Q1" s="220" t="s">
        <v>379</v>
      </c>
    </row>
    <row r="2" spans="1:17">
      <c r="A2" s="226" t="str">
        <f>'2001_Inc_01.12.20'!A18</f>
        <v>27_16_ANpp_comp_0-6_2001_a</v>
      </c>
      <c r="B2" s="227" t="str">
        <f t="shared" ref="B2:B65" si="0">IF(AND(RIGHT(LEFT(A2,2),1)="_",RIGHT(LEFT(A2,4),1)="_"),RIGHT(LEFT(A2,8),4),IF(AND(RIGHT(LEFT(A2,3),1)="_",RIGHT(LEFT(A2,5),1)="_"),RIGHT(LEFT(A2,9),4),RIGHT(LEFT(A2,10),4)))</f>
        <v>ANpp</v>
      </c>
      <c r="C2" s="227" t="str">
        <f>B2&amp;"_"&amp;IF(LEFT(RIGHT(A2,11),1)="_",RIGHT(A2,10),IF(LEFT(RIGHT(A2,12),1)="_",RIGHT(A2,11),RIGHT(A2,12)))</f>
        <v>ANpp_0-6_2001_a</v>
      </c>
      <c r="D2" s="229">
        <f>WHC!T65</f>
        <v>8.08</v>
      </c>
      <c r="E2" s="227">
        <v>1</v>
      </c>
      <c r="F2" s="227" t="s">
        <v>380</v>
      </c>
      <c r="G2" s="227" t="str">
        <f t="shared" ref="G2:G33" si="1">IF(AND(E2&lt;&gt;E1,L2=L1),"fix meas date","")</f>
        <v/>
      </c>
      <c r="H2" s="228">
        <f>VLOOKUP($A2,'2001_Inc_01.12.20'!$A$18:$Z$41,9,FALSE)</f>
        <v>44165.4375</v>
      </c>
      <c r="I2" s="227">
        <f>YEAR(H2)</f>
        <v>2020</v>
      </c>
      <c r="J2" s="227">
        <f>MONTH(H2)</f>
        <v>11</v>
      </c>
      <c r="K2" s="229">
        <f>DAY(H2)+H2-ROUNDDOWN(H2,0)</f>
        <v>30.4375</v>
      </c>
      <c r="L2" s="228">
        <f>VLOOKUP($A2,'2001_Inc_01.12.20'!$A$18:$Z$41,2,FALSE)</f>
        <v>44166.479166666664</v>
      </c>
      <c r="M2" s="227">
        <f>YEAR(L2)</f>
        <v>2020</v>
      </c>
      <c r="N2" s="227">
        <f>MONTH(L2)</f>
        <v>12</v>
      </c>
      <c r="O2" s="229">
        <f>DAY(L2)+L2-ROUNDDOWN(L2,0)</f>
        <v>1.4791666666642413</v>
      </c>
      <c r="P2" s="229">
        <f>L2-H2</f>
        <v>1.0416666666642413</v>
      </c>
      <c r="Q2" s="230">
        <f>IFERROR(VLOOKUP($A2,'2001_Inc_01.12.20'!$A$18:$Z$41,14,FALSE),"")</f>
        <v>4.0137731535583843</v>
      </c>
    </row>
    <row r="3" spans="1:17">
      <c r="A3" s="221" t="str">
        <f>'2001_Inc_01.12.20'!A19</f>
        <v>28_16_ANpp_comp_0-6_2001_b</v>
      </c>
      <c r="B3" s="222" t="str">
        <f t="shared" si="0"/>
        <v>ANpp</v>
      </c>
      <c r="C3" s="222" t="str">
        <f t="shared" ref="C3:C23" si="2">B3&amp;"_"&amp;IF(LEFT(RIGHT(A3,11),1)="_",RIGHT(A3,10),IF(LEFT(RIGHT(A3,12),1)="_",RIGHT(A3,11),RIGHT(A3,12)))</f>
        <v>ANpp_0-6_2001_b</v>
      </c>
      <c r="D3" s="224">
        <f>WHC!T66</f>
        <v>8.0500000000000007</v>
      </c>
      <c r="E3" s="222">
        <f>E2</f>
        <v>1</v>
      </c>
      <c r="F3" s="222" t="s">
        <v>380</v>
      </c>
      <c r="G3" s="222" t="str">
        <f t="shared" si="1"/>
        <v/>
      </c>
      <c r="H3" s="223">
        <f>VLOOKUP($A3,'2001_Inc_01.12.20'!$A$18:$Z$41,9,FALSE)</f>
        <v>44165.4375</v>
      </c>
      <c r="I3" s="222">
        <f t="shared" ref="I3:I66" si="3">YEAR(H3)</f>
        <v>2020</v>
      </c>
      <c r="J3" s="222">
        <f t="shared" ref="J3:J23" si="4">MONTH(H3)</f>
        <v>11</v>
      </c>
      <c r="K3" s="224">
        <f t="shared" ref="K3:K23" si="5">DAY(H3)+H3-ROUNDDOWN(H3,0)</f>
        <v>30.4375</v>
      </c>
      <c r="L3" s="223">
        <f>VLOOKUP($A3,'2001_Inc_01.12.20'!$A$18:$Z$41,2,FALSE)</f>
        <v>44166.479166666664</v>
      </c>
      <c r="M3" s="222">
        <f t="shared" ref="M3:M66" si="6">YEAR(L3)</f>
        <v>2020</v>
      </c>
      <c r="N3" s="222">
        <f t="shared" ref="N3:N23" si="7">MONTH(L3)</f>
        <v>12</v>
      </c>
      <c r="O3" s="224">
        <f t="shared" ref="O3:O23" si="8">DAY(L3)+L3-ROUNDDOWN(L3,0)</f>
        <v>1.4791666666642413</v>
      </c>
      <c r="P3" s="224">
        <f t="shared" ref="P3:P23" si="9">L3-H3</f>
        <v>1.0416666666642413</v>
      </c>
      <c r="Q3" s="225">
        <f>IFERROR(VLOOKUP($A3,'2001_Inc_01.12.20'!$A$18:$Z$41,14,FALSE),"")</f>
        <v>3.5060135933915011</v>
      </c>
    </row>
    <row r="4" spans="1:17">
      <c r="A4" s="221" t="str">
        <f>'2001_Inc_01.12.20'!A20</f>
        <v>29_17_ANpp_comp_6-13_2001_a</v>
      </c>
      <c r="B4" s="222" t="str">
        <f t="shared" si="0"/>
        <v>ANpp</v>
      </c>
      <c r="C4" s="222" t="str">
        <f t="shared" si="2"/>
        <v>ANpp_6-13_2001_a</v>
      </c>
      <c r="D4" s="224">
        <f>WHC!T67</f>
        <v>7.97</v>
      </c>
      <c r="E4" s="222">
        <f t="shared" ref="E4:E23" si="10">E3</f>
        <v>1</v>
      </c>
      <c r="F4" s="222" t="s">
        <v>380</v>
      </c>
      <c r="G4" s="222" t="str">
        <f t="shared" si="1"/>
        <v/>
      </c>
      <c r="H4" s="223">
        <f>VLOOKUP($A4,'2001_Inc_01.12.20'!$A$18:$Z$41,9,FALSE)</f>
        <v>44165.4375</v>
      </c>
      <c r="I4" s="222">
        <f t="shared" si="3"/>
        <v>2020</v>
      </c>
      <c r="J4" s="222">
        <f t="shared" si="4"/>
        <v>11</v>
      </c>
      <c r="K4" s="224">
        <f t="shared" si="5"/>
        <v>30.4375</v>
      </c>
      <c r="L4" s="223">
        <f>VLOOKUP($A4,'2001_Inc_01.12.20'!$A$18:$Z$41,2,FALSE)</f>
        <v>44166.479166666664</v>
      </c>
      <c r="M4" s="222">
        <f t="shared" si="6"/>
        <v>2020</v>
      </c>
      <c r="N4" s="222">
        <f t="shared" si="7"/>
        <v>12</v>
      </c>
      <c r="O4" s="224">
        <f t="shared" si="8"/>
        <v>1.4791666666642413</v>
      </c>
      <c r="P4" s="224">
        <f t="shared" si="9"/>
        <v>1.0416666666642413</v>
      </c>
      <c r="Q4" s="225">
        <f>IFERROR(VLOOKUP($A4,'2001_Inc_01.12.20'!$A$18:$Z$41,14,FALSE),"")</f>
        <v>2.1880799417449026</v>
      </c>
    </row>
    <row r="5" spans="1:17">
      <c r="A5" s="221" t="str">
        <f>'2001_Inc_01.12.20'!A21</f>
        <v>30_17_ANpp_comp_6-13_2001_b</v>
      </c>
      <c r="B5" s="222" t="str">
        <f t="shared" si="0"/>
        <v>ANpp</v>
      </c>
      <c r="C5" s="222" t="str">
        <f t="shared" si="2"/>
        <v>ANpp_6-13_2001_b</v>
      </c>
      <c r="D5" s="224">
        <f>WHC!T68</f>
        <v>8.0280000000000005</v>
      </c>
      <c r="E5" s="222">
        <f t="shared" si="10"/>
        <v>1</v>
      </c>
      <c r="F5" s="222" t="s">
        <v>380</v>
      </c>
      <c r="G5" s="222" t="str">
        <f t="shared" si="1"/>
        <v/>
      </c>
      <c r="H5" s="223">
        <f>VLOOKUP($A5,'2001_Inc_01.12.20'!$A$18:$Z$41,9,FALSE)</f>
        <v>44165.4375</v>
      </c>
      <c r="I5" s="222">
        <f t="shared" si="3"/>
        <v>2020</v>
      </c>
      <c r="J5" s="222">
        <f t="shared" si="4"/>
        <v>11</v>
      </c>
      <c r="K5" s="224">
        <f t="shared" si="5"/>
        <v>30.4375</v>
      </c>
      <c r="L5" s="223">
        <f>VLOOKUP($A5,'2001_Inc_01.12.20'!$A$18:$Z$41,2,FALSE)</f>
        <v>44166.479166666664</v>
      </c>
      <c r="M5" s="222">
        <f t="shared" si="6"/>
        <v>2020</v>
      </c>
      <c r="N5" s="222">
        <f t="shared" si="7"/>
        <v>12</v>
      </c>
      <c r="O5" s="224">
        <f t="shared" si="8"/>
        <v>1.4791666666642413</v>
      </c>
      <c r="P5" s="224">
        <f t="shared" si="9"/>
        <v>1.0416666666642413</v>
      </c>
      <c r="Q5" s="225">
        <f>IFERROR(VLOOKUP($A5,'2001_Inc_01.12.20'!$A$18:$Z$41,14,FALSE),"")</f>
        <v>2.3286418473542403</v>
      </c>
    </row>
    <row r="6" spans="1:17">
      <c r="A6" s="221" t="str">
        <f>'2001_Inc_01.12.20'!A22</f>
        <v>31_18_ANpp_comp_13-33_2001_a</v>
      </c>
      <c r="B6" s="222" t="str">
        <f t="shared" si="0"/>
        <v>ANpp</v>
      </c>
      <c r="C6" s="222" t="str">
        <f t="shared" si="2"/>
        <v>ANpp_13-33_2001_a</v>
      </c>
      <c r="D6" s="224">
        <f>WHC!T69</f>
        <v>8.0180000000000007</v>
      </c>
      <c r="E6" s="222">
        <f t="shared" si="10"/>
        <v>1</v>
      </c>
      <c r="F6" s="222" t="s">
        <v>380</v>
      </c>
      <c r="G6" s="222" t="str">
        <f t="shared" si="1"/>
        <v/>
      </c>
      <c r="H6" s="223">
        <f>VLOOKUP($A6,'2001_Inc_01.12.20'!$A$18:$Z$41,9,FALSE)</f>
        <v>44165.4375</v>
      </c>
      <c r="I6" s="222">
        <f t="shared" si="3"/>
        <v>2020</v>
      </c>
      <c r="J6" s="222">
        <f t="shared" si="4"/>
        <v>11</v>
      </c>
      <c r="K6" s="224">
        <f t="shared" si="5"/>
        <v>30.4375</v>
      </c>
      <c r="L6" s="223">
        <f>VLOOKUP($A6,'2001_Inc_01.12.20'!$A$18:$Z$41,2,FALSE)</f>
        <v>44166.479166666664</v>
      </c>
      <c r="M6" s="222">
        <f t="shared" si="6"/>
        <v>2020</v>
      </c>
      <c r="N6" s="222">
        <f t="shared" si="7"/>
        <v>12</v>
      </c>
      <c r="O6" s="224">
        <f t="shared" si="8"/>
        <v>1.4791666666642413</v>
      </c>
      <c r="P6" s="224">
        <f t="shared" si="9"/>
        <v>1.0416666666642413</v>
      </c>
      <c r="Q6" s="225">
        <f>IFERROR(VLOOKUP($A6,'2001_Inc_01.12.20'!$A$18:$Z$41,14,FALSE),"")</f>
        <v>0.90783110740535911</v>
      </c>
    </row>
    <row r="7" spans="1:17">
      <c r="A7" s="221" t="str">
        <f>'2001_Inc_01.12.20'!A23</f>
        <v>32_18_ANpp_comp_13-33_2001_b</v>
      </c>
      <c r="B7" s="222" t="str">
        <f t="shared" si="0"/>
        <v>ANpp</v>
      </c>
      <c r="C7" s="222" t="str">
        <f t="shared" si="2"/>
        <v>ANpp_13-33_2001_b</v>
      </c>
      <c r="D7" s="224">
        <f>WHC!T70</f>
        <v>8.0079999999999991</v>
      </c>
      <c r="E7" s="222">
        <f t="shared" si="10"/>
        <v>1</v>
      </c>
      <c r="F7" s="222" t="s">
        <v>380</v>
      </c>
      <c r="G7" s="222" t="str">
        <f t="shared" si="1"/>
        <v/>
      </c>
      <c r="H7" s="223">
        <f>VLOOKUP($A7,'2001_Inc_01.12.20'!$A$18:$Z$41,9,FALSE)</f>
        <v>44165.4375</v>
      </c>
      <c r="I7" s="222">
        <f t="shared" si="3"/>
        <v>2020</v>
      </c>
      <c r="J7" s="222">
        <f t="shared" si="4"/>
        <v>11</v>
      </c>
      <c r="K7" s="224">
        <f t="shared" si="5"/>
        <v>30.4375</v>
      </c>
      <c r="L7" s="223">
        <f>VLOOKUP($A7,'2001_Inc_01.12.20'!$A$18:$Z$41,2,FALSE)</f>
        <v>44166.479166666664</v>
      </c>
      <c r="M7" s="222">
        <f t="shared" si="6"/>
        <v>2020</v>
      </c>
      <c r="N7" s="222">
        <f t="shared" si="7"/>
        <v>12</v>
      </c>
      <c r="O7" s="224">
        <f t="shared" si="8"/>
        <v>1.4791666666642413</v>
      </c>
      <c r="P7" s="224">
        <f t="shared" si="9"/>
        <v>1.0416666666642413</v>
      </c>
      <c r="Q7" s="225">
        <f>IFERROR(VLOOKUP($A7,'2001_Inc_01.12.20'!$A$18:$Z$41,14,FALSE),"")</f>
        <v>0.76722363749558009</v>
      </c>
    </row>
    <row r="8" spans="1:17">
      <c r="A8" s="221" t="str">
        <f>'2001_Inc_01.12.20'!A24</f>
        <v>33_19_BSrf_comp_0-8_2001_a</v>
      </c>
      <c r="B8" s="222" t="str">
        <f t="shared" si="0"/>
        <v>BSrf</v>
      </c>
      <c r="C8" s="222" t="str">
        <f t="shared" si="2"/>
        <v>BSrf_0-8_2001_a</v>
      </c>
      <c r="D8" s="224">
        <f>WHC!T71</f>
        <v>8.0860000000000003</v>
      </c>
      <c r="E8" s="222">
        <f t="shared" si="10"/>
        <v>1</v>
      </c>
      <c r="F8" s="222" t="s">
        <v>380</v>
      </c>
      <c r="G8" s="222" t="str">
        <f t="shared" si="1"/>
        <v/>
      </c>
      <c r="H8" s="223">
        <f>VLOOKUP($A8,'2001_Inc_01.12.20'!$A$18:$Z$41,9,FALSE)</f>
        <v>44165.4375</v>
      </c>
      <c r="I8" s="222">
        <f t="shared" si="3"/>
        <v>2020</v>
      </c>
      <c r="J8" s="222">
        <f t="shared" si="4"/>
        <v>11</v>
      </c>
      <c r="K8" s="224">
        <f t="shared" si="5"/>
        <v>30.4375</v>
      </c>
      <c r="L8" s="223">
        <f>VLOOKUP($A8,'2001_Inc_01.12.20'!$A$18:$Z$41,2,FALSE)</f>
        <v>44166.479166666664</v>
      </c>
      <c r="M8" s="222">
        <f t="shared" si="6"/>
        <v>2020</v>
      </c>
      <c r="N8" s="222">
        <f t="shared" si="7"/>
        <v>12</v>
      </c>
      <c r="O8" s="224">
        <f t="shared" si="8"/>
        <v>1.4791666666642413</v>
      </c>
      <c r="P8" s="224">
        <f t="shared" si="9"/>
        <v>1.0416666666642413</v>
      </c>
      <c r="Q8" s="225">
        <f>IFERROR(VLOOKUP($A8,'2001_Inc_01.12.20'!$A$18:$Z$41,14,FALSE),"")</f>
        <v>4.5482343704739687</v>
      </c>
    </row>
    <row r="9" spans="1:17">
      <c r="A9" s="221" t="str">
        <f>'2001_Inc_01.12.20'!A25</f>
        <v>34_19_BSrf_comp_0-8_2001_b</v>
      </c>
      <c r="B9" s="222" t="str">
        <f t="shared" si="0"/>
        <v>BSrf</v>
      </c>
      <c r="C9" s="222" t="str">
        <f t="shared" si="2"/>
        <v>BSrf_0-8_2001_b</v>
      </c>
      <c r="D9" s="224">
        <f>WHC!T72</f>
        <v>8.0169999999999995</v>
      </c>
      <c r="E9" s="222">
        <f t="shared" si="10"/>
        <v>1</v>
      </c>
      <c r="F9" s="222" t="s">
        <v>380</v>
      </c>
      <c r="G9" s="222" t="str">
        <f t="shared" si="1"/>
        <v/>
      </c>
      <c r="H9" s="223">
        <f>VLOOKUP($A9,'2001_Inc_01.12.20'!$A$18:$Z$41,9,FALSE)</f>
        <v>44165.4375</v>
      </c>
      <c r="I9" s="222">
        <f t="shared" si="3"/>
        <v>2020</v>
      </c>
      <c r="J9" s="222">
        <f t="shared" si="4"/>
        <v>11</v>
      </c>
      <c r="K9" s="224">
        <f t="shared" si="5"/>
        <v>30.4375</v>
      </c>
      <c r="L9" s="223">
        <f>VLOOKUP($A9,'2001_Inc_01.12.20'!$A$18:$Z$41,2,FALSE)</f>
        <v>44166.479166666664</v>
      </c>
      <c r="M9" s="222">
        <f t="shared" si="6"/>
        <v>2020</v>
      </c>
      <c r="N9" s="222">
        <f t="shared" si="7"/>
        <v>12</v>
      </c>
      <c r="O9" s="224">
        <f t="shared" si="8"/>
        <v>1.4791666666642413</v>
      </c>
      <c r="P9" s="224">
        <f t="shared" si="9"/>
        <v>1.0416666666642413</v>
      </c>
      <c r="Q9" s="225">
        <f>IFERROR(VLOOKUP($A9,'2001_Inc_01.12.20'!$A$18:$Z$41,14,FALSE),"")</f>
        <v>3.823597536623212</v>
      </c>
    </row>
    <row r="10" spans="1:17">
      <c r="A10" s="221" t="str">
        <f>'2001_Inc_01.12.20'!A26</f>
        <v>35_20_BSrf_comp_8-15_2001_a</v>
      </c>
      <c r="B10" s="222" t="str">
        <f t="shared" si="0"/>
        <v>BSrf</v>
      </c>
      <c r="C10" s="222" t="str">
        <f t="shared" si="2"/>
        <v>BSrf_8-15_2001_a</v>
      </c>
      <c r="D10" s="224">
        <f>WHC!T73</f>
        <v>8.0619999999999994</v>
      </c>
      <c r="E10" s="222">
        <f t="shared" si="10"/>
        <v>1</v>
      </c>
      <c r="F10" s="222" t="s">
        <v>380</v>
      </c>
      <c r="G10" s="222" t="str">
        <f t="shared" si="1"/>
        <v/>
      </c>
      <c r="H10" s="223">
        <f>VLOOKUP($A10,'2001_Inc_01.12.20'!$A$18:$Z$41,9,FALSE)</f>
        <v>44165.4375</v>
      </c>
      <c r="I10" s="222">
        <f t="shared" si="3"/>
        <v>2020</v>
      </c>
      <c r="J10" s="222">
        <f t="shared" si="4"/>
        <v>11</v>
      </c>
      <c r="K10" s="224">
        <f t="shared" si="5"/>
        <v>30.4375</v>
      </c>
      <c r="L10" s="223">
        <f>VLOOKUP($A10,'2001_Inc_01.12.20'!$A$18:$Z$41,2,FALSE)</f>
        <v>44166.479166666664</v>
      </c>
      <c r="M10" s="222">
        <f t="shared" si="6"/>
        <v>2020</v>
      </c>
      <c r="N10" s="222">
        <f t="shared" si="7"/>
        <v>12</v>
      </c>
      <c r="O10" s="224">
        <f t="shared" si="8"/>
        <v>1.4791666666642413</v>
      </c>
      <c r="P10" s="224">
        <f t="shared" si="9"/>
        <v>1.0416666666642413</v>
      </c>
      <c r="Q10" s="225">
        <f>IFERROR(VLOOKUP($A10,'2001_Inc_01.12.20'!$A$18:$Z$41,14,FALSE),"")</f>
        <v>1.4004021059994438</v>
      </c>
    </row>
    <row r="11" spans="1:17">
      <c r="A11" s="221" t="str">
        <f>'2001_Inc_01.12.20'!A27</f>
        <v>36_20_BSrf_comp_8-15_2001_b</v>
      </c>
      <c r="B11" s="222" t="str">
        <f t="shared" si="0"/>
        <v>BSrf</v>
      </c>
      <c r="C11" s="222" t="str">
        <f t="shared" si="2"/>
        <v>BSrf_8-15_2001_b</v>
      </c>
      <c r="D11" s="224">
        <f>WHC!T74</f>
        <v>8.0229999999999997</v>
      </c>
      <c r="E11" s="222">
        <f t="shared" si="10"/>
        <v>1</v>
      </c>
      <c r="F11" s="222" t="s">
        <v>380</v>
      </c>
      <c r="G11" s="222" t="str">
        <f t="shared" si="1"/>
        <v/>
      </c>
      <c r="H11" s="223">
        <f>VLOOKUP($A11,'2001_Inc_01.12.20'!$A$18:$Z$41,9,FALSE)</f>
        <v>44165.4375</v>
      </c>
      <c r="I11" s="222">
        <f t="shared" si="3"/>
        <v>2020</v>
      </c>
      <c r="J11" s="222">
        <f t="shared" si="4"/>
        <v>11</v>
      </c>
      <c r="K11" s="224">
        <f t="shared" si="5"/>
        <v>30.4375</v>
      </c>
      <c r="L11" s="223">
        <f>VLOOKUP($A11,'2001_Inc_01.12.20'!$A$18:$Z$41,2,FALSE)</f>
        <v>44166.479166666664</v>
      </c>
      <c r="M11" s="222">
        <f t="shared" si="6"/>
        <v>2020</v>
      </c>
      <c r="N11" s="222">
        <f t="shared" si="7"/>
        <v>12</v>
      </c>
      <c r="O11" s="224">
        <f t="shared" si="8"/>
        <v>1.4791666666642413</v>
      </c>
      <c r="P11" s="224">
        <f t="shared" si="9"/>
        <v>1.0416666666642413</v>
      </c>
      <c r="Q11" s="225">
        <f>IFERROR(VLOOKUP($A11,'2001_Inc_01.12.20'!$A$18:$Z$41,14,FALSE),"")</f>
        <v>1.0756755506957061</v>
      </c>
    </row>
    <row r="12" spans="1:17">
      <c r="A12" s="221" t="str">
        <f>'2001_Inc_01.12.20'!A28</f>
        <v>37_21_BSrf_comp_15-30_2001_a</v>
      </c>
      <c r="B12" s="222" t="str">
        <f t="shared" si="0"/>
        <v>BSrf</v>
      </c>
      <c r="C12" s="222" t="str">
        <f t="shared" si="2"/>
        <v>BSrf_15-30_2001_a</v>
      </c>
      <c r="D12" s="224">
        <f>WHC!T75</f>
        <v>8.0549999999999997</v>
      </c>
      <c r="E12" s="222">
        <f t="shared" si="10"/>
        <v>1</v>
      </c>
      <c r="F12" s="222" t="s">
        <v>380</v>
      </c>
      <c r="G12" s="222" t="str">
        <f t="shared" si="1"/>
        <v/>
      </c>
      <c r="H12" s="223">
        <f>VLOOKUP($A12,'2001_Inc_01.12.20'!$A$18:$Z$41,9,FALSE)</f>
        <v>44165.4375</v>
      </c>
      <c r="I12" s="222">
        <f t="shared" si="3"/>
        <v>2020</v>
      </c>
      <c r="J12" s="222">
        <f t="shared" si="4"/>
        <v>11</v>
      </c>
      <c r="K12" s="224">
        <f t="shared" si="5"/>
        <v>30.4375</v>
      </c>
      <c r="L12" s="223">
        <f>VLOOKUP($A12,'2001_Inc_01.12.20'!$A$18:$Z$41,2,FALSE)</f>
        <v>44166.479166666664</v>
      </c>
      <c r="M12" s="222">
        <f t="shared" si="6"/>
        <v>2020</v>
      </c>
      <c r="N12" s="222">
        <f t="shared" si="7"/>
        <v>12</v>
      </c>
      <c r="O12" s="224">
        <f t="shared" si="8"/>
        <v>1.4791666666642413</v>
      </c>
      <c r="P12" s="224">
        <f t="shared" si="9"/>
        <v>1.0416666666642413</v>
      </c>
      <c r="Q12" s="225">
        <f>IFERROR(VLOOKUP($A12,'2001_Inc_01.12.20'!$A$18:$Z$41,14,FALSE),"")</f>
        <v>1.1704746563752131</v>
      </c>
    </row>
    <row r="13" spans="1:17">
      <c r="A13" s="221" t="str">
        <f>'2001_Inc_01.12.20'!A29</f>
        <v>38_21_BSrf_comp_15-30_2001_b</v>
      </c>
      <c r="B13" s="222" t="str">
        <f t="shared" si="0"/>
        <v>BSrf</v>
      </c>
      <c r="C13" s="222" t="str">
        <f t="shared" si="2"/>
        <v>BSrf_15-30_2001_b</v>
      </c>
      <c r="D13" s="224">
        <f>WHC!T76</f>
        <v>8.0020000000000007</v>
      </c>
      <c r="E13" s="222">
        <f t="shared" si="10"/>
        <v>1</v>
      </c>
      <c r="F13" s="222" t="s">
        <v>380</v>
      </c>
      <c r="G13" s="222" t="str">
        <f t="shared" si="1"/>
        <v/>
      </c>
      <c r="H13" s="223">
        <f>VLOOKUP($A13,'2001_Inc_01.12.20'!$A$18:$Z$41,9,FALSE)</f>
        <v>44165.4375</v>
      </c>
      <c r="I13" s="222">
        <f t="shared" si="3"/>
        <v>2020</v>
      </c>
      <c r="J13" s="222">
        <f t="shared" si="4"/>
        <v>11</v>
      </c>
      <c r="K13" s="224">
        <f t="shared" si="5"/>
        <v>30.4375</v>
      </c>
      <c r="L13" s="223">
        <f>VLOOKUP($A13,'2001_Inc_01.12.20'!$A$18:$Z$41,2,FALSE)</f>
        <v>44166.479166666664</v>
      </c>
      <c r="M13" s="222">
        <f t="shared" si="6"/>
        <v>2020</v>
      </c>
      <c r="N13" s="222">
        <f t="shared" si="7"/>
        <v>12</v>
      </c>
      <c r="O13" s="224">
        <f t="shared" si="8"/>
        <v>1.4791666666642413</v>
      </c>
      <c r="P13" s="224">
        <f t="shared" si="9"/>
        <v>1.0416666666642413</v>
      </c>
      <c r="Q13" s="225">
        <f>IFERROR(VLOOKUP($A13,'2001_Inc_01.12.20'!$A$18:$Z$41,14,FALSE),"")</f>
        <v>1.3988978636383846</v>
      </c>
    </row>
    <row r="14" spans="1:17">
      <c r="A14" s="221" t="str">
        <f>'2001_Inc_01.12.20'!A30</f>
        <v>39_22_BSwf_comp_0-10_2001_a</v>
      </c>
      <c r="B14" s="222" t="str">
        <f t="shared" si="0"/>
        <v>BSwf</v>
      </c>
      <c r="C14" s="222" t="str">
        <f t="shared" si="2"/>
        <v>BSwf_0-10_2001_a</v>
      </c>
      <c r="D14" s="224">
        <f>WHC!T77</f>
        <v>8.1020000000000003</v>
      </c>
      <c r="E14" s="222">
        <f t="shared" si="10"/>
        <v>1</v>
      </c>
      <c r="F14" s="222" t="s">
        <v>380</v>
      </c>
      <c r="G14" s="222" t="str">
        <f t="shared" si="1"/>
        <v/>
      </c>
      <c r="H14" s="223">
        <f>VLOOKUP($A14,'2001_Inc_01.12.20'!$A$18:$Z$41,9,FALSE)</f>
        <v>44165.4375</v>
      </c>
      <c r="I14" s="222">
        <f t="shared" si="3"/>
        <v>2020</v>
      </c>
      <c r="J14" s="222">
        <f t="shared" si="4"/>
        <v>11</v>
      </c>
      <c r="K14" s="224">
        <f t="shared" si="5"/>
        <v>30.4375</v>
      </c>
      <c r="L14" s="223">
        <f>VLOOKUP($A14,'2001_Inc_01.12.20'!$A$18:$Z$41,2,FALSE)</f>
        <v>44166.479166666664</v>
      </c>
      <c r="M14" s="222">
        <f t="shared" si="6"/>
        <v>2020</v>
      </c>
      <c r="N14" s="222">
        <f t="shared" si="7"/>
        <v>12</v>
      </c>
      <c r="O14" s="224">
        <f t="shared" si="8"/>
        <v>1.4791666666642413</v>
      </c>
      <c r="P14" s="224">
        <f t="shared" si="9"/>
        <v>1.0416666666642413</v>
      </c>
      <c r="Q14" s="225">
        <f>IFERROR(VLOOKUP($A14,'2001_Inc_01.12.20'!$A$18:$Z$41,14,FALSE),"")</f>
        <v>3.814164098277121</v>
      </c>
    </row>
    <row r="15" spans="1:17">
      <c r="A15" s="221" t="str">
        <f>'2001_Inc_01.12.20'!A31</f>
        <v>40_22_BSwf_comp_0-10_2001_b</v>
      </c>
      <c r="B15" s="222" t="str">
        <f t="shared" si="0"/>
        <v>BSwf</v>
      </c>
      <c r="C15" s="222" t="str">
        <f t="shared" si="2"/>
        <v>BSwf_0-10_2001_b</v>
      </c>
      <c r="D15" s="224">
        <f>WHC!T78</f>
        <v>7.9859999999999998</v>
      </c>
      <c r="E15" s="222">
        <f t="shared" si="10"/>
        <v>1</v>
      </c>
      <c r="F15" s="222" t="s">
        <v>380</v>
      </c>
      <c r="G15" s="222" t="str">
        <f t="shared" si="1"/>
        <v/>
      </c>
      <c r="H15" s="223">
        <f>VLOOKUP($A15,'2001_Inc_01.12.20'!$A$18:$Z$41,9,FALSE)</f>
        <v>44165.4375</v>
      </c>
      <c r="I15" s="222">
        <f t="shared" si="3"/>
        <v>2020</v>
      </c>
      <c r="J15" s="222">
        <f t="shared" si="4"/>
        <v>11</v>
      </c>
      <c r="K15" s="224">
        <f t="shared" si="5"/>
        <v>30.4375</v>
      </c>
      <c r="L15" s="223">
        <f>VLOOKUP($A15,'2001_Inc_01.12.20'!$A$18:$Z$41,2,FALSE)</f>
        <v>44166.479166666664</v>
      </c>
      <c r="M15" s="222">
        <f t="shared" si="6"/>
        <v>2020</v>
      </c>
      <c r="N15" s="222">
        <f t="shared" si="7"/>
        <v>12</v>
      </c>
      <c r="O15" s="224">
        <f t="shared" si="8"/>
        <v>1.4791666666642413</v>
      </c>
      <c r="P15" s="224">
        <f t="shared" si="9"/>
        <v>1.0416666666642413</v>
      </c>
      <c r="Q15" s="225">
        <f>IFERROR(VLOOKUP($A15,'2001_Inc_01.12.20'!$A$18:$Z$41,14,FALSE),"")</f>
        <v>3.0614113630748516</v>
      </c>
    </row>
    <row r="16" spans="1:17">
      <c r="A16" s="221" t="str">
        <f>'2001_Inc_01.12.20'!A32</f>
        <v>41_23_BSwf_comp_10-19_2001_a</v>
      </c>
      <c r="B16" s="222" t="str">
        <f t="shared" si="0"/>
        <v>BSwf</v>
      </c>
      <c r="C16" s="222" t="str">
        <f t="shared" si="2"/>
        <v>BSwf_10-19_2001_a</v>
      </c>
      <c r="D16" s="224">
        <f>WHC!T79</f>
        <v>8.0489999999999995</v>
      </c>
      <c r="E16" s="222">
        <f t="shared" si="10"/>
        <v>1</v>
      </c>
      <c r="F16" s="222" t="s">
        <v>380</v>
      </c>
      <c r="G16" s="222" t="str">
        <f t="shared" si="1"/>
        <v/>
      </c>
      <c r="H16" s="223">
        <f>VLOOKUP($A16,'2001_Inc_01.12.20'!$A$18:$Z$41,9,FALSE)</f>
        <v>44165.4375</v>
      </c>
      <c r="I16" s="222">
        <f t="shared" si="3"/>
        <v>2020</v>
      </c>
      <c r="J16" s="222">
        <f t="shared" si="4"/>
        <v>11</v>
      </c>
      <c r="K16" s="224">
        <f t="shared" si="5"/>
        <v>30.4375</v>
      </c>
      <c r="L16" s="223">
        <f>VLOOKUP($A16,'2001_Inc_01.12.20'!$A$18:$Z$41,2,FALSE)</f>
        <v>44166.479166666664</v>
      </c>
      <c r="M16" s="222">
        <f t="shared" si="6"/>
        <v>2020</v>
      </c>
      <c r="N16" s="222">
        <f t="shared" si="7"/>
        <v>12</v>
      </c>
      <c r="O16" s="224">
        <f t="shared" si="8"/>
        <v>1.4791666666642413</v>
      </c>
      <c r="P16" s="224">
        <f t="shared" si="9"/>
        <v>1.0416666666642413</v>
      </c>
      <c r="Q16" s="225">
        <f>IFERROR(VLOOKUP($A16,'2001_Inc_01.12.20'!$A$18:$Z$41,14,FALSE),"")</f>
        <v>2.0539854888332609</v>
      </c>
    </row>
    <row r="17" spans="1:17">
      <c r="A17" s="221" t="str">
        <f>'2001_Inc_01.12.20'!A33</f>
        <v>42_23_BSwf_comp_10-19_2001_b</v>
      </c>
      <c r="B17" s="222" t="str">
        <f t="shared" si="0"/>
        <v>BSwf</v>
      </c>
      <c r="C17" s="222" t="str">
        <f t="shared" si="2"/>
        <v>BSwf_10-19_2001_b</v>
      </c>
      <c r="D17" s="224">
        <f>WHC!T80</f>
        <v>8.0150000000000006</v>
      </c>
      <c r="E17" s="222">
        <f t="shared" si="10"/>
        <v>1</v>
      </c>
      <c r="F17" s="222" t="s">
        <v>380</v>
      </c>
      <c r="G17" s="222" t="str">
        <f t="shared" si="1"/>
        <v/>
      </c>
      <c r="H17" s="223">
        <f>VLOOKUP($A17,'2001_Inc_01.12.20'!$A$18:$Z$41,9,FALSE)</f>
        <v>44165.4375</v>
      </c>
      <c r="I17" s="222">
        <f t="shared" si="3"/>
        <v>2020</v>
      </c>
      <c r="J17" s="222">
        <f t="shared" si="4"/>
        <v>11</v>
      </c>
      <c r="K17" s="224">
        <f t="shared" si="5"/>
        <v>30.4375</v>
      </c>
      <c r="L17" s="223">
        <f>VLOOKUP($A17,'2001_Inc_01.12.20'!$A$18:$Z$41,2,FALSE)</f>
        <v>44166.479166666664</v>
      </c>
      <c r="M17" s="222">
        <f t="shared" si="6"/>
        <v>2020</v>
      </c>
      <c r="N17" s="222">
        <f t="shared" si="7"/>
        <v>12</v>
      </c>
      <c r="O17" s="224">
        <f t="shared" si="8"/>
        <v>1.4791666666642413</v>
      </c>
      <c r="P17" s="224">
        <f t="shared" si="9"/>
        <v>1.0416666666642413</v>
      </c>
      <c r="Q17" s="225">
        <f>IFERROR(VLOOKUP($A17,'2001_Inc_01.12.20'!$A$18:$Z$41,14,FALSE),"")</f>
        <v>1.8539995525115422</v>
      </c>
    </row>
    <row r="18" spans="1:17">
      <c r="A18" s="221" t="str">
        <f>'2001_Inc_01.12.20'!A34</f>
        <v>43_25_BSpp_comp_0-7_2001_a</v>
      </c>
      <c r="B18" s="222" t="str">
        <f t="shared" si="0"/>
        <v>BSpp</v>
      </c>
      <c r="C18" s="222" t="str">
        <f t="shared" si="2"/>
        <v>BSpp_0-7_2001_a</v>
      </c>
      <c r="D18" s="224">
        <f>WHC!T83</f>
        <v>8.1419999999999995</v>
      </c>
      <c r="E18" s="222">
        <f t="shared" si="10"/>
        <v>1</v>
      </c>
      <c r="F18" s="222" t="s">
        <v>380</v>
      </c>
      <c r="G18" s="222" t="str">
        <f t="shared" si="1"/>
        <v/>
      </c>
      <c r="H18" s="223">
        <f>VLOOKUP($A18,'2001_Inc_01.12.20'!$A$18:$Z$41,9,FALSE)</f>
        <v>44165.4375</v>
      </c>
      <c r="I18" s="222">
        <f t="shared" si="3"/>
        <v>2020</v>
      </c>
      <c r="J18" s="222">
        <f t="shared" si="4"/>
        <v>11</v>
      </c>
      <c r="K18" s="224">
        <f t="shared" si="5"/>
        <v>30.4375</v>
      </c>
      <c r="L18" s="223">
        <f>VLOOKUP($A18,'2001_Inc_01.12.20'!$A$18:$Z$41,2,FALSE)</f>
        <v>44166.479166666664</v>
      </c>
      <c r="M18" s="222">
        <f t="shared" si="6"/>
        <v>2020</v>
      </c>
      <c r="N18" s="222">
        <f t="shared" si="7"/>
        <v>12</v>
      </c>
      <c r="O18" s="224">
        <f t="shared" si="8"/>
        <v>1.4791666666642413</v>
      </c>
      <c r="P18" s="224">
        <f t="shared" si="9"/>
        <v>1.0416666666642413</v>
      </c>
      <c r="Q18" s="225">
        <f>IFERROR(VLOOKUP($A18,'2001_Inc_01.12.20'!$A$18:$Z$41,14,FALSE),"")</f>
        <v>3.27362793793215</v>
      </c>
    </row>
    <row r="19" spans="1:17">
      <c r="A19" s="221" t="str">
        <f>'2001_Inc_01.12.20'!A35</f>
        <v>44_25_BSpp_comp_0-7_2001_b</v>
      </c>
      <c r="B19" s="222" t="str">
        <f t="shared" si="0"/>
        <v>BSpp</v>
      </c>
      <c r="C19" s="222" t="str">
        <f t="shared" si="2"/>
        <v>BSpp_0-7_2001_b</v>
      </c>
      <c r="D19" s="224">
        <f>WHC!T84</f>
        <v>8.0820000000000007</v>
      </c>
      <c r="E19" s="222">
        <f t="shared" si="10"/>
        <v>1</v>
      </c>
      <c r="F19" s="222" t="s">
        <v>380</v>
      </c>
      <c r="G19" s="222" t="str">
        <f t="shared" si="1"/>
        <v/>
      </c>
      <c r="H19" s="223">
        <f>VLOOKUP($A19,'2001_Inc_01.12.20'!$A$18:$Z$41,9,FALSE)</f>
        <v>44165.4375</v>
      </c>
      <c r="I19" s="222">
        <f t="shared" si="3"/>
        <v>2020</v>
      </c>
      <c r="J19" s="222">
        <f t="shared" si="4"/>
        <v>11</v>
      </c>
      <c r="K19" s="224">
        <f t="shared" si="5"/>
        <v>30.4375</v>
      </c>
      <c r="L19" s="223">
        <f>VLOOKUP($A19,'2001_Inc_01.12.20'!$A$18:$Z$41,2,FALSE)</f>
        <v>44166.479166666664</v>
      </c>
      <c r="M19" s="222">
        <f t="shared" si="6"/>
        <v>2020</v>
      </c>
      <c r="N19" s="222">
        <f t="shared" si="7"/>
        <v>12</v>
      </c>
      <c r="O19" s="224">
        <f t="shared" si="8"/>
        <v>1.4791666666642413</v>
      </c>
      <c r="P19" s="224">
        <f t="shared" si="9"/>
        <v>1.0416666666642413</v>
      </c>
      <c r="Q19" s="225">
        <f>IFERROR(VLOOKUP($A19,'2001_Inc_01.12.20'!$A$18:$Z$41,14,FALSE),"")</f>
        <v>3.5676734750217514</v>
      </c>
    </row>
    <row r="20" spans="1:17">
      <c r="A20" s="221" t="str">
        <f>'2001_Inc_01.12.20'!A36</f>
        <v>45_26_BSpp_comp_7-18_2001_a</v>
      </c>
      <c r="B20" s="222" t="str">
        <f t="shared" si="0"/>
        <v>BSpp</v>
      </c>
      <c r="C20" s="222" t="str">
        <f t="shared" si="2"/>
        <v>BSpp_7-18_2001_a</v>
      </c>
      <c r="D20" s="224">
        <f>WHC!T85</f>
        <v>7.992</v>
      </c>
      <c r="E20" s="222">
        <f t="shared" si="10"/>
        <v>1</v>
      </c>
      <c r="F20" s="222" t="s">
        <v>380</v>
      </c>
      <c r="G20" s="222" t="str">
        <f t="shared" si="1"/>
        <v/>
      </c>
      <c r="H20" s="223">
        <f>VLOOKUP($A20,'2001_Inc_01.12.20'!$A$18:$Z$41,9,FALSE)</f>
        <v>44165.4375</v>
      </c>
      <c r="I20" s="222">
        <f t="shared" si="3"/>
        <v>2020</v>
      </c>
      <c r="J20" s="222">
        <f t="shared" si="4"/>
        <v>11</v>
      </c>
      <c r="K20" s="224">
        <f t="shared" si="5"/>
        <v>30.4375</v>
      </c>
      <c r="L20" s="223">
        <f>VLOOKUP($A20,'2001_Inc_01.12.20'!$A$18:$Z$41,2,FALSE)</f>
        <v>44166.479166666664</v>
      </c>
      <c r="M20" s="222">
        <f t="shared" si="6"/>
        <v>2020</v>
      </c>
      <c r="N20" s="222">
        <f t="shared" si="7"/>
        <v>12</v>
      </c>
      <c r="O20" s="224">
        <f t="shared" si="8"/>
        <v>1.4791666666642413</v>
      </c>
      <c r="P20" s="224">
        <f t="shared" si="9"/>
        <v>1.0416666666642413</v>
      </c>
      <c r="Q20" s="225">
        <f>IFERROR(VLOOKUP($A20,'2001_Inc_01.12.20'!$A$18:$Z$41,14,FALSE),"")</f>
        <v>1.6594954818460304</v>
      </c>
    </row>
    <row r="21" spans="1:17">
      <c r="A21" s="221" t="str">
        <f>'2001_Inc_01.12.20'!A37</f>
        <v>46_26_BSpp_comp_7-18_2001_b</v>
      </c>
      <c r="B21" s="222" t="str">
        <f t="shared" si="0"/>
        <v>BSpp</v>
      </c>
      <c r="C21" s="222" t="str">
        <f t="shared" si="2"/>
        <v>BSpp_7-18_2001_b</v>
      </c>
      <c r="D21" s="224">
        <f>WHC!T86</f>
        <v>8.06</v>
      </c>
      <c r="E21" s="222">
        <f t="shared" si="10"/>
        <v>1</v>
      </c>
      <c r="F21" s="222" t="s">
        <v>380</v>
      </c>
      <c r="G21" s="222" t="str">
        <f t="shared" si="1"/>
        <v/>
      </c>
      <c r="H21" s="223">
        <f>VLOOKUP($A21,'2001_Inc_01.12.20'!$A$18:$Z$41,9,FALSE)</f>
        <v>44165.4375</v>
      </c>
      <c r="I21" s="222">
        <f t="shared" si="3"/>
        <v>2020</v>
      </c>
      <c r="J21" s="222">
        <f t="shared" si="4"/>
        <v>11</v>
      </c>
      <c r="K21" s="224">
        <f t="shared" si="5"/>
        <v>30.4375</v>
      </c>
      <c r="L21" s="223">
        <f>VLOOKUP($A21,'2001_Inc_01.12.20'!$A$18:$Z$41,2,FALSE)</f>
        <v>44166.479166666664</v>
      </c>
      <c r="M21" s="222">
        <f t="shared" si="6"/>
        <v>2020</v>
      </c>
      <c r="N21" s="222">
        <f t="shared" si="7"/>
        <v>12</v>
      </c>
      <c r="O21" s="224">
        <f t="shared" si="8"/>
        <v>1.4791666666642413</v>
      </c>
      <c r="P21" s="224">
        <f t="shared" si="9"/>
        <v>1.0416666666642413</v>
      </c>
      <c r="Q21" s="225">
        <f>IFERROR(VLOOKUP($A21,'2001_Inc_01.12.20'!$A$18:$Z$41,14,FALSE),"")</f>
        <v>1.769283357722804</v>
      </c>
    </row>
    <row r="22" spans="1:17">
      <c r="A22" s="221" t="str">
        <f>'2001_Inc_01.12.20'!A38</f>
        <v>47_27_BSpp_comp_18-28_2001_a</v>
      </c>
      <c r="B22" s="222" t="str">
        <f t="shared" si="0"/>
        <v>BSpp</v>
      </c>
      <c r="C22" s="222" t="str">
        <f t="shared" si="2"/>
        <v>BSpp_18-28_2001_a</v>
      </c>
      <c r="D22" s="224">
        <f>WHC!T87</f>
        <v>7.9939999999999998</v>
      </c>
      <c r="E22" s="222">
        <f t="shared" si="10"/>
        <v>1</v>
      </c>
      <c r="F22" s="222" t="s">
        <v>380</v>
      </c>
      <c r="G22" s="222" t="str">
        <f t="shared" si="1"/>
        <v/>
      </c>
      <c r="H22" s="223">
        <f>VLOOKUP($A22,'2001_Inc_01.12.20'!$A$18:$Z$41,9,FALSE)</f>
        <v>44165.4375</v>
      </c>
      <c r="I22" s="222">
        <f t="shared" si="3"/>
        <v>2020</v>
      </c>
      <c r="J22" s="222">
        <f t="shared" si="4"/>
        <v>11</v>
      </c>
      <c r="K22" s="224">
        <f t="shared" si="5"/>
        <v>30.4375</v>
      </c>
      <c r="L22" s="223">
        <f>VLOOKUP($A22,'2001_Inc_01.12.20'!$A$18:$Z$41,2,FALSE)</f>
        <v>44166.479166666664</v>
      </c>
      <c r="M22" s="222">
        <f t="shared" si="6"/>
        <v>2020</v>
      </c>
      <c r="N22" s="222">
        <f t="shared" si="7"/>
        <v>12</v>
      </c>
      <c r="O22" s="224">
        <f t="shared" si="8"/>
        <v>1.4791666666642413</v>
      </c>
      <c r="P22" s="224">
        <f t="shared" si="9"/>
        <v>1.0416666666642413</v>
      </c>
      <c r="Q22" s="225">
        <f>IFERROR(VLOOKUP($A22,'2001_Inc_01.12.20'!$A$18:$Z$41,14,FALSE),"")</f>
        <v>0.62787182569264977</v>
      </c>
    </row>
    <row r="23" spans="1:17">
      <c r="A23" s="231" t="str">
        <f>'2001_Inc_01.12.20'!A39</f>
        <v>48_27_BSpp_comp_18-28_2001_b</v>
      </c>
      <c r="B23" s="232" t="str">
        <f t="shared" si="0"/>
        <v>BSpp</v>
      </c>
      <c r="C23" s="232" t="str">
        <f t="shared" si="2"/>
        <v>BSpp_18-28_2001_b</v>
      </c>
      <c r="D23" s="224">
        <f>WHC!T88</f>
        <v>8.0060000000000002</v>
      </c>
      <c r="E23" s="232">
        <f t="shared" si="10"/>
        <v>1</v>
      </c>
      <c r="F23" s="232" t="s">
        <v>380</v>
      </c>
      <c r="G23" s="232" t="str">
        <f t="shared" si="1"/>
        <v/>
      </c>
      <c r="H23" s="233">
        <f>VLOOKUP($A23,'2001_Inc_01.12.20'!$A$18:$Z$41,9,FALSE)</f>
        <v>44165.4375</v>
      </c>
      <c r="I23" s="232">
        <f t="shared" si="3"/>
        <v>2020</v>
      </c>
      <c r="J23" s="232">
        <f t="shared" si="4"/>
        <v>11</v>
      </c>
      <c r="K23" s="234">
        <f t="shared" si="5"/>
        <v>30.4375</v>
      </c>
      <c r="L23" s="233">
        <f>VLOOKUP($A23,'2001_Inc_01.12.20'!$A$18:$Z$41,2,FALSE)</f>
        <v>44166.479166666664</v>
      </c>
      <c r="M23" s="232">
        <f t="shared" si="6"/>
        <v>2020</v>
      </c>
      <c r="N23" s="232">
        <f t="shared" si="7"/>
        <v>12</v>
      </c>
      <c r="O23" s="234">
        <f t="shared" si="8"/>
        <v>1.4791666666642413</v>
      </c>
      <c r="P23" s="234">
        <f t="shared" si="9"/>
        <v>1.0416666666642413</v>
      </c>
      <c r="Q23" s="235">
        <f>IFERROR(VLOOKUP($A23,'2001_Inc_01.12.20'!$A$18:$Z$41,14,FALSE),"")</f>
        <v>0.58892776045186823</v>
      </c>
    </row>
    <row r="24" spans="1:17">
      <c r="A24" s="226" t="s">
        <v>292</v>
      </c>
      <c r="B24" s="227" t="str">
        <f t="shared" si="0"/>
        <v>ANpp</v>
      </c>
      <c r="C24" s="227" t="str">
        <f t="shared" ref="C24:C45" si="11">B24&amp;"_"&amp;IF(LEFT(RIGHT(A24,11),1)="_",RIGHT(A24,10),IF(LEFT(RIGHT(A24,12),1)="_",RIGHT(A24,11),RIGHT(A24,12)))</f>
        <v>ANpp_0-6_2001_a</v>
      </c>
      <c r="D24" s="229">
        <v>8.08</v>
      </c>
      <c r="E24" s="227">
        <v>2</v>
      </c>
      <c r="F24" s="227" t="s">
        <v>381</v>
      </c>
      <c r="G24" s="227" t="str">
        <f t="shared" si="1"/>
        <v/>
      </c>
      <c r="H24" s="228">
        <f>VLOOKUP($A24,'2001_Inc_01.12.20'!$A$18:$Z$41,9,FALSE)</f>
        <v>44165.4375</v>
      </c>
      <c r="I24" s="227">
        <f t="shared" si="3"/>
        <v>2020</v>
      </c>
      <c r="J24" s="227">
        <f t="shared" ref="J24:J45" si="12">MONTH(H24)</f>
        <v>11</v>
      </c>
      <c r="K24" s="229">
        <f t="shared" ref="K24:K45" si="13">DAY(H24)+H24-ROUNDDOWN(H24,0)</f>
        <v>30.4375</v>
      </c>
      <c r="L24" s="228">
        <f>VLOOKUP($A24,'2001_Inc_02.12.20'!$A$18:$Z$41,2,FALSE)</f>
        <v>44167.416666666664</v>
      </c>
      <c r="M24" s="227">
        <f t="shared" si="6"/>
        <v>2020</v>
      </c>
      <c r="N24" s="227">
        <f t="shared" ref="N24" si="14">MONTH(L24)</f>
        <v>12</v>
      </c>
      <c r="O24" s="229">
        <f t="shared" ref="O24" si="15">DAY(L24)+L24-ROUNDDOWN(L24,0)</f>
        <v>2.4166666666642413</v>
      </c>
      <c r="P24" s="229">
        <f t="shared" ref="P24" si="16">L24-H24</f>
        <v>1.9791666666642413</v>
      </c>
      <c r="Q24" s="230">
        <f>IFERROR(VLOOKUP($A24,'2001_Inc_02.12.20'!$A$18:$Z$41,14,FALSE),"")</f>
        <v>6.6363798119587791</v>
      </c>
    </row>
    <row r="25" spans="1:17">
      <c r="A25" s="221" t="s">
        <v>293</v>
      </c>
      <c r="B25" s="222" t="str">
        <f t="shared" si="0"/>
        <v>ANpp</v>
      </c>
      <c r="C25" s="222" t="str">
        <f t="shared" si="11"/>
        <v>ANpp_0-6_2001_b</v>
      </c>
      <c r="D25" s="224">
        <v>8.0500000000000007</v>
      </c>
      <c r="E25" s="222">
        <f>E24</f>
        <v>2</v>
      </c>
      <c r="F25" s="222" t="s">
        <v>381</v>
      </c>
      <c r="G25" s="222" t="str">
        <f t="shared" si="1"/>
        <v/>
      </c>
      <c r="H25" s="223">
        <f>VLOOKUP($A25,'2001_Inc_01.12.20'!$A$18:$Z$41,9,FALSE)</f>
        <v>44165.4375</v>
      </c>
      <c r="I25" s="222">
        <f t="shared" si="3"/>
        <v>2020</v>
      </c>
      <c r="J25" s="222">
        <f t="shared" si="12"/>
        <v>11</v>
      </c>
      <c r="K25" s="224">
        <f t="shared" si="13"/>
        <v>30.4375</v>
      </c>
      <c r="L25" s="223">
        <f>VLOOKUP($A25,'2001_Inc_02.12.20'!$A$18:$Z$41,2,FALSE)</f>
        <v>44167.416666666664</v>
      </c>
      <c r="M25" s="222">
        <f t="shared" si="6"/>
        <v>2020</v>
      </c>
      <c r="N25" s="222">
        <f t="shared" ref="N25:N45" si="17">MONTH(L25)</f>
        <v>12</v>
      </c>
      <c r="O25" s="224">
        <f t="shared" ref="O25:O45" si="18">DAY(L25)+L25-ROUNDDOWN(L25,0)</f>
        <v>2.4166666666642413</v>
      </c>
      <c r="P25" s="224">
        <f t="shared" ref="P25:P45" si="19">L25-H25</f>
        <v>1.9791666666642413</v>
      </c>
      <c r="Q25" s="225">
        <f>IFERROR(VLOOKUP($A25,'2001_Inc_02.12.20'!$A$18:$Z$41,14,FALSE),"")</f>
        <v>5.4728195008383826</v>
      </c>
    </row>
    <row r="26" spans="1:17">
      <c r="A26" s="221" t="s">
        <v>294</v>
      </c>
      <c r="B26" s="222" t="str">
        <f t="shared" si="0"/>
        <v>ANpp</v>
      </c>
      <c r="C26" s="222" t="str">
        <f t="shared" si="11"/>
        <v>ANpp_6-13_2001_a</v>
      </c>
      <c r="D26" s="224">
        <v>7.97</v>
      </c>
      <c r="E26" s="222">
        <f t="shared" ref="E26:E45" si="20">E25</f>
        <v>2</v>
      </c>
      <c r="F26" s="222" t="s">
        <v>381</v>
      </c>
      <c r="G26" s="222" t="str">
        <f t="shared" si="1"/>
        <v/>
      </c>
      <c r="H26" s="223">
        <f>VLOOKUP($A26,'2001_Inc_01.12.20'!$A$18:$Z$41,9,FALSE)</f>
        <v>44165.4375</v>
      </c>
      <c r="I26" s="222">
        <f t="shared" si="3"/>
        <v>2020</v>
      </c>
      <c r="J26" s="222">
        <f t="shared" si="12"/>
        <v>11</v>
      </c>
      <c r="K26" s="224">
        <f t="shared" si="13"/>
        <v>30.4375</v>
      </c>
      <c r="L26" s="223">
        <f>VLOOKUP($A26,'2001_Inc_02.12.20'!$A$18:$Z$41,2,FALSE)</f>
        <v>44167.416666666664</v>
      </c>
      <c r="M26" s="222">
        <f t="shared" si="6"/>
        <v>2020</v>
      </c>
      <c r="N26" s="222">
        <f t="shared" si="17"/>
        <v>12</v>
      </c>
      <c r="O26" s="224">
        <f t="shared" si="18"/>
        <v>2.4166666666642413</v>
      </c>
      <c r="P26" s="224">
        <f t="shared" si="19"/>
        <v>1.9791666666642413</v>
      </c>
      <c r="Q26" s="225">
        <f>IFERROR(VLOOKUP($A26,'2001_Inc_02.12.20'!$A$18:$Z$41,14,FALSE),"")</f>
        <v>3.6742862094681032</v>
      </c>
    </row>
    <row r="27" spans="1:17">
      <c r="A27" s="221" t="s">
        <v>295</v>
      </c>
      <c r="B27" s="222" t="str">
        <f t="shared" si="0"/>
        <v>ANpp</v>
      </c>
      <c r="C27" s="222" t="str">
        <f t="shared" si="11"/>
        <v>ANpp_6-13_2001_b</v>
      </c>
      <c r="D27" s="224">
        <v>8.0280000000000005</v>
      </c>
      <c r="E27" s="222">
        <f t="shared" si="20"/>
        <v>2</v>
      </c>
      <c r="F27" s="222" t="s">
        <v>381</v>
      </c>
      <c r="G27" s="222" t="str">
        <f t="shared" si="1"/>
        <v/>
      </c>
      <c r="H27" s="223">
        <f>VLOOKUP($A27,'2001_Inc_01.12.20'!$A$18:$Z$41,9,FALSE)</f>
        <v>44165.4375</v>
      </c>
      <c r="I27" s="222">
        <f t="shared" si="3"/>
        <v>2020</v>
      </c>
      <c r="J27" s="222">
        <f t="shared" si="12"/>
        <v>11</v>
      </c>
      <c r="K27" s="224">
        <f t="shared" si="13"/>
        <v>30.4375</v>
      </c>
      <c r="L27" s="223">
        <f>VLOOKUP($A27,'2001_Inc_02.12.20'!$A$18:$Z$41,2,FALSE)</f>
        <v>44167.416666666664</v>
      </c>
      <c r="M27" s="222">
        <f t="shared" si="6"/>
        <v>2020</v>
      </c>
      <c r="N27" s="222">
        <f t="shared" si="17"/>
        <v>12</v>
      </c>
      <c r="O27" s="224">
        <f t="shared" si="18"/>
        <v>2.4166666666642413</v>
      </c>
      <c r="P27" s="224">
        <f t="shared" si="19"/>
        <v>1.9791666666642413</v>
      </c>
      <c r="Q27" s="225">
        <f>IFERROR(VLOOKUP($A27,'2001_Inc_02.12.20'!$A$18:$Z$41,14,FALSE),"")</f>
        <v>3.6759107851347284</v>
      </c>
    </row>
    <row r="28" spans="1:17">
      <c r="A28" s="221" t="s">
        <v>296</v>
      </c>
      <c r="B28" s="222" t="str">
        <f t="shared" si="0"/>
        <v>ANpp</v>
      </c>
      <c r="C28" s="222" t="str">
        <f t="shared" si="11"/>
        <v>ANpp_13-33_2001_a</v>
      </c>
      <c r="D28" s="224">
        <v>8.0180000000000007</v>
      </c>
      <c r="E28" s="222">
        <f t="shared" si="20"/>
        <v>2</v>
      </c>
      <c r="F28" s="222" t="s">
        <v>381</v>
      </c>
      <c r="G28" s="222" t="str">
        <f t="shared" si="1"/>
        <v/>
      </c>
      <c r="H28" s="223">
        <f>VLOOKUP($A28,'2001_Inc_01.12.20'!$A$18:$Z$41,9,FALSE)</f>
        <v>44165.4375</v>
      </c>
      <c r="I28" s="222">
        <f t="shared" si="3"/>
        <v>2020</v>
      </c>
      <c r="J28" s="222">
        <f t="shared" si="12"/>
        <v>11</v>
      </c>
      <c r="K28" s="224">
        <f t="shared" si="13"/>
        <v>30.4375</v>
      </c>
      <c r="L28" s="223">
        <f>VLOOKUP($A28,'2001_Inc_02.12.20'!$A$18:$Z$41,2,FALSE)</f>
        <v>44167.416666666664</v>
      </c>
      <c r="M28" s="222">
        <f t="shared" si="6"/>
        <v>2020</v>
      </c>
      <c r="N28" s="222">
        <f t="shared" si="17"/>
        <v>12</v>
      </c>
      <c r="O28" s="224">
        <f t="shared" si="18"/>
        <v>2.4166666666642413</v>
      </c>
      <c r="P28" s="224">
        <f t="shared" si="19"/>
        <v>1.9791666666642413</v>
      </c>
      <c r="Q28" s="225">
        <f>IFERROR(VLOOKUP($A28,'2001_Inc_02.12.20'!$A$18:$Z$41,14,FALSE),"")</f>
        <v>1.4473955620102741</v>
      </c>
    </row>
    <row r="29" spans="1:17">
      <c r="A29" s="221" t="s">
        <v>297</v>
      </c>
      <c r="B29" s="222" t="str">
        <f t="shared" si="0"/>
        <v>ANpp</v>
      </c>
      <c r="C29" s="222" t="str">
        <f t="shared" si="11"/>
        <v>ANpp_13-33_2001_b</v>
      </c>
      <c r="D29" s="224">
        <v>8.0079999999999991</v>
      </c>
      <c r="E29" s="222">
        <f t="shared" si="20"/>
        <v>2</v>
      </c>
      <c r="F29" s="222" t="s">
        <v>381</v>
      </c>
      <c r="G29" s="222" t="str">
        <f t="shared" si="1"/>
        <v/>
      </c>
      <c r="H29" s="223">
        <f>VLOOKUP($A29,'2001_Inc_01.12.20'!$A$18:$Z$41,9,FALSE)</f>
        <v>44165.4375</v>
      </c>
      <c r="I29" s="222">
        <f t="shared" si="3"/>
        <v>2020</v>
      </c>
      <c r="J29" s="222">
        <f t="shared" si="12"/>
        <v>11</v>
      </c>
      <c r="K29" s="224">
        <f t="shared" si="13"/>
        <v>30.4375</v>
      </c>
      <c r="L29" s="223">
        <f>VLOOKUP($A29,'2001_Inc_02.12.20'!$A$18:$Z$41,2,FALSE)</f>
        <v>44167.416666666664</v>
      </c>
      <c r="M29" s="222">
        <f t="shared" si="6"/>
        <v>2020</v>
      </c>
      <c r="N29" s="222">
        <f t="shared" si="17"/>
        <v>12</v>
      </c>
      <c r="O29" s="224">
        <f t="shared" si="18"/>
        <v>2.4166666666642413</v>
      </c>
      <c r="P29" s="224">
        <f t="shared" si="19"/>
        <v>1.9791666666642413</v>
      </c>
      <c r="Q29" s="225">
        <f>IFERROR(VLOOKUP($A29,'2001_Inc_02.12.20'!$A$18:$Z$41,14,FALSE),"")</f>
        <v>1.2467615647120767</v>
      </c>
    </row>
    <row r="30" spans="1:17">
      <c r="A30" s="221" t="s">
        <v>298</v>
      </c>
      <c r="B30" s="222" t="str">
        <f t="shared" si="0"/>
        <v>BSrf</v>
      </c>
      <c r="C30" s="222" t="str">
        <f t="shared" si="11"/>
        <v>BSrf_0-8_2001_a</v>
      </c>
      <c r="D30" s="224">
        <v>8.0860000000000003</v>
      </c>
      <c r="E30" s="222">
        <f t="shared" si="20"/>
        <v>2</v>
      </c>
      <c r="F30" s="222" t="s">
        <v>381</v>
      </c>
      <c r="G30" s="222" t="str">
        <f t="shared" si="1"/>
        <v/>
      </c>
      <c r="H30" s="223">
        <f>VLOOKUP($A30,'2001_Inc_01.12.20'!$A$18:$Z$41,9,FALSE)</f>
        <v>44165.4375</v>
      </c>
      <c r="I30" s="222">
        <f t="shared" si="3"/>
        <v>2020</v>
      </c>
      <c r="J30" s="222">
        <f t="shared" si="12"/>
        <v>11</v>
      </c>
      <c r="K30" s="224">
        <f t="shared" si="13"/>
        <v>30.4375</v>
      </c>
      <c r="L30" s="223">
        <f>VLOOKUP($A30,'2001_Inc_02.12.20'!$A$18:$Z$41,2,FALSE)</f>
        <v>44167.416666666664</v>
      </c>
      <c r="M30" s="222">
        <f t="shared" si="6"/>
        <v>2020</v>
      </c>
      <c r="N30" s="222">
        <f t="shared" si="17"/>
        <v>12</v>
      </c>
      <c r="O30" s="224">
        <f t="shared" si="18"/>
        <v>2.4166666666642413</v>
      </c>
      <c r="P30" s="224">
        <f t="shared" si="19"/>
        <v>1.9791666666642413</v>
      </c>
      <c r="Q30" s="225">
        <f>IFERROR(VLOOKUP($A30,'2001_Inc_02.12.20'!$A$18:$Z$41,14,FALSE),"")</f>
        <v>7.8436839674550685</v>
      </c>
    </row>
    <row r="31" spans="1:17">
      <c r="A31" s="221" t="s">
        <v>299</v>
      </c>
      <c r="B31" s="222" t="str">
        <f t="shared" si="0"/>
        <v>BSrf</v>
      </c>
      <c r="C31" s="222" t="str">
        <f t="shared" si="11"/>
        <v>BSrf_0-8_2001_b</v>
      </c>
      <c r="D31" s="224">
        <v>8.0169999999999995</v>
      </c>
      <c r="E31" s="222">
        <f t="shared" si="20"/>
        <v>2</v>
      </c>
      <c r="F31" s="222" t="s">
        <v>381</v>
      </c>
      <c r="G31" s="222" t="str">
        <f t="shared" si="1"/>
        <v/>
      </c>
      <c r="H31" s="223">
        <f>VLOOKUP($A31,'2001_Inc_01.12.20'!$A$18:$Z$41,9,FALSE)</f>
        <v>44165.4375</v>
      </c>
      <c r="I31" s="222">
        <f t="shared" si="3"/>
        <v>2020</v>
      </c>
      <c r="J31" s="222">
        <f t="shared" si="12"/>
        <v>11</v>
      </c>
      <c r="K31" s="224">
        <f t="shared" si="13"/>
        <v>30.4375</v>
      </c>
      <c r="L31" s="223">
        <f>VLOOKUP($A31,'2001_Inc_02.12.20'!$A$18:$Z$41,2,FALSE)</f>
        <v>44167.416666666664</v>
      </c>
      <c r="M31" s="222">
        <f t="shared" si="6"/>
        <v>2020</v>
      </c>
      <c r="N31" s="222">
        <f t="shared" si="17"/>
        <v>12</v>
      </c>
      <c r="O31" s="224">
        <f t="shared" si="18"/>
        <v>2.4166666666642413</v>
      </c>
      <c r="P31" s="224">
        <f t="shared" si="19"/>
        <v>1.9791666666642413</v>
      </c>
      <c r="Q31" s="225">
        <f>IFERROR(VLOOKUP($A31,'2001_Inc_02.12.20'!$A$18:$Z$41,14,FALSE),"")</f>
        <v>6.2384800132141347</v>
      </c>
    </row>
    <row r="32" spans="1:17">
      <c r="A32" s="221" t="s">
        <v>300</v>
      </c>
      <c r="B32" s="222" t="str">
        <f t="shared" si="0"/>
        <v>BSrf</v>
      </c>
      <c r="C32" s="222" t="str">
        <f t="shared" si="11"/>
        <v>BSrf_8-15_2001_a</v>
      </c>
      <c r="D32" s="224">
        <v>8.0619999999999994</v>
      </c>
      <c r="E32" s="222">
        <f t="shared" si="20"/>
        <v>2</v>
      </c>
      <c r="F32" s="222" t="s">
        <v>381</v>
      </c>
      <c r="G32" s="222" t="str">
        <f t="shared" si="1"/>
        <v/>
      </c>
      <c r="H32" s="223">
        <f>VLOOKUP($A32,'2001_Inc_01.12.20'!$A$18:$Z$41,9,FALSE)</f>
        <v>44165.4375</v>
      </c>
      <c r="I32" s="222">
        <f t="shared" si="3"/>
        <v>2020</v>
      </c>
      <c r="J32" s="222">
        <f t="shared" si="12"/>
        <v>11</v>
      </c>
      <c r="K32" s="224">
        <f t="shared" si="13"/>
        <v>30.4375</v>
      </c>
      <c r="L32" s="223">
        <f>VLOOKUP($A32,'2001_Inc_02.12.20'!$A$18:$Z$41,2,FALSE)</f>
        <v>44167.416666666664</v>
      </c>
      <c r="M32" s="222">
        <f t="shared" si="6"/>
        <v>2020</v>
      </c>
      <c r="N32" s="222">
        <f t="shared" si="17"/>
        <v>12</v>
      </c>
      <c r="O32" s="224">
        <f t="shared" si="18"/>
        <v>2.4166666666642413</v>
      </c>
      <c r="P32" s="224">
        <f t="shared" si="19"/>
        <v>1.9791666666642413</v>
      </c>
      <c r="Q32" s="225">
        <f>IFERROR(VLOOKUP($A32,'2001_Inc_02.12.20'!$A$18:$Z$41,14,FALSE),"")</f>
        <v>2.3028291160114263</v>
      </c>
    </row>
    <row r="33" spans="1:17">
      <c r="A33" s="221" t="s">
        <v>301</v>
      </c>
      <c r="B33" s="222" t="str">
        <f t="shared" si="0"/>
        <v>BSrf</v>
      </c>
      <c r="C33" s="222" t="str">
        <f t="shared" si="11"/>
        <v>BSrf_8-15_2001_b</v>
      </c>
      <c r="D33" s="224">
        <v>8.0229999999999997</v>
      </c>
      <c r="E33" s="222">
        <f t="shared" si="20"/>
        <v>2</v>
      </c>
      <c r="F33" s="222" t="s">
        <v>381</v>
      </c>
      <c r="G33" s="222" t="str">
        <f t="shared" si="1"/>
        <v/>
      </c>
      <c r="H33" s="223">
        <f>VLOOKUP($A33,'2001_Inc_01.12.20'!$A$18:$Z$41,9,FALSE)</f>
        <v>44165.4375</v>
      </c>
      <c r="I33" s="222">
        <f t="shared" si="3"/>
        <v>2020</v>
      </c>
      <c r="J33" s="222">
        <f t="shared" si="12"/>
        <v>11</v>
      </c>
      <c r="K33" s="224">
        <f t="shared" si="13"/>
        <v>30.4375</v>
      </c>
      <c r="L33" s="223">
        <f>VLOOKUP($A33,'2001_Inc_02.12.20'!$A$18:$Z$41,2,FALSE)</f>
        <v>44167.416666666664</v>
      </c>
      <c r="M33" s="222">
        <f t="shared" si="6"/>
        <v>2020</v>
      </c>
      <c r="N33" s="222">
        <f t="shared" si="17"/>
        <v>12</v>
      </c>
      <c r="O33" s="224">
        <f t="shared" si="18"/>
        <v>2.4166666666642413</v>
      </c>
      <c r="P33" s="224">
        <f t="shared" si="19"/>
        <v>1.9791666666642413</v>
      </c>
      <c r="Q33" s="225">
        <f>IFERROR(VLOOKUP($A33,'2001_Inc_02.12.20'!$A$18:$Z$41,14,FALSE),"")</f>
        <v>1.6621421541580128</v>
      </c>
    </row>
    <row r="34" spans="1:17">
      <c r="A34" s="221" t="s">
        <v>302</v>
      </c>
      <c r="B34" s="222" t="str">
        <f t="shared" si="0"/>
        <v>BSrf</v>
      </c>
      <c r="C34" s="222" t="str">
        <f t="shared" si="11"/>
        <v>BSrf_15-30_2001_a</v>
      </c>
      <c r="D34" s="224">
        <v>8.0549999999999997</v>
      </c>
      <c r="E34" s="222">
        <f t="shared" si="20"/>
        <v>2</v>
      </c>
      <c r="F34" s="222" t="s">
        <v>381</v>
      </c>
      <c r="G34" s="222" t="str">
        <f t="shared" ref="G34:G65" si="21">IF(AND(E34&lt;&gt;E33,L34=L33),"fix meas date","")</f>
        <v/>
      </c>
      <c r="H34" s="223">
        <f>VLOOKUP($A34,'2001_Inc_01.12.20'!$A$18:$Z$41,9,FALSE)</f>
        <v>44165.4375</v>
      </c>
      <c r="I34" s="222">
        <f t="shared" si="3"/>
        <v>2020</v>
      </c>
      <c r="J34" s="222">
        <f t="shared" si="12"/>
        <v>11</v>
      </c>
      <c r="K34" s="224">
        <f t="shared" si="13"/>
        <v>30.4375</v>
      </c>
      <c r="L34" s="223">
        <f>VLOOKUP($A34,'2001_Inc_02.12.20'!$A$18:$Z$41,2,FALSE)</f>
        <v>44167.416666666664</v>
      </c>
      <c r="M34" s="222">
        <f t="shared" si="6"/>
        <v>2020</v>
      </c>
      <c r="N34" s="222">
        <f t="shared" si="17"/>
        <v>12</v>
      </c>
      <c r="O34" s="224">
        <f t="shared" si="18"/>
        <v>2.4166666666642413</v>
      </c>
      <c r="P34" s="224">
        <f t="shared" si="19"/>
        <v>1.9791666666642413</v>
      </c>
      <c r="Q34" s="225">
        <f>IFERROR(VLOOKUP($A34,'2001_Inc_02.12.20'!$A$18:$Z$41,14,FALSE),"")</f>
        <v>1.7370614553894779</v>
      </c>
    </row>
    <row r="35" spans="1:17">
      <c r="A35" s="221" t="s">
        <v>303</v>
      </c>
      <c r="B35" s="222" t="str">
        <f t="shared" si="0"/>
        <v>BSrf</v>
      </c>
      <c r="C35" s="222" t="str">
        <f t="shared" si="11"/>
        <v>BSrf_15-30_2001_b</v>
      </c>
      <c r="D35" s="224">
        <v>8.0020000000000007</v>
      </c>
      <c r="E35" s="222">
        <f t="shared" si="20"/>
        <v>2</v>
      </c>
      <c r="F35" s="222" t="s">
        <v>381</v>
      </c>
      <c r="G35" s="222" t="str">
        <f t="shared" si="21"/>
        <v/>
      </c>
      <c r="H35" s="223">
        <f>VLOOKUP($A35,'2001_Inc_01.12.20'!$A$18:$Z$41,9,FALSE)</f>
        <v>44165.4375</v>
      </c>
      <c r="I35" s="222">
        <f t="shared" si="3"/>
        <v>2020</v>
      </c>
      <c r="J35" s="222">
        <f t="shared" si="12"/>
        <v>11</v>
      </c>
      <c r="K35" s="224">
        <f t="shared" si="13"/>
        <v>30.4375</v>
      </c>
      <c r="L35" s="223">
        <f>VLOOKUP($A35,'2001_Inc_02.12.20'!$A$18:$Z$41,2,FALSE)</f>
        <v>44167.416666666664</v>
      </c>
      <c r="M35" s="222">
        <f t="shared" si="6"/>
        <v>2020</v>
      </c>
      <c r="N35" s="222">
        <f t="shared" si="17"/>
        <v>12</v>
      </c>
      <c r="O35" s="224">
        <f t="shared" si="18"/>
        <v>2.4166666666642413</v>
      </c>
      <c r="P35" s="224">
        <f t="shared" si="19"/>
        <v>1.9791666666642413</v>
      </c>
      <c r="Q35" s="225">
        <f>IFERROR(VLOOKUP($A35,'2001_Inc_02.12.20'!$A$18:$Z$41,14,FALSE),"")</f>
        <v>2.1059586857541448</v>
      </c>
    </row>
    <row r="36" spans="1:17">
      <c r="A36" s="221" t="s">
        <v>304</v>
      </c>
      <c r="B36" s="222" t="str">
        <f t="shared" si="0"/>
        <v>BSwf</v>
      </c>
      <c r="C36" s="222" t="str">
        <f t="shared" si="11"/>
        <v>BSwf_0-10_2001_a</v>
      </c>
      <c r="D36" s="224">
        <v>8.1020000000000003</v>
      </c>
      <c r="E36" s="222">
        <f t="shared" si="20"/>
        <v>2</v>
      </c>
      <c r="F36" s="222" t="s">
        <v>381</v>
      </c>
      <c r="G36" s="222" t="str">
        <f t="shared" si="21"/>
        <v/>
      </c>
      <c r="H36" s="223">
        <f>VLOOKUP($A36,'2001_Inc_01.12.20'!$A$18:$Z$41,9,FALSE)</f>
        <v>44165.4375</v>
      </c>
      <c r="I36" s="222">
        <f t="shared" si="3"/>
        <v>2020</v>
      </c>
      <c r="J36" s="222">
        <f t="shared" si="12"/>
        <v>11</v>
      </c>
      <c r="K36" s="224">
        <f t="shared" si="13"/>
        <v>30.4375</v>
      </c>
      <c r="L36" s="223">
        <f>VLOOKUP($A36,'2001_Inc_02.12.20'!$A$18:$Z$41,2,FALSE)</f>
        <v>44167.416666666664</v>
      </c>
      <c r="M36" s="222">
        <f t="shared" si="6"/>
        <v>2020</v>
      </c>
      <c r="N36" s="222">
        <f t="shared" si="17"/>
        <v>12</v>
      </c>
      <c r="O36" s="224">
        <f t="shared" si="18"/>
        <v>2.4166666666642413</v>
      </c>
      <c r="P36" s="224">
        <f t="shared" si="19"/>
        <v>1.9791666666642413</v>
      </c>
      <c r="Q36" s="225">
        <f>IFERROR(VLOOKUP($A36,'2001_Inc_02.12.20'!$A$18:$Z$41,14,FALSE),"")</f>
        <v>5.8005852928559971</v>
      </c>
    </row>
    <row r="37" spans="1:17">
      <c r="A37" s="221" t="s">
        <v>305</v>
      </c>
      <c r="B37" s="222" t="str">
        <f t="shared" si="0"/>
        <v>BSwf</v>
      </c>
      <c r="C37" s="222" t="str">
        <f t="shared" si="11"/>
        <v>BSwf_0-10_2001_b</v>
      </c>
      <c r="D37" s="224">
        <v>7.9859999999999998</v>
      </c>
      <c r="E37" s="222">
        <f t="shared" si="20"/>
        <v>2</v>
      </c>
      <c r="F37" s="222" t="s">
        <v>381</v>
      </c>
      <c r="G37" s="222" t="str">
        <f t="shared" si="21"/>
        <v/>
      </c>
      <c r="H37" s="223">
        <f>VLOOKUP($A37,'2001_Inc_01.12.20'!$A$18:$Z$41,9,FALSE)</f>
        <v>44165.4375</v>
      </c>
      <c r="I37" s="222">
        <f t="shared" si="3"/>
        <v>2020</v>
      </c>
      <c r="J37" s="222">
        <f t="shared" si="12"/>
        <v>11</v>
      </c>
      <c r="K37" s="224">
        <f t="shared" si="13"/>
        <v>30.4375</v>
      </c>
      <c r="L37" s="223">
        <f>VLOOKUP($A37,'2001_Inc_02.12.20'!$A$18:$Z$41,2,FALSE)</f>
        <v>44167.416666666664</v>
      </c>
      <c r="M37" s="222">
        <f t="shared" si="6"/>
        <v>2020</v>
      </c>
      <c r="N37" s="222">
        <f t="shared" si="17"/>
        <v>12</v>
      </c>
      <c r="O37" s="224">
        <f t="shared" si="18"/>
        <v>2.4166666666642413</v>
      </c>
      <c r="P37" s="224">
        <f t="shared" si="19"/>
        <v>1.9791666666642413</v>
      </c>
      <c r="Q37" s="225">
        <f>IFERROR(VLOOKUP($A37,'2001_Inc_02.12.20'!$A$18:$Z$41,14,FALSE),"")</f>
        <v>4.9291426474081073</v>
      </c>
    </row>
    <row r="38" spans="1:17">
      <c r="A38" s="221" t="s">
        <v>306</v>
      </c>
      <c r="B38" s="222" t="str">
        <f t="shared" si="0"/>
        <v>BSwf</v>
      </c>
      <c r="C38" s="222" t="str">
        <f t="shared" si="11"/>
        <v>BSwf_10-19_2001_a</v>
      </c>
      <c r="D38" s="224">
        <v>8.0489999999999995</v>
      </c>
      <c r="E38" s="222">
        <f t="shared" si="20"/>
        <v>2</v>
      </c>
      <c r="F38" s="222" t="s">
        <v>381</v>
      </c>
      <c r="G38" s="222" t="str">
        <f t="shared" si="21"/>
        <v/>
      </c>
      <c r="H38" s="223">
        <f>VLOOKUP($A38,'2001_Inc_01.12.20'!$A$18:$Z$41,9,FALSE)</f>
        <v>44165.4375</v>
      </c>
      <c r="I38" s="222">
        <f t="shared" si="3"/>
        <v>2020</v>
      </c>
      <c r="J38" s="222">
        <f t="shared" si="12"/>
        <v>11</v>
      </c>
      <c r="K38" s="224">
        <f t="shared" si="13"/>
        <v>30.4375</v>
      </c>
      <c r="L38" s="223">
        <f>VLOOKUP($A38,'2001_Inc_02.12.20'!$A$18:$Z$41,2,FALSE)</f>
        <v>44167.416666666664</v>
      </c>
      <c r="M38" s="222">
        <f t="shared" si="6"/>
        <v>2020</v>
      </c>
      <c r="N38" s="222">
        <f t="shared" si="17"/>
        <v>12</v>
      </c>
      <c r="O38" s="224">
        <f t="shared" si="18"/>
        <v>2.4166666666642413</v>
      </c>
      <c r="P38" s="224">
        <f t="shared" si="19"/>
        <v>1.9791666666642413</v>
      </c>
      <c r="Q38" s="225">
        <f>IFERROR(VLOOKUP($A38,'2001_Inc_02.12.20'!$A$18:$Z$41,14,FALSE),"")</f>
        <v>3.0801207430371109</v>
      </c>
    </row>
    <row r="39" spans="1:17">
      <c r="A39" s="221" t="s">
        <v>307</v>
      </c>
      <c r="B39" s="222" t="str">
        <f t="shared" si="0"/>
        <v>BSwf</v>
      </c>
      <c r="C39" s="222" t="str">
        <f t="shared" si="11"/>
        <v>BSwf_10-19_2001_b</v>
      </c>
      <c r="D39" s="224">
        <v>8.0150000000000006</v>
      </c>
      <c r="E39" s="222">
        <f t="shared" si="20"/>
        <v>2</v>
      </c>
      <c r="F39" s="222" t="s">
        <v>381</v>
      </c>
      <c r="G39" s="222" t="str">
        <f t="shared" si="21"/>
        <v/>
      </c>
      <c r="H39" s="223">
        <f>VLOOKUP($A39,'2001_Inc_01.12.20'!$A$18:$Z$41,9,FALSE)</f>
        <v>44165.4375</v>
      </c>
      <c r="I39" s="222">
        <f t="shared" si="3"/>
        <v>2020</v>
      </c>
      <c r="J39" s="222">
        <f t="shared" si="12"/>
        <v>11</v>
      </c>
      <c r="K39" s="224">
        <f t="shared" si="13"/>
        <v>30.4375</v>
      </c>
      <c r="L39" s="223">
        <f>VLOOKUP($A39,'2001_Inc_02.12.20'!$A$18:$Z$41,2,FALSE)</f>
        <v>44167.416666666664</v>
      </c>
      <c r="M39" s="222">
        <f t="shared" si="6"/>
        <v>2020</v>
      </c>
      <c r="N39" s="222">
        <f t="shared" si="17"/>
        <v>12</v>
      </c>
      <c r="O39" s="224">
        <f t="shared" si="18"/>
        <v>2.4166666666642413</v>
      </c>
      <c r="P39" s="224">
        <f t="shared" si="19"/>
        <v>1.9791666666642413</v>
      </c>
      <c r="Q39" s="225">
        <f>IFERROR(VLOOKUP($A39,'2001_Inc_02.12.20'!$A$18:$Z$41,14,FALSE),"")</f>
        <v>2.7546884604152373</v>
      </c>
    </row>
    <row r="40" spans="1:17">
      <c r="A40" s="221" t="s">
        <v>308</v>
      </c>
      <c r="B40" s="222" t="str">
        <f t="shared" si="0"/>
        <v>BSpp</v>
      </c>
      <c r="C40" s="222" t="str">
        <f t="shared" si="11"/>
        <v>BSpp_0-7_2001_a</v>
      </c>
      <c r="D40" s="224">
        <v>8.1419999999999995</v>
      </c>
      <c r="E40" s="222">
        <f t="shared" si="20"/>
        <v>2</v>
      </c>
      <c r="F40" s="222" t="s">
        <v>381</v>
      </c>
      <c r="G40" s="222" t="str">
        <f t="shared" si="21"/>
        <v/>
      </c>
      <c r="H40" s="223">
        <f>VLOOKUP($A40,'2001_Inc_01.12.20'!$A$18:$Z$41,9,FALSE)</f>
        <v>44165.4375</v>
      </c>
      <c r="I40" s="222">
        <f t="shared" si="3"/>
        <v>2020</v>
      </c>
      <c r="J40" s="222">
        <f t="shared" si="12"/>
        <v>11</v>
      </c>
      <c r="K40" s="224">
        <f t="shared" si="13"/>
        <v>30.4375</v>
      </c>
      <c r="L40" s="223">
        <f>VLOOKUP($A40,'2001_Inc_02.12.20'!$A$18:$Z$41,2,FALSE)</f>
        <v>44167.416666666664</v>
      </c>
      <c r="M40" s="222">
        <f t="shared" si="6"/>
        <v>2020</v>
      </c>
      <c r="N40" s="222">
        <f t="shared" si="17"/>
        <v>12</v>
      </c>
      <c r="O40" s="224">
        <f t="shared" si="18"/>
        <v>2.4166666666642413</v>
      </c>
      <c r="P40" s="224">
        <f t="shared" si="19"/>
        <v>1.9791666666642413</v>
      </c>
      <c r="Q40" s="225">
        <f>IFERROR(VLOOKUP($A40,'2001_Inc_02.12.20'!$A$18:$Z$41,14,FALSE),"")</f>
        <v>5.0542116864816311</v>
      </c>
    </row>
    <row r="41" spans="1:17">
      <c r="A41" s="221" t="s">
        <v>309</v>
      </c>
      <c r="B41" s="222" t="str">
        <f t="shared" si="0"/>
        <v>BSpp</v>
      </c>
      <c r="C41" s="222" t="str">
        <f t="shared" si="11"/>
        <v>BSpp_0-7_2001_b</v>
      </c>
      <c r="D41" s="224">
        <v>8.0820000000000007</v>
      </c>
      <c r="E41" s="222">
        <f t="shared" si="20"/>
        <v>2</v>
      </c>
      <c r="F41" s="222" t="s">
        <v>381</v>
      </c>
      <c r="G41" s="222" t="str">
        <f t="shared" si="21"/>
        <v/>
      </c>
      <c r="H41" s="223">
        <f>VLOOKUP($A41,'2001_Inc_01.12.20'!$A$18:$Z$41,9,FALSE)</f>
        <v>44165.4375</v>
      </c>
      <c r="I41" s="222">
        <f t="shared" si="3"/>
        <v>2020</v>
      </c>
      <c r="J41" s="222">
        <f t="shared" si="12"/>
        <v>11</v>
      </c>
      <c r="K41" s="224">
        <f t="shared" si="13"/>
        <v>30.4375</v>
      </c>
      <c r="L41" s="223">
        <f>VLOOKUP($A41,'2001_Inc_02.12.20'!$A$18:$Z$41,2,FALSE)</f>
        <v>44167.416666666664</v>
      </c>
      <c r="M41" s="222">
        <f t="shared" si="6"/>
        <v>2020</v>
      </c>
      <c r="N41" s="222">
        <f t="shared" si="17"/>
        <v>12</v>
      </c>
      <c r="O41" s="224">
        <f t="shared" si="18"/>
        <v>2.4166666666642413</v>
      </c>
      <c r="P41" s="224">
        <f t="shared" si="19"/>
        <v>1.9791666666642413</v>
      </c>
      <c r="Q41" s="225">
        <f>IFERROR(VLOOKUP($A41,'2001_Inc_02.12.20'!$A$18:$Z$41,14,FALSE),"")</f>
        <v>6.3353160343574295</v>
      </c>
    </row>
    <row r="42" spans="1:17">
      <c r="A42" s="221" t="s">
        <v>310</v>
      </c>
      <c r="B42" s="222" t="str">
        <f t="shared" si="0"/>
        <v>BSpp</v>
      </c>
      <c r="C42" s="222" t="str">
        <f t="shared" si="11"/>
        <v>BSpp_7-18_2001_a</v>
      </c>
      <c r="D42" s="224">
        <v>7.992</v>
      </c>
      <c r="E42" s="222">
        <f t="shared" si="20"/>
        <v>2</v>
      </c>
      <c r="F42" s="222" t="s">
        <v>381</v>
      </c>
      <c r="G42" s="222" t="str">
        <f t="shared" si="21"/>
        <v/>
      </c>
      <c r="H42" s="223">
        <f>VLOOKUP($A42,'2001_Inc_01.12.20'!$A$18:$Z$41,9,FALSE)</f>
        <v>44165.4375</v>
      </c>
      <c r="I42" s="222">
        <f t="shared" si="3"/>
        <v>2020</v>
      </c>
      <c r="J42" s="222">
        <f t="shared" si="12"/>
        <v>11</v>
      </c>
      <c r="K42" s="224">
        <f t="shared" si="13"/>
        <v>30.4375</v>
      </c>
      <c r="L42" s="223">
        <f>VLOOKUP($A42,'2001_Inc_02.12.20'!$A$18:$Z$41,2,FALSE)</f>
        <v>44167.416666666664</v>
      </c>
      <c r="M42" s="222">
        <f t="shared" si="6"/>
        <v>2020</v>
      </c>
      <c r="N42" s="222">
        <f t="shared" si="17"/>
        <v>12</v>
      </c>
      <c r="O42" s="224">
        <f t="shared" si="18"/>
        <v>2.4166666666642413</v>
      </c>
      <c r="P42" s="224">
        <f t="shared" si="19"/>
        <v>1.9791666666642413</v>
      </c>
      <c r="Q42" s="225">
        <f>IFERROR(VLOOKUP($A42,'2001_Inc_02.12.20'!$A$18:$Z$41,14,FALSE),"")</f>
        <v>2.426265219429681</v>
      </c>
    </row>
    <row r="43" spans="1:17">
      <c r="A43" s="221" t="s">
        <v>311</v>
      </c>
      <c r="B43" s="222" t="str">
        <f t="shared" si="0"/>
        <v>BSpp</v>
      </c>
      <c r="C43" s="222" t="str">
        <f t="shared" si="11"/>
        <v>BSpp_7-18_2001_b</v>
      </c>
      <c r="D43" s="224">
        <v>8.06</v>
      </c>
      <c r="E43" s="222">
        <f t="shared" si="20"/>
        <v>2</v>
      </c>
      <c r="F43" s="222" t="s">
        <v>381</v>
      </c>
      <c r="G43" s="222" t="str">
        <f t="shared" si="21"/>
        <v/>
      </c>
      <c r="H43" s="223">
        <f>VLOOKUP($A43,'2001_Inc_01.12.20'!$A$18:$Z$41,9,FALSE)</f>
        <v>44165.4375</v>
      </c>
      <c r="I43" s="222">
        <f t="shared" si="3"/>
        <v>2020</v>
      </c>
      <c r="J43" s="222">
        <f t="shared" si="12"/>
        <v>11</v>
      </c>
      <c r="K43" s="224">
        <f t="shared" si="13"/>
        <v>30.4375</v>
      </c>
      <c r="L43" s="223">
        <f>VLOOKUP($A43,'2001_Inc_02.12.20'!$A$18:$Z$41,2,FALSE)</f>
        <v>44167.416666666664</v>
      </c>
      <c r="M43" s="222">
        <f t="shared" si="6"/>
        <v>2020</v>
      </c>
      <c r="N43" s="222">
        <f t="shared" si="17"/>
        <v>12</v>
      </c>
      <c r="O43" s="224">
        <f t="shared" si="18"/>
        <v>2.4166666666642413</v>
      </c>
      <c r="P43" s="224">
        <f t="shared" si="19"/>
        <v>1.9791666666642413</v>
      </c>
      <c r="Q43" s="225">
        <f>IFERROR(VLOOKUP($A43,'2001_Inc_02.12.20'!$A$18:$Z$41,14,FALSE),"")</f>
        <v>2.9534577442885031</v>
      </c>
    </row>
    <row r="44" spans="1:17">
      <c r="A44" s="221" t="s">
        <v>312</v>
      </c>
      <c r="B44" s="222" t="str">
        <f t="shared" si="0"/>
        <v>BSpp</v>
      </c>
      <c r="C44" s="222" t="str">
        <f t="shared" si="11"/>
        <v>BSpp_18-28_2001_a</v>
      </c>
      <c r="D44" s="224">
        <v>7.9939999999999998</v>
      </c>
      <c r="E44" s="222">
        <f t="shared" si="20"/>
        <v>2</v>
      </c>
      <c r="F44" s="222" t="s">
        <v>381</v>
      </c>
      <c r="G44" s="222" t="str">
        <f t="shared" si="21"/>
        <v/>
      </c>
      <c r="H44" s="223">
        <f>VLOOKUP($A44,'2001_Inc_01.12.20'!$A$18:$Z$41,9,FALSE)</f>
        <v>44165.4375</v>
      </c>
      <c r="I44" s="222">
        <f t="shared" si="3"/>
        <v>2020</v>
      </c>
      <c r="J44" s="222">
        <f t="shared" si="12"/>
        <v>11</v>
      </c>
      <c r="K44" s="224">
        <f t="shared" si="13"/>
        <v>30.4375</v>
      </c>
      <c r="L44" s="223">
        <f>VLOOKUP($A44,'2001_Inc_02.12.20'!$A$18:$Z$41,2,FALSE)</f>
        <v>44167.416666666664</v>
      </c>
      <c r="M44" s="222">
        <f t="shared" si="6"/>
        <v>2020</v>
      </c>
      <c r="N44" s="222">
        <f t="shared" si="17"/>
        <v>12</v>
      </c>
      <c r="O44" s="224">
        <f t="shared" si="18"/>
        <v>2.4166666666642413</v>
      </c>
      <c r="P44" s="224">
        <f t="shared" si="19"/>
        <v>1.9791666666642413</v>
      </c>
      <c r="Q44" s="225">
        <f>IFERROR(VLOOKUP($A44,'2001_Inc_02.12.20'!$A$18:$Z$41,14,FALSE),"")</f>
        <v>0.95412863314919616</v>
      </c>
    </row>
    <row r="45" spans="1:17">
      <c r="A45" s="231" t="s">
        <v>313</v>
      </c>
      <c r="B45" s="232" t="str">
        <f t="shared" si="0"/>
        <v>BSpp</v>
      </c>
      <c r="C45" s="232" t="str">
        <f t="shared" si="11"/>
        <v>BSpp_18-28_2001_b</v>
      </c>
      <c r="D45" s="234">
        <v>8.0060000000000002</v>
      </c>
      <c r="E45" s="232">
        <f t="shared" si="20"/>
        <v>2</v>
      </c>
      <c r="F45" s="232" t="s">
        <v>381</v>
      </c>
      <c r="G45" s="232" t="str">
        <f t="shared" si="21"/>
        <v/>
      </c>
      <c r="H45" s="233">
        <f>VLOOKUP($A45,'2001_Inc_01.12.20'!$A$18:$Z$41,9,FALSE)</f>
        <v>44165.4375</v>
      </c>
      <c r="I45" s="232">
        <f t="shared" si="3"/>
        <v>2020</v>
      </c>
      <c r="J45" s="232">
        <f t="shared" si="12"/>
        <v>11</v>
      </c>
      <c r="K45" s="234">
        <f t="shared" si="13"/>
        <v>30.4375</v>
      </c>
      <c r="L45" s="233">
        <f>VLOOKUP($A45,'2001_Inc_02.12.20'!$A$18:$Z$41,2,FALSE)</f>
        <v>44167.416666666664</v>
      </c>
      <c r="M45" s="232">
        <f t="shared" si="6"/>
        <v>2020</v>
      </c>
      <c r="N45" s="232">
        <f t="shared" si="17"/>
        <v>12</v>
      </c>
      <c r="O45" s="234">
        <f t="shared" si="18"/>
        <v>2.4166666666642413</v>
      </c>
      <c r="P45" s="234">
        <f t="shared" si="19"/>
        <v>1.9791666666642413</v>
      </c>
      <c r="Q45" s="235">
        <f>IFERROR(VLOOKUP($A45,'2001_Inc_02.12.20'!$A$18:$Z$41,14,FALSE),"")</f>
        <v>0.93760663453886173</v>
      </c>
    </row>
    <row r="46" spans="1:17">
      <c r="A46" s="226" t="s">
        <v>292</v>
      </c>
      <c r="B46" s="227" t="str">
        <f t="shared" si="0"/>
        <v>ANpp</v>
      </c>
      <c r="C46" s="227" t="str">
        <f t="shared" ref="C46:C67" si="22">B46&amp;"_"&amp;IF(LEFT(RIGHT(A46,11),1)="_",RIGHT(A46,10),IF(LEFT(RIGHT(A46,12),1)="_",RIGHT(A46,11),RIGHT(A46,12)))</f>
        <v>ANpp_0-6_2001_a</v>
      </c>
      <c r="D46" s="229">
        <v>8.08</v>
      </c>
      <c r="E46" s="227">
        <v>3</v>
      </c>
      <c r="F46" s="227" t="s">
        <v>382</v>
      </c>
      <c r="G46" s="227" t="str">
        <f t="shared" si="21"/>
        <v/>
      </c>
      <c r="H46" s="228">
        <f>VLOOKUP($A46,'2001_Inc_01.12.20'!$A$18:$Z$41,9,FALSE)</f>
        <v>44165.4375</v>
      </c>
      <c r="I46" s="227">
        <f t="shared" si="3"/>
        <v>2020</v>
      </c>
      <c r="J46" s="227">
        <f t="shared" ref="J46" si="23">MONTH(H46)</f>
        <v>11</v>
      </c>
      <c r="K46" s="229">
        <f t="shared" ref="K46" si="24">DAY(H46)+H46-ROUNDDOWN(H46,0)</f>
        <v>30.4375</v>
      </c>
      <c r="L46" s="228">
        <f>VLOOKUP($A46,'2001_Inc_04.12.20'!$A$18:$Z$41,2,FALSE)</f>
        <v>44169.479166666664</v>
      </c>
      <c r="M46" s="227">
        <f t="shared" si="6"/>
        <v>2020</v>
      </c>
      <c r="N46" s="227">
        <f t="shared" ref="N46" si="25">MONTH(L46)</f>
        <v>12</v>
      </c>
      <c r="O46" s="229">
        <f t="shared" ref="O46" si="26">DAY(L46)+L46-ROUNDDOWN(L46,0)</f>
        <v>4.4791666666642413</v>
      </c>
      <c r="P46" s="229">
        <f t="shared" ref="P46" si="27">L46-H46</f>
        <v>4.0416666666642413</v>
      </c>
      <c r="Q46" s="230">
        <f>IFERROR(VLOOKUP($A46,'2001_Inc_04.12.20'!$A$18:$Z$41,14,FALSE),"")</f>
        <v>11.111215534119621</v>
      </c>
    </row>
    <row r="47" spans="1:17">
      <c r="A47" s="221" t="s">
        <v>293</v>
      </c>
      <c r="B47" s="222" t="str">
        <f t="shared" si="0"/>
        <v>ANpp</v>
      </c>
      <c r="C47" s="222" t="str">
        <f t="shared" si="22"/>
        <v>ANpp_0-6_2001_b</v>
      </c>
      <c r="D47" s="224">
        <v>8.0500000000000007</v>
      </c>
      <c r="E47" s="222">
        <f>E46</f>
        <v>3</v>
      </c>
      <c r="F47" s="222" t="s">
        <v>382</v>
      </c>
      <c r="G47" s="222" t="str">
        <f t="shared" si="21"/>
        <v/>
      </c>
      <c r="H47" s="223">
        <f>VLOOKUP($A47,'2001_Inc_01.12.20'!$A$18:$Z$41,9,FALSE)</f>
        <v>44165.4375</v>
      </c>
      <c r="I47" s="222">
        <f t="shared" si="3"/>
        <v>2020</v>
      </c>
      <c r="J47" s="222">
        <f t="shared" ref="J47:J67" si="28">MONTH(H47)</f>
        <v>11</v>
      </c>
      <c r="K47" s="224">
        <f t="shared" ref="K47:K67" si="29">DAY(H47)+H47-ROUNDDOWN(H47,0)</f>
        <v>30.4375</v>
      </c>
      <c r="L47" s="223">
        <f>VLOOKUP($A47,'2001_Inc_04.12.20'!$A$18:$Z$41,2,FALSE)</f>
        <v>44169.479166666664</v>
      </c>
      <c r="M47" s="222">
        <f t="shared" si="6"/>
        <v>2020</v>
      </c>
      <c r="N47" s="222">
        <f t="shared" ref="N47:N67" si="30">MONTH(L47)</f>
        <v>12</v>
      </c>
      <c r="O47" s="224">
        <f t="shared" ref="O47:O67" si="31">DAY(L47)+L47-ROUNDDOWN(L47,0)</f>
        <v>4.4791666666642413</v>
      </c>
      <c r="P47" s="224">
        <f t="shared" ref="P47:P67" si="32">L47-H47</f>
        <v>4.0416666666642413</v>
      </c>
      <c r="Q47" s="225">
        <f>IFERROR(VLOOKUP($A47,'2001_Inc_04.12.20'!$A$18:$Z$41,14,FALSE),"")</f>
        <v>6.6189540491783534</v>
      </c>
    </row>
    <row r="48" spans="1:17">
      <c r="A48" s="221" t="s">
        <v>294</v>
      </c>
      <c r="B48" s="222" t="str">
        <f t="shared" si="0"/>
        <v>ANpp</v>
      </c>
      <c r="C48" s="222" t="str">
        <f t="shared" si="22"/>
        <v>ANpp_6-13_2001_a</v>
      </c>
      <c r="D48" s="224">
        <v>7.97</v>
      </c>
      <c r="E48" s="222">
        <f t="shared" ref="E48:E67" si="33">E47</f>
        <v>3</v>
      </c>
      <c r="F48" s="222" t="s">
        <v>382</v>
      </c>
      <c r="G48" s="222" t="str">
        <f t="shared" si="21"/>
        <v/>
      </c>
      <c r="H48" s="223">
        <f>VLOOKUP($A48,'2001_Inc_01.12.20'!$A$18:$Z$41,9,FALSE)</f>
        <v>44165.4375</v>
      </c>
      <c r="I48" s="222">
        <f t="shared" si="3"/>
        <v>2020</v>
      </c>
      <c r="J48" s="222">
        <f t="shared" si="28"/>
        <v>11</v>
      </c>
      <c r="K48" s="224">
        <f t="shared" si="29"/>
        <v>30.4375</v>
      </c>
      <c r="L48" s="223">
        <f>VLOOKUP($A48,'2001_Inc_04.12.20'!$A$18:$Z$41,2,FALSE)</f>
        <v>44169.479166666664</v>
      </c>
      <c r="M48" s="222">
        <f t="shared" si="6"/>
        <v>2020</v>
      </c>
      <c r="N48" s="222">
        <f t="shared" si="30"/>
        <v>12</v>
      </c>
      <c r="O48" s="224">
        <f t="shared" si="31"/>
        <v>4.4791666666642413</v>
      </c>
      <c r="P48" s="224">
        <f t="shared" si="32"/>
        <v>4.0416666666642413</v>
      </c>
      <c r="Q48" s="225">
        <f>IFERROR(VLOOKUP($A48,'2001_Inc_04.12.20'!$A$18:$Z$41,14,FALSE),"")</f>
        <v>6.2107124942387983</v>
      </c>
    </row>
    <row r="49" spans="1:17">
      <c r="A49" s="221" t="s">
        <v>295</v>
      </c>
      <c r="B49" s="222" t="str">
        <f t="shared" si="0"/>
        <v>ANpp</v>
      </c>
      <c r="C49" s="222" t="str">
        <f t="shared" si="22"/>
        <v>ANpp_6-13_2001_b</v>
      </c>
      <c r="D49" s="224">
        <v>8.0280000000000005</v>
      </c>
      <c r="E49" s="222">
        <f t="shared" si="33"/>
        <v>3</v>
      </c>
      <c r="F49" s="222" t="s">
        <v>382</v>
      </c>
      <c r="G49" s="222" t="str">
        <f t="shared" si="21"/>
        <v/>
      </c>
      <c r="H49" s="223">
        <f>VLOOKUP($A49,'2001_Inc_01.12.20'!$A$18:$Z$41,9,FALSE)</f>
        <v>44165.4375</v>
      </c>
      <c r="I49" s="222">
        <f t="shared" si="3"/>
        <v>2020</v>
      </c>
      <c r="J49" s="222">
        <f t="shared" si="28"/>
        <v>11</v>
      </c>
      <c r="K49" s="224">
        <f t="shared" si="29"/>
        <v>30.4375</v>
      </c>
      <c r="L49" s="223">
        <f>VLOOKUP($A49,'2001_Inc_04.12.20'!$A$18:$Z$41,2,FALSE)</f>
        <v>44169.479166666664</v>
      </c>
      <c r="M49" s="222">
        <f t="shared" si="6"/>
        <v>2020</v>
      </c>
      <c r="N49" s="222">
        <f t="shared" si="30"/>
        <v>12</v>
      </c>
      <c r="O49" s="224">
        <f t="shared" si="31"/>
        <v>4.4791666666642413</v>
      </c>
      <c r="P49" s="224">
        <f t="shared" si="32"/>
        <v>4.0416666666642413</v>
      </c>
      <c r="Q49" s="225">
        <f>IFERROR(VLOOKUP($A49,'2001_Inc_04.12.20'!$A$18:$Z$41,14,FALSE),"")</f>
        <v>6.6329628798470521</v>
      </c>
    </row>
    <row r="50" spans="1:17">
      <c r="A50" s="221" t="s">
        <v>296</v>
      </c>
      <c r="B50" s="222" t="str">
        <f t="shared" si="0"/>
        <v>ANpp</v>
      </c>
      <c r="C50" s="222" t="str">
        <f t="shared" si="22"/>
        <v>ANpp_13-33_2001_a</v>
      </c>
      <c r="D50" s="224">
        <v>8.0180000000000007</v>
      </c>
      <c r="E50" s="222">
        <f t="shared" si="33"/>
        <v>3</v>
      </c>
      <c r="F50" s="222" t="s">
        <v>382</v>
      </c>
      <c r="G50" s="222" t="str">
        <f t="shared" si="21"/>
        <v/>
      </c>
      <c r="H50" s="223">
        <f>VLOOKUP($A50,'2001_Inc_01.12.20'!$A$18:$Z$41,9,FALSE)</f>
        <v>44165.4375</v>
      </c>
      <c r="I50" s="222">
        <f t="shared" si="3"/>
        <v>2020</v>
      </c>
      <c r="J50" s="222">
        <f t="shared" si="28"/>
        <v>11</v>
      </c>
      <c r="K50" s="224">
        <f t="shared" si="29"/>
        <v>30.4375</v>
      </c>
      <c r="L50" s="223">
        <f>VLOOKUP($A50,'2001_Inc_04.12.20'!$A$18:$Z$41,2,FALSE)</f>
        <v>44169.479166666664</v>
      </c>
      <c r="M50" s="222">
        <f t="shared" si="6"/>
        <v>2020</v>
      </c>
      <c r="N50" s="222">
        <f t="shared" si="30"/>
        <v>12</v>
      </c>
      <c r="O50" s="224">
        <f t="shared" si="31"/>
        <v>4.4791666666642413</v>
      </c>
      <c r="P50" s="224">
        <f t="shared" si="32"/>
        <v>4.0416666666642413</v>
      </c>
      <c r="Q50" s="225">
        <f>IFERROR(VLOOKUP($A50,'2001_Inc_04.12.20'!$A$18:$Z$41,14,FALSE),"")</f>
        <v>2.2826906237217037</v>
      </c>
    </row>
    <row r="51" spans="1:17">
      <c r="A51" s="221" t="s">
        <v>297</v>
      </c>
      <c r="B51" s="222" t="str">
        <f t="shared" si="0"/>
        <v>ANpp</v>
      </c>
      <c r="C51" s="222" t="str">
        <f t="shared" si="22"/>
        <v>ANpp_13-33_2001_b</v>
      </c>
      <c r="D51" s="224">
        <v>8.0079999999999991</v>
      </c>
      <c r="E51" s="222">
        <f t="shared" si="33"/>
        <v>3</v>
      </c>
      <c r="F51" s="222" t="s">
        <v>382</v>
      </c>
      <c r="G51" s="222" t="str">
        <f t="shared" si="21"/>
        <v/>
      </c>
      <c r="H51" s="223">
        <f>VLOOKUP($A51,'2001_Inc_01.12.20'!$A$18:$Z$41,9,FALSE)</f>
        <v>44165.4375</v>
      </c>
      <c r="I51" s="222">
        <f t="shared" si="3"/>
        <v>2020</v>
      </c>
      <c r="J51" s="222">
        <f t="shared" si="28"/>
        <v>11</v>
      </c>
      <c r="K51" s="224">
        <f t="shared" si="29"/>
        <v>30.4375</v>
      </c>
      <c r="L51" s="223">
        <f>VLOOKUP($A51,'2001_Inc_04.12.20'!$A$18:$Z$41,2,FALSE)</f>
        <v>44169.479166666664</v>
      </c>
      <c r="M51" s="222">
        <f t="shared" si="6"/>
        <v>2020</v>
      </c>
      <c r="N51" s="222">
        <f t="shared" si="30"/>
        <v>12</v>
      </c>
      <c r="O51" s="224">
        <f t="shared" si="31"/>
        <v>4.4791666666642413</v>
      </c>
      <c r="P51" s="224">
        <f t="shared" si="32"/>
        <v>4.0416666666642413</v>
      </c>
      <c r="Q51" s="225">
        <f>IFERROR(VLOOKUP($A51,'2001_Inc_04.12.20'!$A$18:$Z$41,14,FALSE),"")</f>
        <v>2.0421690377198272</v>
      </c>
    </row>
    <row r="52" spans="1:17">
      <c r="A52" s="221" t="s">
        <v>298</v>
      </c>
      <c r="B52" s="222" t="str">
        <f t="shared" si="0"/>
        <v>BSrf</v>
      </c>
      <c r="C52" s="222" t="str">
        <f t="shared" si="22"/>
        <v>BSrf_0-8_2001_a</v>
      </c>
      <c r="D52" s="224">
        <v>8.0860000000000003</v>
      </c>
      <c r="E52" s="222">
        <f t="shared" si="33"/>
        <v>3</v>
      </c>
      <c r="F52" s="222" t="s">
        <v>382</v>
      </c>
      <c r="G52" s="222" t="str">
        <f t="shared" si="21"/>
        <v/>
      </c>
      <c r="H52" s="223">
        <f>VLOOKUP($A52,'2001_Inc_01.12.20'!$A$18:$Z$41,9,FALSE)</f>
        <v>44165.4375</v>
      </c>
      <c r="I52" s="222">
        <f t="shared" si="3"/>
        <v>2020</v>
      </c>
      <c r="J52" s="222">
        <f t="shared" si="28"/>
        <v>11</v>
      </c>
      <c r="K52" s="224">
        <f t="shared" si="29"/>
        <v>30.4375</v>
      </c>
      <c r="L52" s="223">
        <f>VLOOKUP($A52,'2001_Inc_04.12.20'!$A$18:$Z$41,2,FALSE)</f>
        <v>44169.479166666664</v>
      </c>
      <c r="M52" s="222">
        <f t="shared" si="6"/>
        <v>2020</v>
      </c>
      <c r="N52" s="222">
        <f t="shared" si="30"/>
        <v>12</v>
      </c>
      <c r="O52" s="224">
        <f t="shared" si="31"/>
        <v>4.4791666666642413</v>
      </c>
      <c r="P52" s="224">
        <f t="shared" si="32"/>
        <v>4.0416666666642413</v>
      </c>
      <c r="Q52" s="225">
        <f>IFERROR(VLOOKUP($A52,'2001_Inc_04.12.20'!$A$18:$Z$41,14,FALSE),"")</f>
        <v>13.559704748409983</v>
      </c>
    </row>
    <row r="53" spans="1:17">
      <c r="A53" s="221" t="s">
        <v>299</v>
      </c>
      <c r="B53" s="222" t="str">
        <f t="shared" si="0"/>
        <v>BSrf</v>
      </c>
      <c r="C53" s="222" t="str">
        <f t="shared" si="22"/>
        <v>BSrf_0-8_2001_b</v>
      </c>
      <c r="D53" s="224">
        <v>8.0169999999999995</v>
      </c>
      <c r="E53" s="222">
        <f t="shared" si="33"/>
        <v>3</v>
      </c>
      <c r="F53" s="222" t="s">
        <v>382</v>
      </c>
      <c r="G53" s="222" t="str">
        <f t="shared" si="21"/>
        <v/>
      </c>
      <c r="H53" s="223">
        <f>VLOOKUP($A53,'2001_Inc_01.12.20'!$A$18:$Z$41,9,FALSE)</f>
        <v>44165.4375</v>
      </c>
      <c r="I53" s="222">
        <f t="shared" si="3"/>
        <v>2020</v>
      </c>
      <c r="J53" s="222">
        <f t="shared" si="28"/>
        <v>11</v>
      </c>
      <c r="K53" s="224">
        <f t="shared" si="29"/>
        <v>30.4375</v>
      </c>
      <c r="L53" s="223">
        <f>VLOOKUP($A53,'2001_Inc_04.12.20'!$A$18:$Z$41,2,FALSE)</f>
        <v>44169.479166666664</v>
      </c>
      <c r="M53" s="222">
        <f t="shared" si="6"/>
        <v>2020</v>
      </c>
      <c r="N53" s="222">
        <f t="shared" si="30"/>
        <v>12</v>
      </c>
      <c r="O53" s="224">
        <f t="shared" si="31"/>
        <v>4.4791666666642413</v>
      </c>
      <c r="P53" s="224">
        <f t="shared" si="32"/>
        <v>4.0416666666642413</v>
      </c>
      <c r="Q53" s="225">
        <f>IFERROR(VLOOKUP($A53,'2001_Inc_04.12.20'!$A$18:$Z$41,14,FALSE),"")</f>
        <v>9.2183096984127051</v>
      </c>
    </row>
    <row r="54" spans="1:17">
      <c r="A54" s="221" t="s">
        <v>300</v>
      </c>
      <c r="B54" s="222" t="str">
        <f t="shared" si="0"/>
        <v>BSrf</v>
      </c>
      <c r="C54" s="222" t="str">
        <f t="shared" si="22"/>
        <v>BSrf_8-15_2001_a</v>
      </c>
      <c r="D54" s="224">
        <v>8.0619999999999994</v>
      </c>
      <c r="E54" s="222">
        <f t="shared" si="33"/>
        <v>3</v>
      </c>
      <c r="F54" s="222" t="s">
        <v>382</v>
      </c>
      <c r="G54" s="222" t="str">
        <f t="shared" si="21"/>
        <v/>
      </c>
      <c r="H54" s="223">
        <f>VLOOKUP($A54,'2001_Inc_01.12.20'!$A$18:$Z$41,9,FALSE)</f>
        <v>44165.4375</v>
      </c>
      <c r="I54" s="222">
        <f t="shared" si="3"/>
        <v>2020</v>
      </c>
      <c r="J54" s="222">
        <f t="shared" si="28"/>
        <v>11</v>
      </c>
      <c r="K54" s="224">
        <f t="shared" si="29"/>
        <v>30.4375</v>
      </c>
      <c r="L54" s="223">
        <f>VLOOKUP($A54,'2001_Inc_04.12.20'!$A$18:$Z$41,2,FALSE)</f>
        <v>44169.479166666664</v>
      </c>
      <c r="M54" s="222">
        <f t="shared" si="6"/>
        <v>2020</v>
      </c>
      <c r="N54" s="222">
        <f t="shared" si="30"/>
        <v>12</v>
      </c>
      <c r="O54" s="224">
        <f t="shared" si="31"/>
        <v>4.4791666666642413</v>
      </c>
      <c r="P54" s="224">
        <f t="shared" si="32"/>
        <v>4.0416666666642413</v>
      </c>
      <c r="Q54" s="225">
        <f>IFERROR(VLOOKUP($A54,'2001_Inc_04.12.20'!$A$18:$Z$41,14,FALSE),"")</f>
        <v>4.0022055430557684</v>
      </c>
    </row>
    <row r="55" spans="1:17">
      <c r="A55" s="221" t="s">
        <v>301</v>
      </c>
      <c r="B55" s="222" t="str">
        <f t="shared" si="0"/>
        <v>BSrf</v>
      </c>
      <c r="C55" s="222" t="str">
        <f t="shared" si="22"/>
        <v>BSrf_8-15_2001_b</v>
      </c>
      <c r="D55" s="224">
        <v>8.0229999999999997</v>
      </c>
      <c r="E55" s="222">
        <f t="shared" si="33"/>
        <v>3</v>
      </c>
      <c r="F55" s="222" t="s">
        <v>382</v>
      </c>
      <c r="G55" s="222" t="str">
        <f t="shared" si="21"/>
        <v/>
      </c>
      <c r="H55" s="223">
        <f>VLOOKUP($A55,'2001_Inc_01.12.20'!$A$18:$Z$41,9,FALSE)</f>
        <v>44165.4375</v>
      </c>
      <c r="I55" s="222">
        <f t="shared" si="3"/>
        <v>2020</v>
      </c>
      <c r="J55" s="222">
        <f t="shared" si="28"/>
        <v>11</v>
      </c>
      <c r="K55" s="224">
        <f t="shared" si="29"/>
        <v>30.4375</v>
      </c>
      <c r="L55" s="223">
        <f>VLOOKUP($A55,'2001_Inc_04.12.20'!$A$18:$Z$41,2,FALSE)</f>
        <v>44169.479166666664</v>
      </c>
      <c r="M55" s="222">
        <f t="shared" si="6"/>
        <v>2020</v>
      </c>
      <c r="N55" s="222">
        <f t="shared" si="30"/>
        <v>12</v>
      </c>
      <c r="O55" s="224">
        <f t="shared" si="31"/>
        <v>4.4791666666642413</v>
      </c>
      <c r="P55" s="224">
        <f t="shared" si="32"/>
        <v>4.0416666666642413</v>
      </c>
      <c r="Q55" s="225">
        <f>IFERROR(VLOOKUP($A55,'2001_Inc_04.12.20'!$A$18:$Z$41,14,FALSE),"")</f>
        <v>2.1789831627027589</v>
      </c>
    </row>
    <row r="56" spans="1:17">
      <c r="A56" s="221" t="s">
        <v>302</v>
      </c>
      <c r="B56" s="222" t="str">
        <f t="shared" si="0"/>
        <v>BSrf</v>
      </c>
      <c r="C56" s="222" t="str">
        <f t="shared" si="22"/>
        <v>BSrf_15-30_2001_a</v>
      </c>
      <c r="D56" s="224">
        <v>8.0549999999999997</v>
      </c>
      <c r="E56" s="222">
        <f t="shared" si="33"/>
        <v>3</v>
      </c>
      <c r="F56" s="222" t="s">
        <v>382</v>
      </c>
      <c r="G56" s="222" t="str">
        <f t="shared" si="21"/>
        <v/>
      </c>
      <c r="H56" s="223">
        <f>VLOOKUP($A56,'2001_Inc_01.12.20'!$A$18:$Z$41,9,FALSE)</f>
        <v>44165.4375</v>
      </c>
      <c r="I56" s="222">
        <f t="shared" si="3"/>
        <v>2020</v>
      </c>
      <c r="J56" s="222">
        <f t="shared" si="28"/>
        <v>11</v>
      </c>
      <c r="K56" s="224">
        <f t="shared" si="29"/>
        <v>30.4375</v>
      </c>
      <c r="L56" s="223">
        <f>VLOOKUP($A56,'2001_Inc_04.12.20'!$A$18:$Z$41,2,FALSE)</f>
        <v>44169.479166666664</v>
      </c>
      <c r="M56" s="222">
        <f t="shared" si="6"/>
        <v>2020</v>
      </c>
      <c r="N56" s="222">
        <f t="shared" si="30"/>
        <v>12</v>
      </c>
      <c r="O56" s="224">
        <f t="shared" si="31"/>
        <v>4.4791666666642413</v>
      </c>
      <c r="P56" s="224">
        <f t="shared" si="32"/>
        <v>4.0416666666642413</v>
      </c>
      <c r="Q56" s="225">
        <f>IFERROR(VLOOKUP($A56,'2001_Inc_04.12.20'!$A$18:$Z$41,14,FALSE),"")</f>
        <v>3.0221923711493877</v>
      </c>
    </row>
    <row r="57" spans="1:17">
      <c r="A57" s="221" t="s">
        <v>303</v>
      </c>
      <c r="B57" s="222" t="str">
        <f t="shared" si="0"/>
        <v>BSrf</v>
      </c>
      <c r="C57" s="222" t="str">
        <f t="shared" si="22"/>
        <v>BSrf_15-30_2001_b</v>
      </c>
      <c r="D57" s="224">
        <v>8.0020000000000007</v>
      </c>
      <c r="E57" s="222">
        <f t="shared" si="33"/>
        <v>3</v>
      </c>
      <c r="F57" s="222" t="s">
        <v>382</v>
      </c>
      <c r="G57" s="222" t="str">
        <f t="shared" si="21"/>
        <v/>
      </c>
      <c r="H57" s="223">
        <f>VLOOKUP($A57,'2001_Inc_01.12.20'!$A$18:$Z$41,9,FALSE)</f>
        <v>44165.4375</v>
      </c>
      <c r="I57" s="222">
        <f t="shared" si="3"/>
        <v>2020</v>
      </c>
      <c r="J57" s="222">
        <f t="shared" si="28"/>
        <v>11</v>
      </c>
      <c r="K57" s="224">
        <f t="shared" si="29"/>
        <v>30.4375</v>
      </c>
      <c r="L57" s="223">
        <f>VLOOKUP($A57,'2001_Inc_04.12.20'!$A$18:$Z$41,2,FALSE)</f>
        <v>44169.479166666664</v>
      </c>
      <c r="M57" s="222">
        <f t="shared" si="6"/>
        <v>2020</v>
      </c>
      <c r="N57" s="222">
        <f t="shared" si="30"/>
        <v>12</v>
      </c>
      <c r="O57" s="224">
        <f t="shared" si="31"/>
        <v>4.4791666666642413</v>
      </c>
      <c r="P57" s="224">
        <f t="shared" si="32"/>
        <v>4.0416666666642413</v>
      </c>
      <c r="Q57" s="225">
        <f>IFERROR(VLOOKUP($A57,'2001_Inc_04.12.20'!$A$18:$Z$41,14,FALSE),"")</f>
        <v>3.1813367428008141</v>
      </c>
    </row>
    <row r="58" spans="1:17">
      <c r="A58" s="221" t="s">
        <v>304</v>
      </c>
      <c r="B58" s="222" t="str">
        <f t="shared" si="0"/>
        <v>BSwf</v>
      </c>
      <c r="C58" s="222" t="str">
        <f t="shared" si="22"/>
        <v>BSwf_0-10_2001_a</v>
      </c>
      <c r="D58" s="224">
        <v>8.1020000000000003</v>
      </c>
      <c r="E58" s="222">
        <f t="shared" si="33"/>
        <v>3</v>
      </c>
      <c r="F58" s="222" t="s">
        <v>382</v>
      </c>
      <c r="G58" s="222" t="str">
        <f t="shared" si="21"/>
        <v/>
      </c>
      <c r="H58" s="223">
        <f>VLOOKUP($A58,'2001_Inc_01.12.20'!$A$18:$Z$41,9,FALSE)</f>
        <v>44165.4375</v>
      </c>
      <c r="I58" s="222">
        <f t="shared" si="3"/>
        <v>2020</v>
      </c>
      <c r="J58" s="222">
        <f t="shared" si="28"/>
        <v>11</v>
      </c>
      <c r="K58" s="224">
        <f t="shared" si="29"/>
        <v>30.4375</v>
      </c>
      <c r="L58" s="223">
        <f>VLOOKUP($A58,'2001_Inc_04.12.20'!$A$18:$Z$41,2,FALSE)</f>
        <v>44169.479166666664</v>
      </c>
      <c r="M58" s="222">
        <f t="shared" si="6"/>
        <v>2020</v>
      </c>
      <c r="N58" s="222">
        <f t="shared" si="30"/>
        <v>12</v>
      </c>
      <c r="O58" s="224">
        <f t="shared" si="31"/>
        <v>4.4791666666642413</v>
      </c>
      <c r="P58" s="224">
        <f t="shared" si="32"/>
        <v>4.0416666666642413</v>
      </c>
      <c r="Q58" s="225">
        <f>IFERROR(VLOOKUP($A58,'2001_Inc_04.12.20'!$A$18:$Z$41,14,FALSE),"")</f>
        <v>9.6671579450819163</v>
      </c>
    </row>
    <row r="59" spans="1:17">
      <c r="A59" s="221" t="s">
        <v>305</v>
      </c>
      <c r="B59" s="222" t="str">
        <f t="shared" si="0"/>
        <v>BSwf</v>
      </c>
      <c r="C59" s="222" t="str">
        <f t="shared" si="22"/>
        <v>BSwf_0-10_2001_b</v>
      </c>
      <c r="D59" s="224">
        <v>7.9859999999999998</v>
      </c>
      <c r="E59" s="222">
        <f t="shared" si="33"/>
        <v>3</v>
      </c>
      <c r="F59" s="222" t="s">
        <v>382</v>
      </c>
      <c r="G59" s="222" t="str">
        <f t="shared" si="21"/>
        <v/>
      </c>
      <c r="H59" s="223">
        <f>VLOOKUP($A59,'2001_Inc_01.12.20'!$A$18:$Z$41,9,FALSE)</f>
        <v>44165.4375</v>
      </c>
      <c r="I59" s="222">
        <f t="shared" si="3"/>
        <v>2020</v>
      </c>
      <c r="J59" s="222">
        <f t="shared" si="28"/>
        <v>11</v>
      </c>
      <c r="K59" s="224">
        <f t="shared" si="29"/>
        <v>30.4375</v>
      </c>
      <c r="L59" s="223">
        <f>VLOOKUP($A59,'2001_Inc_04.12.20'!$A$18:$Z$41,2,FALSE)</f>
        <v>44169.479166666664</v>
      </c>
      <c r="M59" s="222">
        <f t="shared" si="6"/>
        <v>2020</v>
      </c>
      <c r="N59" s="222">
        <f t="shared" si="30"/>
        <v>12</v>
      </c>
      <c r="O59" s="224">
        <f t="shared" si="31"/>
        <v>4.4791666666642413</v>
      </c>
      <c r="P59" s="224">
        <f t="shared" si="32"/>
        <v>4.0416666666642413</v>
      </c>
      <c r="Q59" s="225">
        <f>IFERROR(VLOOKUP($A59,'2001_Inc_04.12.20'!$A$18:$Z$41,14,FALSE),"")</f>
        <v>7.1092259582321384</v>
      </c>
    </row>
    <row r="60" spans="1:17">
      <c r="A60" s="221" t="s">
        <v>306</v>
      </c>
      <c r="B60" s="222" t="str">
        <f t="shared" si="0"/>
        <v>BSwf</v>
      </c>
      <c r="C60" s="222" t="str">
        <f t="shared" si="22"/>
        <v>BSwf_10-19_2001_a</v>
      </c>
      <c r="D60" s="224">
        <v>8.0489999999999995</v>
      </c>
      <c r="E60" s="222">
        <f t="shared" si="33"/>
        <v>3</v>
      </c>
      <c r="F60" s="222" t="s">
        <v>382</v>
      </c>
      <c r="G60" s="222" t="str">
        <f t="shared" si="21"/>
        <v/>
      </c>
      <c r="H60" s="223">
        <f>VLOOKUP($A60,'2001_Inc_01.12.20'!$A$18:$Z$41,9,FALSE)</f>
        <v>44165.4375</v>
      </c>
      <c r="I60" s="222">
        <f t="shared" si="3"/>
        <v>2020</v>
      </c>
      <c r="J60" s="222">
        <f t="shared" si="28"/>
        <v>11</v>
      </c>
      <c r="K60" s="224">
        <f t="shared" si="29"/>
        <v>30.4375</v>
      </c>
      <c r="L60" s="223">
        <f>VLOOKUP($A60,'2001_Inc_04.12.20'!$A$18:$Z$41,2,FALSE)</f>
        <v>44169.479166666664</v>
      </c>
      <c r="M60" s="222">
        <f t="shared" si="6"/>
        <v>2020</v>
      </c>
      <c r="N60" s="222">
        <f t="shared" si="30"/>
        <v>12</v>
      </c>
      <c r="O60" s="224">
        <f t="shared" si="31"/>
        <v>4.4791666666642413</v>
      </c>
      <c r="P60" s="224">
        <f t="shared" si="32"/>
        <v>4.0416666666642413</v>
      </c>
      <c r="Q60" s="225">
        <f>IFERROR(VLOOKUP($A60,'2001_Inc_04.12.20'!$A$18:$Z$41,14,FALSE),"")</f>
        <v>4.8454040468414972</v>
      </c>
    </row>
    <row r="61" spans="1:17">
      <c r="A61" s="221" t="s">
        <v>307</v>
      </c>
      <c r="B61" s="222" t="str">
        <f t="shared" si="0"/>
        <v>BSwf</v>
      </c>
      <c r="C61" s="222" t="str">
        <f t="shared" si="22"/>
        <v>BSwf_10-19_2001_b</v>
      </c>
      <c r="D61" s="224">
        <v>8.0150000000000006</v>
      </c>
      <c r="E61" s="222">
        <f t="shared" si="33"/>
        <v>3</v>
      </c>
      <c r="F61" s="222" t="s">
        <v>382</v>
      </c>
      <c r="G61" s="222" t="str">
        <f t="shared" si="21"/>
        <v/>
      </c>
      <c r="H61" s="223">
        <f>VLOOKUP($A61,'2001_Inc_01.12.20'!$A$18:$Z$41,9,FALSE)</f>
        <v>44165.4375</v>
      </c>
      <c r="I61" s="222">
        <f t="shared" si="3"/>
        <v>2020</v>
      </c>
      <c r="J61" s="222">
        <f t="shared" si="28"/>
        <v>11</v>
      </c>
      <c r="K61" s="224">
        <f t="shared" si="29"/>
        <v>30.4375</v>
      </c>
      <c r="L61" s="223">
        <f>VLOOKUP($A61,'2001_Inc_04.12.20'!$A$18:$Z$41,2,FALSE)</f>
        <v>44169.479166666664</v>
      </c>
      <c r="M61" s="222">
        <f t="shared" si="6"/>
        <v>2020</v>
      </c>
      <c r="N61" s="222">
        <f t="shared" si="30"/>
        <v>12</v>
      </c>
      <c r="O61" s="224">
        <f t="shared" si="31"/>
        <v>4.4791666666642413</v>
      </c>
      <c r="P61" s="224">
        <f t="shared" si="32"/>
        <v>4.0416666666642413</v>
      </c>
      <c r="Q61" s="225">
        <f>IFERROR(VLOOKUP($A61,'2001_Inc_04.12.20'!$A$18:$Z$41,14,FALSE),"")</f>
        <v>4.2772649968745338</v>
      </c>
    </row>
    <row r="62" spans="1:17">
      <c r="A62" s="221" t="s">
        <v>308</v>
      </c>
      <c r="B62" s="222" t="str">
        <f t="shared" si="0"/>
        <v>BSpp</v>
      </c>
      <c r="C62" s="222" t="str">
        <f t="shared" si="22"/>
        <v>BSpp_0-7_2001_a</v>
      </c>
      <c r="D62" s="224">
        <v>8.1419999999999995</v>
      </c>
      <c r="E62" s="222">
        <f t="shared" si="33"/>
        <v>3</v>
      </c>
      <c r="F62" s="222" t="s">
        <v>382</v>
      </c>
      <c r="G62" s="222" t="str">
        <f t="shared" si="21"/>
        <v/>
      </c>
      <c r="H62" s="223">
        <f>VLOOKUP($A62,'2001_Inc_01.12.20'!$A$18:$Z$41,9,FALSE)</f>
        <v>44165.4375</v>
      </c>
      <c r="I62" s="222">
        <f t="shared" si="3"/>
        <v>2020</v>
      </c>
      <c r="J62" s="222">
        <f t="shared" si="28"/>
        <v>11</v>
      </c>
      <c r="K62" s="224">
        <f t="shared" si="29"/>
        <v>30.4375</v>
      </c>
      <c r="L62" s="223">
        <f>VLOOKUP($A62,'2001_Inc_04.12.20'!$A$18:$Z$41,2,FALSE)</f>
        <v>44169.479166666664</v>
      </c>
      <c r="M62" s="222">
        <f t="shared" si="6"/>
        <v>2020</v>
      </c>
      <c r="N62" s="222">
        <f t="shared" si="30"/>
        <v>12</v>
      </c>
      <c r="O62" s="224">
        <f t="shared" si="31"/>
        <v>4.4791666666642413</v>
      </c>
      <c r="P62" s="224">
        <f t="shared" si="32"/>
        <v>4.0416666666642413</v>
      </c>
      <c r="Q62" s="225">
        <f>IFERROR(VLOOKUP($A62,'2001_Inc_04.12.20'!$A$18:$Z$41,14,FALSE),"")</f>
        <v>7.0971542231792206</v>
      </c>
    </row>
    <row r="63" spans="1:17">
      <c r="A63" s="221" t="s">
        <v>309</v>
      </c>
      <c r="B63" s="222" t="str">
        <f t="shared" si="0"/>
        <v>BSpp</v>
      </c>
      <c r="C63" s="222" t="str">
        <f t="shared" si="22"/>
        <v>BSpp_0-7_2001_b</v>
      </c>
      <c r="D63" s="224">
        <v>8.0820000000000007</v>
      </c>
      <c r="E63" s="222">
        <f t="shared" si="33"/>
        <v>3</v>
      </c>
      <c r="F63" s="222" t="s">
        <v>382</v>
      </c>
      <c r="G63" s="222" t="str">
        <f t="shared" si="21"/>
        <v/>
      </c>
      <c r="H63" s="223">
        <f>VLOOKUP($A63,'2001_Inc_01.12.20'!$A$18:$Z$41,9,FALSE)</f>
        <v>44165.4375</v>
      </c>
      <c r="I63" s="222">
        <f t="shared" si="3"/>
        <v>2020</v>
      </c>
      <c r="J63" s="222">
        <f t="shared" si="28"/>
        <v>11</v>
      </c>
      <c r="K63" s="224">
        <f t="shared" si="29"/>
        <v>30.4375</v>
      </c>
      <c r="L63" s="223">
        <f>VLOOKUP($A63,'2001_Inc_04.12.20'!$A$18:$Z$41,2,FALSE)</f>
        <v>44169.479166666664</v>
      </c>
      <c r="M63" s="222">
        <f t="shared" si="6"/>
        <v>2020</v>
      </c>
      <c r="N63" s="222">
        <f t="shared" si="30"/>
        <v>12</v>
      </c>
      <c r="O63" s="224">
        <f t="shared" si="31"/>
        <v>4.4791666666642413</v>
      </c>
      <c r="P63" s="224">
        <f t="shared" si="32"/>
        <v>4.0416666666642413</v>
      </c>
      <c r="Q63" s="225">
        <f>IFERROR(VLOOKUP($A63,'2001_Inc_04.12.20'!$A$18:$Z$41,14,FALSE),"")</f>
        <v>10.405939865311375</v>
      </c>
    </row>
    <row r="64" spans="1:17">
      <c r="A64" s="221" t="s">
        <v>310</v>
      </c>
      <c r="B64" s="222" t="str">
        <f t="shared" si="0"/>
        <v>BSpp</v>
      </c>
      <c r="C64" s="222" t="str">
        <f t="shared" si="22"/>
        <v>BSpp_7-18_2001_a</v>
      </c>
      <c r="D64" s="224">
        <v>7.992</v>
      </c>
      <c r="E64" s="222">
        <f t="shared" si="33"/>
        <v>3</v>
      </c>
      <c r="F64" s="222" t="s">
        <v>382</v>
      </c>
      <c r="G64" s="222" t="str">
        <f t="shared" si="21"/>
        <v/>
      </c>
      <c r="H64" s="223">
        <f>VLOOKUP($A64,'2001_Inc_01.12.20'!$A$18:$Z$41,9,FALSE)</f>
        <v>44165.4375</v>
      </c>
      <c r="I64" s="222">
        <f t="shared" si="3"/>
        <v>2020</v>
      </c>
      <c r="J64" s="222">
        <f t="shared" si="28"/>
        <v>11</v>
      </c>
      <c r="K64" s="224">
        <f t="shared" si="29"/>
        <v>30.4375</v>
      </c>
      <c r="L64" s="223">
        <f>VLOOKUP($A64,'2001_Inc_04.12.20'!$A$18:$Z$41,2,FALSE)</f>
        <v>44169.479166666664</v>
      </c>
      <c r="M64" s="222">
        <f t="shared" si="6"/>
        <v>2020</v>
      </c>
      <c r="N64" s="222">
        <f t="shared" si="30"/>
        <v>12</v>
      </c>
      <c r="O64" s="224">
        <f t="shared" si="31"/>
        <v>4.4791666666642413</v>
      </c>
      <c r="P64" s="224">
        <f t="shared" si="32"/>
        <v>4.0416666666642413</v>
      </c>
      <c r="Q64" s="225">
        <f>IFERROR(VLOOKUP($A64,'2001_Inc_04.12.20'!$A$18:$Z$41,14,FALSE),"")</f>
        <v>3.8851909779176492</v>
      </c>
    </row>
    <row r="65" spans="1:17">
      <c r="A65" s="221" t="s">
        <v>311</v>
      </c>
      <c r="B65" s="222" t="str">
        <f t="shared" si="0"/>
        <v>BSpp</v>
      </c>
      <c r="C65" s="222" t="str">
        <f t="shared" si="22"/>
        <v>BSpp_7-18_2001_b</v>
      </c>
      <c r="D65" s="224">
        <v>8.06</v>
      </c>
      <c r="E65" s="222">
        <f t="shared" si="33"/>
        <v>3</v>
      </c>
      <c r="F65" s="222" t="s">
        <v>382</v>
      </c>
      <c r="G65" s="222" t="str">
        <f t="shared" si="21"/>
        <v/>
      </c>
      <c r="H65" s="223">
        <f>VLOOKUP($A65,'2001_Inc_01.12.20'!$A$18:$Z$41,9,FALSE)</f>
        <v>44165.4375</v>
      </c>
      <c r="I65" s="222">
        <f t="shared" si="3"/>
        <v>2020</v>
      </c>
      <c r="J65" s="222">
        <f t="shared" si="28"/>
        <v>11</v>
      </c>
      <c r="K65" s="224">
        <f t="shared" si="29"/>
        <v>30.4375</v>
      </c>
      <c r="L65" s="223">
        <f>VLOOKUP($A65,'2001_Inc_04.12.20'!$A$18:$Z$41,2,FALSE)</f>
        <v>44169.479166666664</v>
      </c>
      <c r="M65" s="222">
        <f t="shared" si="6"/>
        <v>2020</v>
      </c>
      <c r="N65" s="222">
        <f t="shared" si="30"/>
        <v>12</v>
      </c>
      <c r="O65" s="224">
        <f t="shared" si="31"/>
        <v>4.4791666666642413</v>
      </c>
      <c r="P65" s="224">
        <f t="shared" si="32"/>
        <v>4.0416666666642413</v>
      </c>
      <c r="Q65" s="225">
        <f>IFERROR(VLOOKUP($A65,'2001_Inc_04.12.20'!$A$18:$Z$41,14,FALSE),"")</f>
        <v>5.0290440064413611</v>
      </c>
    </row>
    <row r="66" spans="1:17">
      <c r="A66" s="221" t="s">
        <v>312</v>
      </c>
      <c r="B66" s="222" t="str">
        <f t="shared" ref="B66:B129" si="34">IF(AND(RIGHT(LEFT(A66,2),1)="_",RIGHT(LEFT(A66,4),1)="_"),RIGHT(LEFT(A66,8),4),IF(AND(RIGHT(LEFT(A66,3),1)="_",RIGHT(LEFT(A66,5),1)="_"),RIGHT(LEFT(A66,9),4),RIGHT(LEFT(A66,10),4)))</f>
        <v>BSpp</v>
      </c>
      <c r="C66" s="222" t="str">
        <f t="shared" si="22"/>
        <v>BSpp_18-28_2001_a</v>
      </c>
      <c r="D66" s="224">
        <v>7.9939999999999998</v>
      </c>
      <c r="E66" s="222">
        <f t="shared" si="33"/>
        <v>3</v>
      </c>
      <c r="F66" s="222" t="s">
        <v>382</v>
      </c>
      <c r="G66" s="222" t="str">
        <f t="shared" ref="G66:G97" si="35">IF(AND(E66&lt;&gt;E65,L66=L65),"fix meas date","")</f>
        <v/>
      </c>
      <c r="H66" s="223">
        <f>VLOOKUP($A66,'2001_Inc_01.12.20'!$A$18:$Z$41,9,FALSE)</f>
        <v>44165.4375</v>
      </c>
      <c r="I66" s="222">
        <f t="shared" si="3"/>
        <v>2020</v>
      </c>
      <c r="J66" s="222">
        <f t="shared" si="28"/>
        <v>11</v>
      </c>
      <c r="K66" s="224">
        <f t="shared" si="29"/>
        <v>30.4375</v>
      </c>
      <c r="L66" s="223">
        <f>VLOOKUP($A66,'2001_Inc_04.12.20'!$A$18:$Z$41,2,FALSE)</f>
        <v>44169.479166666664</v>
      </c>
      <c r="M66" s="222">
        <f t="shared" si="6"/>
        <v>2020</v>
      </c>
      <c r="N66" s="222">
        <f t="shared" si="30"/>
        <v>12</v>
      </c>
      <c r="O66" s="224">
        <f t="shared" si="31"/>
        <v>4.4791666666642413</v>
      </c>
      <c r="P66" s="224">
        <f t="shared" si="32"/>
        <v>4.0416666666642413</v>
      </c>
      <c r="Q66" s="225">
        <f>IFERROR(VLOOKUP($A66,'2001_Inc_04.12.20'!$A$18:$Z$41,14,FALSE),"")</f>
        <v>1.418577755816665</v>
      </c>
    </row>
    <row r="67" spans="1:17">
      <c r="A67" s="231" t="s">
        <v>313</v>
      </c>
      <c r="B67" s="232" t="str">
        <f t="shared" si="34"/>
        <v>BSpp</v>
      </c>
      <c r="C67" s="232" t="str">
        <f t="shared" si="22"/>
        <v>BSpp_18-28_2001_b</v>
      </c>
      <c r="D67" s="234">
        <v>8.0060000000000002</v>
      </c>
      <c r="E67" s="232">
        <f t="shared" si="33"/>
        <v>3</v>
      </c>
      <c r="F67" s="232" t="s">
        <v>382</v>
      </c>
      <c r="G67" s="232" t="str">
        <f t="shared" si="35"/>
        <v/>
      </c>
      <c r="H67" s="233">
        <f>VLOOKUP($A67,'2001_Inc_01.12.20'!$A$18:$Z$41,9,FALSE)</f>
        <v>44165.4375</v>
      </c>
      <c r="I67" s="232">
        <f t="shared" ref="I67:I130" si="36">YEAR(H67)</f>
        <v>2020</v>
      </c>
      <c r="J67" s="232">
        <f t="shared" si="28"/>
        <v>11</v>
      </c>
      <c r="K67" s="234">
        <f t="shared" si="29"/>
        <v>30.4375</v>
      </c>
      <c r="L67" s="233">
        <f>VLOOKUP($A67,'2001_Inc_04.12.20'!$A$18:$Z$41,2,FALSE)</f>
        <v>44169.479166666664</v>
      </c>
      <c r="M67" s="232">
        <f t="shared" ref="M67:M130" si="37">YEAR(L67)</f>
        <v>2020</v>
      </c>
      <c r="N67" s="232">
        <f t="shared" si="30"/>
        <v>12</v>
      </c>
      <c r="O67" s="234">
        <f t="shared" si="31"/>
        <v>4.4791666666642413</v>
      </c>
      <c r="P67" s="234">
        <f t="shared" si="32"/>
        <v>4.0416666666642413</v>
      </c>
      <c r="Q67" s="235">
        <f>IFERROR(VLOOKUP($A67,'2001_Inc_04.12.20'!$A$18:$Z$41,14,FALSE),"")</f>
        <v>1.6190069468229584</v>
      </c>
    </row>
    <row r="68" spans="1:17">
      <c r="A68" s="226" t="s">
        <v>292</v>
      </c>
      <c r="B68" s="227" t="str">
        <f t="shared" si="34"/>
        <v>ANpp</v>
      </c>
      <c r="C68" s="227" t="str">
        <f t="shared" ref="C68:C89" si="38">B68&amp;"_"&amp;IF(LEFT(RIGHT(A68,11),1)="_",RIGHT(A68,10),IF(LEFT(RIGHT(A68,12),1)="_",RIGHT(A68,11),RIGHT(A68,12)))</f>
        <v>ANpp_0-6_2001_a</v>
      </c>
      <c r="D68" s="229">
        <v>8.08</v>
      </c>
      <c r="E68" s="227">
        <v>4</v>
      </c>
      <c r="F68" s="227" t="s">
        <v>383</v>
      </c>
      <c r="G68" s="227" t="str">
        <f t="shared" si="35"/>
        <v/>
      </c>
      <c r="H68" s="228">
        <f>VLOOKUP($A68,'2001_Inc_01.12.20'!$A$18:$Z$41,9,FALSE)</f>
        <v>44165.4375</v>
      </c>
      <c r="I68" s="227">
        <f t="shared" si="36"/>
        <v>2020</v>
      </c>
      <c r="J68" s="227">
        <f t="shared" ref="J68" si="39">MONTH(H68)</f>
        <v>11</v>
      </c>
      <c r="K68" s="229">
        <f t="shared" ref="K68" si="40">DAY(H68)+H68-ROUNDDOWN(H68,0)</f>
        <v>30.4375</v>
      </c>
      <c r="L68" s="228">
        <f>VLOOKUP($A68,'2001_Inc_07.12.20'!$A$18:$Z$41,2,FALSE)</f>
        <v>44172.479166666664</v>
      </c>
      <c r="M68" s="227">
        <f t="shared" si="37"/>
        <v>2020</v>
      </c>
      <c r="N68" s="227">
        <f t="shared" ref="N68" si="41">MONTH(L68)</f>
        <v>12</v>
      </c>
      <c r="O68" s="229">
        <f t="shared" ref="O68" si="42">DAY(L68)+L68-ROUNDDOWN(L68,0)</f>
        <v>7.4791666666642413</v>
      </c>
      <c r="P68" s="229">
        <f t="shared" ref="P68" si="43">L68-H68</f>
        <v>7.0416666666642413</v>
      </c>
      <c r="Q68" s="230">
        <f>IFERROR(VLOOKUP($A68,'2001_Inc_07.12.20'!$A$18:$Z$41,14,FALSE),"")</f>
        <v>13.83095751185872</v>
      </c>
    </row>
    <row r="69" spans="1:17">
      <c r="A69" s="221" t="s">
        <v>293</v>
      </c>
      <c r="B69" s="222" t="str">
        <f t="shared" si="34"/>
        <v>ANpp</v>
      </c>
      <c r="C69" s="222" t="str">
        <f t="shared" si="38"/>
        <v>ANpp_0-6_2001_b</v>
      </c>
      <c r="D69" s="224">
        <v>8.0500000000000007</v>
      </c>
      <c r="E69" s="222">
        <f>E68</f>
        <v>4</v>
      </c>
      <c r="F69" s="222" t="s">
        <v>383</v>
      </c>
      <c r="G69" s="222" t="str">
        <f t="shared" si="35"/>
        <v/>
      </c>
      <c r="H69" s="223">
        <f>VLOOKUP($A69,'2001_Inc_01.12.20'!$A$18:$Z$41,9,FALSE)</f>
        <v>44165.4375</v>
      </c>
      <c r="I69" s="222">
        <f t="shared" si="36"/>
        <v>2020</v>
      </c>
      <c r="J69" s="222">
        <f t="shared" ref="J69:J89" si="44">MONTH(H69)</f>
        <v>11</v>
      </c>
      <c r="K69" s="224">
        <f t="shared" ref="K69:K89" si="45">DAY(H69)+H69-ROUNDDOWN(H69,0)</f>
        <v>30.4375</v>
      </c>
      <c r="L69" s="223">
        <f>VLOOKUP($A69,'2001_Inc_07.12.20'!$A$18:$Z$41,2,FALSE)</f>
        <v>44172.479166666664</v>
      </c>
      <c r="M69" s="222">
        <f t="shared" si="37"/>
        <v>2020</v>
      </c>
      <c r="N69" s="222">
        <f t="shared" ref="N69:N89" si="46">MONTH(L69)</f>
        <v>12</v>
      </c>
      <c r="O69" s="224">
        <f t="shared" ref="O69:O89" si="47">DAY(L69)+L69-ROUNDDOWN(L69,0)</f>
        <v>7.4791666666642413</v>
      </c>
      <c r="P69" s="224">
        <f t="shared" ref="P69:P89" si="48">L69-H69</f>
        <v>7.0416666666642413</v>
      </c>
      <c r="Q69" s="225">
        <f>IFERROR(VLOOKUP($A69,'2001_Inc_07.12.20'!$A$18:$Z$41,14,FALSE),"")</f>
        <v>7.7401290587195009</v>
      </c>
    </row>
    <row r="70" spans="1:17">
      <c r="A70" s="221" t="s">
        <v>294</v>
      </c>
      <c r="B70" s="222" t="str">
        <f t="shared" si="34"/>
        <v>ANpp</v>
      </c>
      <c r="C70" s="222" t="str">
        <f t="shared" si="38"/>
        <v>ANpp_6-13_2001_a</v>
      </c>
      <c r="D70" s="224">
        <v>7.97</v>
      </c>
      <c r="E70" s="222">
        <f t="shared" ref="E70:E89" si="49">E69</f>
        <v>4</v>
      </c>
      <c r="F70" s="222" t="s">
        <v>383</v>
      </c>
      <c r="G70" s="222" t="str">
        <f t="shared" si="35"/>
        <v/>
      </c>
      <c r="H70" s="223">
        <f>VLOOKUP($A70,'2001_Inc_01.12.20'!$A$18:$Z$41,9,FALSE)</f>
        <v>44165.4375</v>
      </c>
      <c r="I70" s="222">
        <f t="shared" si="36"/>
        <v>2020</v>
      </c>
      <c r="J70" s="222">
        <f t="shared" si="44"/>
        <v>11</v>
      </c>
      <c r="K70" s="224">
        <f t="shared" si="45"/>
        <v>30.4375</v>
      </c>
      <c r="L70" s="223">
        <f>VLOOKUP($A70,'2001_Inc_07.12.20'!$A$18:$Z$41,2,FALSE)</f>
        <v>44172.479166666664</v>
      </c>
      <c r="M70" s="222">
        <f t="shared" si="37"/>
        <v>2020</v>
      </c>
      <c r="N70" s="222">
        <f t="shared" si="46"/>
        <v>12</v>
      </c>
      <c r="O70" s="224">
        <f t="shared" si="47"/>
        <v>7.4791666666642413</v>
      </c>
      <c r="P70" s="224">
        <f t="shared" si="48"/>
        <v>7.0416666666642413</v>
      </c>
      <c r="Q70" s="225">
        <f>IFERROR(VLOOKUP($A70,'2001_Inc_07.12.20'!$A$18:$Z$41,14,FALSE),"")</f>
        <v>8.5595263492301612</v>
      </c>
    </row>
    <row r="71" spans="1:17">
      <c r="A71" s="221" t="s">
        <v>295</v>
      </c>
      <c r="B71" s="222" t="str">
        <f t="shared" si="34"/>
        <v>ANpp</v>
      </c>
      <c r="C71" s="222" t="str">
        <f t="shared" si="38"/>
        <v>ANpp_6-13_2001_b</v>
      </c>
      <c r="D71" s="224">
        <v>8.0280000000000005</v>
      </c>
      <c r="E71" s="222">
        <f t="shared" si="49"/>
        <v>4</v>
      </c>
      <c r="F71" s="222" t="s">
        <v>383</v>
      </c>
      <c r="G71" s="222" t="str">
        <f t="shared" si="35"/>
        <v/>
      </c>
      <c r="H71" s="223">
        <f>VLOOKUP($A71,'2001_Inc_01.12.20'!$A$18:$Z$41,9,FALSE)</f>
        <v>44165.4375</v>
      </c>
      <c r="I71" s="222">
        <f t="shared" si="36"/>
        <v>2020</v>
      </c>
      <c r="J71" s="222">
        <f t="shared" si="44"/>
        <v>11</v>
      </c>
      <c r="K71" s="224">
        <f t="shared" si="45"/>
        <v>30.4375</v>
      </c>
      <c r="L71" s="223">
        <f>VLOOKUP($A71,'2001_Inc_07.12.20'!$A$18:$Z$41,2,FALSE)</f>
        <v>44172.479166666664</v>
      </c>
      <c r="M71" s="222">
        <f t="shared" si="37"/>
        <v>2020</v>
      </c>
      <c r="N71" s="222">
        <f t="shared" si="46"/>
        <v>12</v>
      </c>
      <c r="O71" s="224">
        <f t="shared" si="47"/>
        <v>7.4791666666642413</v>
      </c>
      <c r="P71" s="224">
        <f t="shared" si="48"/>
        <v>7.0416666666642413</v>
      </c>
      <c r="Q71" s="225">
        <f>IFERROR(VLOOKUP($A71,'2001_Inc_07.12.20'!$A$18:$Z$41,14,FALSE),"")</f>
        <v>8.6336791185256274</v>
      </c>
    </row>
    <row r="72" spans="1:17">
      <c r="A72" s="221" t="s">
        <v>296</v>
      </c>
      <c r="B72" s="222" t="str">
        <f t="shared" si="34"/>
        <v>ANpp</v>
      </c>
      <c r="C72" s="222" t="str">
        <f t="shared" si="38"/>
        <v>ANpp_13-33_2001_a</v>
      </c>
      <c r="D72" s="224">
        <v>8.0180000000000007</v>
      </c>
      <c r="E72" s="222">
        <f t="shared" si="49"/>
        <v>4</v>
      </c>
      <c r="F72" s="222" t="s">
        <v>383</v>
      </c>
      <c r="G72" s="222" t="str">
        <f t="shared" si="35"/>
        <v/>
      </c>
      <c r="H72" s="223">
        <f>VLOOKUP($A72,'2001_Inc_01.12.20'!$A$18:$Z$41,9,FALSE)</f>
        <v>44165.4375</v>
      </c>
      <c r="I72" s="222">
        <f t="shared" si="36"/>
        <v>2020</v>
      </c>
      <c r="J72" s="222">
        <f t="shared" si="44"/>
        <v>11</v>
      </c>
      <c r="K72" s="224">
        <f t="shared" si="45"/>
        <v>30.4375</v>
      </c>
      <c r="L72" s="223">
        <f>VLOOKUP($A72,'2001_Inc_07.12.20'!$A$18:$Z$41,2,FALSE)</f>
        <v>44172.479166666664</v>
      </c>
      <c r="M72" s="222">
        <f t="shared" si="37"/>
        <v>2020</v>
      </c>
      <c r="N72" s="222">
        <f t="shared" si="46"/>
        <v>12</v>
      </c>
      <c r="O72" s="224">
        <f t="shared" si="47"/>
        <v>7.4791666666642413</v>
      </c>
      <c r="P72" s="224">
        <f t="shared" si="48"/>
        <v>7.0416666666642413</v>
      </c>
      <c r="Q72" s="225">
        <f>IFERROR(VLOOKUP($A72,'2001_Inc_07.12.20'!$A$18:$Z$41,14,FALSE),"")</f>
        <v>3.4945210477262876</v>
      </c>
    </row>
    <row r="73" spans="1:17">
      <c r="A73" s="221" t="s">
        <v>297</v>
      </c>
      <c r="B73" s="222" t="str">
        <f t="shared" si="34"/>
        <v>ANpp</v>
      </c>
      <c r="C73" s="222" t="str">
        <f t="shared" si="38"/>
        <v>ANpp_13-33_2001_b</v>
      </c>
      <c r="D73" s="224">
        <v>8.0079999999999991</v>
      </c>
      <c r="E73" s="222">
        <f t="shared" si="49"/>
        <v>4</v>
      </c>
      <c r="F73" s="222" t="s">
        <v>383</v>
      </c>
      <c r="G73" s="222" t="str">
        <f t="shared" si="35"/>
        <v/>
      </c>
      <c r="H73" s="223">
        <f>VLOOKUP($A73,'2001_Inc_01.12.20'!$A$18:$Z$41,9,FALSE)</f>
        <v>44165.4375</v>
      </c>
      <c r="I73" s="222">
        <f t="shared" si="36"/>
        <v>2020</v>
      </c>
      <c r="J73" s="222">
        <f t="shared" si="44"/>
        <v>11</v>
      </c>
      <c r="K73" s="224">
        <f t="shared" si="45"/>
        <v>30.4375</v>
      </c>
      <c r="L73" s="223">
        <f>VLOOKUP($A73,'2001_Inc_07.12.20'!$A$18:$Z$41,2,FALSE)</f>
        <v>44172.479166666664</v>
      </c>
      <c r="M73" s="222">
        <f t="shared" si="37"/>
        <v>2020</v>
      </c>
      <c r="N73" s="222">
        <f t="shared" si="46"/>
        <v>12</v>
      </c>
      <c r="O73" s="224">
        <f t="shared" si="47"/>
        <v>7.4791666666642413</v>
      </c>
      <c r="P73" s="224">
        <f t="shared" si="48"/>
        <v>7.0416666666642413</v>
      </c>
      <c r="Q73" s="225">
        <f>IFERROR(VLOOKUP($A73,'2001_Inc_07.12.20'!$A$18:$Z$41,14,FALSE),"")</f>
        <v>2.1769509447742434</v>
      </c>
    </row>
    <row r="74" spans="1:17">
      <c r="A74" s="221" t="s">
        <v>298</v>
      </c>
      <c r="B74" s="222" t="str">
        <f t="shared" si="34"/>
        <v>BSrf</v>
      </c>
      <c r="C74" s="222" t="str">
        <f t="shared" si="38"/>
        <v>BSrf_0-8_2001_a</v>
      </c>
      <c r="D74" s="224">
        <v>8.0860000000000003</v>
      </c>
      <c r="E74" s="222">
        <f t="shared" si="49"/>
        <v>4</v>
      </c>
      <c r="F74" s="222" t="s">
        <v>383</v>
      </c>
      <c r="G74" s="222" t="str">
        <f t="shared" si="35"/>
        <v/>
      </c>
      <c r="H74" s="223">
        <f>VLOOKUP($A74,'2001_Inc_01.12.20'!$A$18:$Z$41,9,FALSE)</f>
        <v>44165.4375</v>
      </c>
      <c r="I74" s="222">
        <f t="shared" si="36"/>
        <v>2020</v>
      </c>
      <c r="J74" s="222">
        <f t="shared" si="44"/>
        <v>11</v>
      </c>
      <c r="K74" s="224">
        <f t="shared" si="45"/>
        <v>30.4375</v>
      </c>
      <c r="L74" s="223">
        <f>VLOOKUP($A74,'2001_Inc_07.12.20'!$A$18:$Z$41,2,FALSE)</f>
        <v>44172.479166666664</v>
      </c>
      <c r="M74" s="222">
        <f t="shared" si="37"/>
        <v>2020</v>
      </c>
      <c r="N74" s="222">
        <f t="shared" si="46"/>
        <v>12</v>
      </c>
      <c r="O74" s="224">
        <f t="shared" si="47"/>
        <v>7.4791666666642413</v>
      </c>
      <c r="P74" s="224">
        <f t="shared" si="48"/>
        <v>7.0416666666642413</v>
      </c>
      <c r="Q74" s="225" t="str">
        <f>IFERROR(VLOOKUP($A74,'2001_Inc_07.12.20'!$A$18:$Z$41,14,FALSE),"")</f>
        <v/>
      </c>
    </row>
    <row r="75" spans="1:17">
      <c r="A75" s="221" t="s">
        <v>299</v>
      </c>
      <c r="B75" s="222" t="str">
        <f t="shared" si="34"/>
        <v>BSrf</v>
      </c>
      <c r="C75" s="222" t="str">
        <f t="shared" si="38"/>
        <v>BSrf_0-8_2001_b</v>
      </c>
      <c r="D75" s="224">
        <v>8.0169999999999995</v>
      </c>
      <c r="E75" s="222">
        <f t="shared" si="49"/>
        <v>4</v>
      </c>
      <c r="F75" s="222" t="s">
        <v>383</v>
      </c>
      <c r="G75" s="222" t="str">
        <f t="shared" si="35"/>
        <v/>
      </c>
      <c r="H75" s="223">
        <f>VLOOKUP($A75,'2001_Inc_01.12.20'!$A$18:$Z$41,9,FALSE)</f>
        <v>44165.4375</v>
      </c>
      <c r="I75" s="222">
        <f t="shared" si="36"/>
        <v>2020</v>
      </c>
      <c r="J75" s="222">
        <f t="shared" si="44"/>
        <v>11</v>
      </c>
      <c r="K75" s="224">
        <f t="shared" si="45"/>
        <v>30.4375</v>
      </c>
      <c r="L75" s="223">
        <f>VLOOKUP($A75,'2001_Inc_07.12.20'!$A$18:$Z$41,2,FALSE)</f>
        <v>44172.479166666664</v>
      </c>
      <c r="M75" s="222">
        <f t="shared" si="37"/>
        <v>2020</v>
      </c>
      <c r="N75" s="222">
        <f t="shared" si="46"/>
        <v>12</v>
      </c>
      <c r="O75" s="224">
        <f t="shared" si="47"/>
        <v>7.4791666666642413</v>
      </c>
      <c r="P75" s="224">
        <f t="shared" si="48"/>
        <v>7.0416666666642413</v>
      </c>
      <c r="Q75" s="225" t="str">
        <f>IFERROR(VLOOKUP($A75,'2001_Inc_07.12.20'!$A$18:$Z$41,14,FALSE),"")</f>
        <v/>
      </c>
    </row>
    <row r="76" spans="1:17">
      <c r="A76" s="221" t="s">
        <v>300</v>
      </c>
      <c r="B76" s="222" t="str">
        <f t="shared" si="34"/>
        <v>BSrf</v>
      </c>
      <c r="C76" s="222" t="str">
        <f t="shared" si="38"/>
        <v>BSrf_8-15_2001_a</v>
      </c>
      <c r="D76" s="224">
        <v>8.0619999999999994</v>
      </c>
      <c r="E76" s="222">
        <f t="shared" si="49"/>
        <v>4</v>
      </c>
      <c r="F76" s="222" t="s">
        <v>383</v>
      </c>
      <c r="G76" s="222" t="str">
        <f t="shared" si="35"/>
        <v/>
      </c>
      <c r="H76" s="223">
        <f>VLOOKUP($A76,'2001_Inc_01.12.20'!$A$18:$Z$41,9,FALSE)</f>
        <v>44165.4375</v>
      </c>
      <c r="I76" s="222">
        <f t="shared" si="36"/>
        <v>2020</v>
      </c>
      <c r="J76" s="222">
        <f t="shared" si="44"/>
        <v>11</v>
      </c>
      <c r="K76" s="224">
        <f t="shared" si="45"/>
        <v>30.4375</v>
      </c>
      <c r="L76" s="223">
        <f>VLOOKUP($A76,'2001_Inc_07.12.20'!$A$18:$Z$41,2,FALSE)</f>
        <v>44172.479166666664</v>
      </c>
      <c r="M76" s="222">
        <f t="shared" si="37"/>
        <v>2020</v>
      </c>
      <c r="N76" s="222">
        <f t="shared" si="46"/>
        <v>12</v>
      </c>
      <c r="O76" s="224">
        <f t="shared" si="47"/>
        <v>7.4791666666642413</v>
      </c>
      <c r="P76" s="224">
        <f t="shared" si="48"/>
        <v>7.0416666666642413</v>
      </c>
      <c r="Q76" s="225">
        <f>IFERROR(VLOOKUP($A76,'2001_Inc_07.12.20'!$A$18:$Z$41,14,FALSE),"")</f>
        <v>5.8266123751385068</v>
      </c>
    </row>
    <row r="77" spans="1:17">
      <c r="A77" s="221" t="s">
        <v>301</v>
      </c>
      <c r="B77" s="222" t="str">
        <f t="shared" si="34"/>
        <v>BSrf</v>
      </c>
      <c r="C77" s="222" t="str">
        <f t="shared" si="38"/>
        <v>BSrf_8-15_2001_b</v>
      </c>
      <c r="D77" s="224">
        <v>8.0229999999999997</v>
      </c>
      <c r="E77" s="222">
        <f t="shared" si="49"/>
        <v>4</v>
      </c>
      <c r="F77" s="222" t="s">
        <v>383</v>
      </c>
      <c r="G77" s="222" t="str">
        <f t="shared" si="35"/>
        <v/>
      </c>
      <c r="H77" s="223">
        <f>VLOOKUP($A77,'2001_Inc_01.12.20'!$A$18:$Z$41,9,FALSE)</f>
        <v>44165.4375</v>
      </c>
      <c r="I77" s="222">
        <f t="shared" si="36"/>
        <v>2020</v>
      </c>
      <c r="J77" s="222">
        <f t="shared" si="44"/>
        <v>11</v>
      </c>
      <c r="K77" s="224">
        <f t="shared" si="45"/>
        <v>30.4375</v>
      </c>
      <c r="L77" s="223">
        <f>VLOOKUP($A77,'2001_Inc_07.12.20'!$A$18:$Z$41,2,FALSE)</f>
        <v>44172.479166666664</v>
      </c>
      <c r="M77" s="222">
        <f t="shared" si="37"/>
        <v>2020</v>
      </c>
      <c r="N77" s="222">
        <f t="shared" si="46"/>
        <v>12</v>
      </c>
      <c r="O77" s="224">
        <f t="shared" si="47"/>
        <v>7.4791666666642413</v>
      </c>
      <c r="P77" s="224">
        <f t="shared" si="48"/>
        <v>7.0416666666642413</v>
      </c>
      <c r="Q77" s="225">
        <f>IFERROR(VLOOKUP($A77,'2001_Inc_07.12.20'!$A$18:$Z$41,14,FALSE),"")</f>
        <v>2.559148106808907</v>
      </c>
    </row>
    <row r="78" spans="1:17">
      <c r="A78" s="221" t="s">
        <v>302</v>
      </c>
      <c r="B78" s="222" t="str">
        <f t="shared" si="34"/>
        <v>BSrf</v>
      </c>
      <c r="C78" s="222" t="str">
        <f t="shared" si="38"/>
        <v>BSrf_15-30_2001_a</v>
      </c>
      <c r="D78" s="224">
        <v>8.0549999999999997</v>
      </c>
      <c r="E78" s="222">
        <f t="shared" si="49"/>
        <v>4</v>
      </c>
      <c r="F78" s="222" t="s">
        <v>383</v>
      </c>
      <c r="G78" s="222" t="str">
        <f t="shared" si="35"/>
        <v/>
      </c>
      <c r="H78" s="223">
        <f>VLOOKUP($A78,'2001_Inc_01.12.20'!$A$18:$Z$41,9,FALSE)</f>
        <v>44165.4375</v>
      </c>
      <c r="I78" s="222">
        <f t="shared" si="36"/>
        <v>2020</v>
      </c>
      <c r="J78" s="222">
        <f t="shared" si="44"/>
        <v>11</v>
      </c>
      <c r="K78" s="224">
        <f t="shared" si="45"/>
        <v>30.4375</v>
      </c>
      <c r="L78" s="223">
        <f>VLOOKUP($A78,'2001_Inc_07.12.20'!$A$18:$Z$41,2,FALSE)</f>
        <v>44172.479166666664</v>
      </c>
      <c r="M78" s="222">
        <f t="shared" si="37"/>
        <v>2020</v>
      </c>
      <c r="N78" s="222">
        <f t="shared" si="46"/>
        <v>12</v>
      </c>
      <c r="O78" s="224">
        <f t="shared" si="47"/>
        <v>7.4791666666642413</v>
      </c>
      <c r="P78" s="224">
        <f t="shared" si="48"/>
        <v>7.0416666666642413</v>
      </c>
      <c r="Q78" s="225">
        <f>IFERROR(VLOOKUP($A78,'2001_Inc_07.12.20'!$A$18:$Z$41,14,FALSE),"")</f>
        <v>4.4449148761232493</v>
      </c>
    </row>
    <row r="79" spans="1:17">
      <c r="A79" s="221" t="s">
        <v>303</v>
      </c>
      <c r="B79" s="222" t="str">
        <f t="shared" si="34"/>
        <v>BSrf</v>
      </c>
      <c r="C79" s="222" t="str">
        <f t="shared" si="38"/>
        <v>BSrf_15-30_2001_b</v>
      </c>
      <c r="D79" s="224">
        <v>8.0020000000000007</v>
      </c>
      <c r="E79" s="222">
        <f t="shared" si="49"/>
        <v>4</v>
      </c>
      <c r="F79" s="222" t="s">
        <v>383</v>
      </c>
      <c r="G79" s="222" t="str">
        <f t="shared" si="35"/>
        <v/>
      </c>
      <c r="H79" s="223">
        <f>VLOOKUP($A79,'2001_Inc_01.12.20'!$A$18:$Z$41,9,FALSE)</f>
        <v>44165.4375</v>
      </c>
      <c r="I79" s="222">
        <f t="shared" si="36"/>
        <v>2020</v>
      </c>
      <c r="J79" s="222">
        <f t="shared" si="44"/>
        <v>11</v>
      </c>
      <c r="K79" s="224">
        <f t="shared" si="45"/>
        <v>30.4375</v>
      </c>
      <c r="L79" s="223">
        <f>VLOOKUP($A79,'2001_Inc_07.12.20'!$A$18:$Z$41,2,FALSE)</f>
        <v>44172.479166666664</v>
      </c>
      <c r="M79" s="222">
        <f t="shared" si="37"/>
        <v>2020</v>
      </c>
      <c r="N79" s="222">
        <f t="shared" si="46"/>
        <v>12</v>
      </c>
      <c r="O79" s="224">
        <f t="shared" si="47"/>
        <v>7.4791666666642413</v>
      </c>
      <c r="P79" s="224">
        <f t="shared" si="48"/>
        <v>7.0416666666642413</v>
      </c>
      <c r="Q79" s="225">
        <f>IFERROR(VLOOKUP($A79,'2001_Inc_07.12.20'!$A$18:$Z$41,14,FALSE),"")</f>
        <v>4.0494260057513713</v>
      </c>
    </row>
    <row r="80" spans="1:17">
      <c r="A80" s="221" t="s">
        <v>304</v>
      </c>
      <c r="B80" s="222" t="str">
        <f t="shared" si="34"/>
        <v>BSwf</v>
      </c>
      <c r="C80" s="222" t="str">
        <f t="shared" si="38"/>
        <v>BSwf_0-10_2001_a</v>
      </c>
      <c r="D80" s="224">
        <v>8.1020000000000003</v>
      </c>
      <c r="E80" s="222">
        <f t="shared" si="49"/>
        <v>4</v>
      </c>
      <c r="F80" s="222" t="s">
        <v>383</v>
      </c>
      <c r="G80" s="222" t="str">
        <f t="shared" si="35"/>
        <v/>
      </c>
      <c r="H80" s="223">
        <f>VLOOKUP($A80,'2001_Inc_01.12.20'!$A$18:$Z$41,9,FALSE)</f>
        <v>44165.4375</v>
      </c>
      <c r="I80" s="222">
        <f t="shared" si="36"/>
        <v>2020</v>
      </c>
      <c r="J80" s="222">
        <f t="shared" si="44"/>
        <v>11</v>
      </c>
      <c r="K80" s="224">
        <f t="shared" si="45"/>
        <v>30.4375</v>
      </c>
      <c r="L80" s="223">
        <f>VLOOKUP($A80,'2001_Inc_07.12.20'!$A$18:$Z$41,2,FALSE)</f>
        <v>44172.479166666664</v>
      </c>
      <c r="M80" s="222">
        <f t="shared" si="37"/>
        <v>2020</v>
      </c>
      <c r="N80" s="222">
        <f t="shared" si="46"/>
        <v>12</v>
      </c>
      <c r="O80" s="224">
        <f t="shared" si="47"/>
        <v>7.4791666666642413</v>
      </c>
      <c r="P80" s="224">
        <f t="shared" si="48"/>
        <v>7.0416666666642413</v>
      </c>
      <c r="Q80" s="225">
        <f>IFERROR(VLOOKUP($A80,'2001_Inc_07.12.20'!$A$18:$Z$41,14,FALSE),"")</f>
        <v>15.843031130838911</v>
      </c>
    </row>
    <row r="81" spans="1:17">
      <c r="A81" s="221" t="s">
        <v>305</v>
      </c>
      <c r="B81" s="222" t="str">
        <f t="shared" si="34"/>
        <v>BSwf</v>
      </c>
      <c r="C81" s="222" t="str">
        <f t="shared" si="38"/>
        <v>BSwf_0-10_2001_b</v>
      </c>
      <c r="D81" s="224">
        <v>7.9859999999999998</v>
      </c>
      <c r="E81" s="222">
        <f t="shared" si="49"/>
        <v>4</v>
      </c>
      <c r="F81" s="222" t="s">
        <v>383</v>
      </c>
      <c r="G81" s="222" t="str">
        <f t="shared" si="35"/>
        <v/>
      </c>
      <c r="H81" s="223">
        <f>VLOOKUP($A81,'2001_Inc_01.12.20'!$A$18:$Z$41,9,FALSE)</f>
        <v>44165.4375</v>
      </c>
      <c r="I81" s="222">
        <f t="shared" si="36"/>
        <v>2020</v>
      </c>
      <c r="J81" s="222">
        <f t="shared" si="44"/>
        <v>11</v>
      </c>
      <c r="K81" s="224">
        <f t="shared" si="45"/>
        <v>30.4375</v>
      </c>
      <c r="L81" s="223">
        <f>VLOOKUP($A81,'2001_Inc_07.12.20'!$A$18:$Z$41,2,FALSE)</f>
        <v>44172.479166666664</v>
      </c>
      <c r="M81" s="222">
        <f t="shared" si="37"/>
        <v>2020</v>
      </c>
      <c r="N81" s="222">
        <f t="shared" si="46"/>
        <v>12</v>
      </c>
      <c r="O81" s="224">
        <f t="shared" si="47"/>
        <v>7.4791666666642413</v>
      </c>
      <c r="P81" s="224">
        <f t="shared" si="48"/>
        <v>7.0416666666642413</v>
      </c>
      <c r="Q81" s="225">
        <f>IFERROR(VLOOKUP($A81,'2001_Inc_07.12.20'!$A$18:$Z$41,14,FALSE),"")</f>
        <v>7.6734039087314185</v>
      </c>
    </row>
    <row r="82" spans="1:17">
      <c r="A82" s="221" t="s">
        <v>306</v>
      </c>
      <c r="B82" s="222" t="str">
        <f t="shared" si="34"/>
        <v>BSwf</v>
      </c>
      <c r="C82" s="222" t="str">
        <f t="shared" si="38"/>
        <v>BSwf_10-19_2001_a</v>
      </c>
      <c r="D82" s="224">
        <v>8.0489999999999995</v>
      </c>
      <c r="E82" s="222">
        <f t="shared" si="49"/>
        <v>4</v>
      </c>
      <c r="F82" s="222" t="s">
        <v>383</v>
      </c>
      <c r="G82" s="222" t="str">
        <f t="shared" si="35"/>
        <v/>
      </c>
      <c r="H82" s="223">
        <f>VLOOKUP($A82,'2001_Inc_01.12.20'!$A$18:$Z$41,9,FALSE)</f>
        <v>44165.4375</v>
      </c>
      <c r="I82" s="222">
        <f t="shared" si="36"/>
        <v>2020</v>
      </c>
      <c r="J82" s="222">
        <f t="shared" si="44"/>
        <v>11</v>
      </c>
      <c r="K82" s="224">
        <f t="shared" si="45"/>
        <v>30.4375</v>
      </c>
      <c r="L82" s="223">
        <f>VLOOKUP($A82,'2001_Inc_07.12.20'!$A$18:$Z$41,2,FALSE)</f>
        <v>44172.479166666664</v>
      </c>
      <c r="M82" s="222">
        <f t="shared" si="37"/>
        <v>2020</v>
      </c>
      <c r="N82" s="222">
        <f t="shared" si="46"/>
        <v>12</v>
      </c>
      <c r="O82" s="224">
        <f t="shared" si="47"/>
        <v>7.4791666666642413</v>
      </c>
      <c r="P82" s="224">
        <f t="shared" si="48"/>
        <v>7.0416666666642413</v>
      </c>
      <c r="Q82" s="225" t="str">
        <f>IFERROR(VLOOKUP($A82,'2001_Inc_07.12.20'!$A$18:$Z$41,14,FALSE),"")</f>
        <v/>
      </c>
    </row>
    <row r="83" spans="1:17">
      <c r="A83" s="221" t="s">
        <v>307</v>
      </c>
      <c r="B83" s="222" t="str">
        <f t="shared" si="34"/>
        <v>BSwf</v>
      </c>
      <c r="C83" s="222" t="str">
        <f t="shared" si="38"/>
        <v>BSwf_10-19_2001_b</v>
      </c>
      <c r="D83" s="224">
        <v>8.0150000000000006</v>
      </c>
      <c r="E83" s="222">
        <f t="shared" si="49"/>
        <v>4</v>
      </c>
      <c r="F83" s="222" t="s">
        <v>383</v>
      </c>
      <c r="G83" s="222" t="str">
        <f t="shared" si="35"/>
        <v/>
      </c>
      <c r="H83" s="223">
        <f>VLOOKUP($A83,'2001_Inc_01.12.20'!$A$18:$Z$41,9,FALSE)</f>
        <v>44165.4375</v>
      </c>
      <c r="I83" s="222">
        <f t="shared" si="36"/>
        <v>2020</v>
      </c>
      <c r="J83" s="222">
        <f t="shared" si="44"/>
        <v>11</v>
      </c>
      <c r="K83" s="224">
        <f t="shared" si="45"/>
        <v>30.4375</v>
      </c>
      <c r="L83" s="223">
        <f>VLOOKUP($A83,'2001_Inc_07.12.20'!$A$18:$Z$41,2,FALSE)</f>
        <v>44172.479166666664</v>
      </c>
      <c r="M83" s="222">
        <f t="shared" si="37"/>
        <v>2020</v>
      </c>
      <c r="N83" s="222">
        <f t="shared" si="46"/>
        <v>12</v>
      </c>
      <c r="O83" s="224">
        <f t="shared" si="47"/>
        <v>7.4791666666642413</v>
      </c>
      <c r="P83" s="224">
        <f t="shared" si="48"/>
        <v>7.0416666666642413</v>
      </c>
      <c r="Q83" s="225" t="str">
        <f>IFERROR(VLOOKUP($A83,'2001_Inc_07.12.20'!$A$18:$Z$41,14,FALSE),"")</f>
        <v/>
      </c>
    </row>
    <row r="84" spans="1:17">
      <c r="A84" s="221" t="s">
        <v>308</v>
      </c>
      <c r="B84" s="222" t="str">
        <f t="shared" si="34"/>
        <v>BSpp</v>
      </c>
      <c r="C84" s="222" t="str">
        <f t="shared" si="38"/>
        <v>BSpp_0-7_2001_a</v>
      </c>
      <c r="D84" s="224">
        <v>8.1419999999999995</v>
      </c>
      <c r="E84" s="222">
        <f t="shared" si="49"/>
        <v>4</v>
      </c>
      <c r="F84" s="222" t="s">
        <v>383</v>
      </c>
      <c r="G84" s="222" t="str">
        <f t="shared" si="35"/>
        <v/>
      </c>
      <c r="H84" s="223">
        <f>VLOOKUP($A84,'2001_Inc_01.12.20'!$A$18:$Z$41,9,FALSE)</f>
        <v>44165.4375</v>
      </c>
      <c r="I84" s="222">
        <f t="shared" si="36"/>
        <v>2020</v>
      </c>
      <c r="J84" s="222">
        <f t="shared" si="44"/>
        <v>11</v>
      </c>
      <c r="K84" s="224">
        <f t="shared" si="45"/>
        <v>30.4375</v>
      </c>
      <c r="L84" s="223">
        <f>VLOOKUP($A84,'2001_Inc_07.12.20'!$A$18:$Z$41,2,FALSE)</f>
        <v>44172.479166666664</v>
      </c>
      <c r="M84" s="222">
        <f t="shared" si="37"/>
        <v>2020</v>
      </c>
      <c r="N84" s="222">
        <f t="shared" si="46"/>
        <v>12</v>
      </c>
      <c r="O84" s="224">
        <f t="shared" si="47"/>
        <v>7.4791666666642413</v>
      </c>
      <c r="P84" s="224">
        <f t="shared" si="48"/>
        <v>7.0416666666642413</v>
      </c>
      <c r="Q84" s="225">
        <f>IFERROR(VLOOKUP($A84,'2001_Inc_07.12.20'!$A$18:$Z$41,14,FALSE),"")</f>
        <v>7.9580376436585221</v>
      </c>
    </row>
    <row r="85" spans="1:17">
      <c r="A85" s="221" t="s">
        <v>309</v>
      </c>
      <c r="B85" s="222" t="str">
        <f t="shared" si="34"/>
        <v>BSpp</v>
      </c>
      <c r="C85" s="222" t="str">
        <f t="shared" si="38"/>
        <v>BSpp_0-7_2001_b</v>
      </c>
      <c r="D85" s="224">
        <v>8.0820000000000007</v>
      </c>
      <c r="E85" s="222">
        <f t="shared" si="49"/>
        <v>4</v>
      </c>
      <c r="F85" s="222" t="s">
        <v>383</v>
      </c>
      <c r="G85" s="222" t="str">
        <f t="shared" si="35"/>
        <v/>
      </c>
      <c r="H85" s="223">
        <f>VLOOKUP($A85,'2001_Inc_01.12.20'!$A$18:$Z$41,9,FALSE)</f>
        <v>44165.4375</v>
      </c>
      <c r="I85" s="222">
        <f t="shared" si="36"/>
        <v>2020</v>
      </c>
      <c r="J85" s="222">
        <f t="shared" si="44"/>
        <v>11</v>
      </c>
      <c r="K85" s="224">
        <f t="shared" si="45"/>
        <v>30.4375</v>
      </c>
      <c r="L85" s="223">
        <f>VLOOKUP($A85,'2001_Inc_07.12.20'!$A$18:$Z$41,2,FALSE)</f>
        <v>44172.479166666664</v>
      </c>
      <c r="M85" s="222">
        <f t="shared" si="37"/>
        <v>2020</v>
      </c>
      <c r="N85" s="222">
        <f t="shared" si="46"/>
        <v>12</v>
      </c>
      <c r="O85" s="224">
        <f t="shared" si="47"/>
        <v>7.4791666666642413</v>
      </c>
      <c r="P85" s="224">
        <f t="shared" si="48"/>
        <v>7.0416666666642413</v>
      </c>
      <c r="Q85" s="225">
        <f>IFERROR(VLOOKUP($A85,'2001_Inc_07.12.20'!$A$18:$Z$41,14,FALSE),"")</f>
        <v>13.455319401337809</v>
      </c>
    </row>
    <row r="86" spans="1:17">
      <c r="A86" s="221" t="s">
        <v>310</v>
      </c>
      <c r="B86" s="222" t="str">
        <f t="shared" si="34"/>
        <v>BSpp</v>
      </c>
      <c r="C86" s="222" t="str">
        <f t="shared" si="38"/>
        <v>BSpp_7-18_2001_a</v>
      </c>
      <c r="D86" s="224">
        <v>7.992</v>
      </c>
      <c r="E86" s="222">
        <f t="shared" si="49"/>
        <v>4</v>
      </c>
      <c r="F86" s="222" t="s">
        <v>383</v>
      </c>
      <c r="G86" s="222" t="str">
        <f t="shared" si="35"/>
        <v/>
      </c>
      <c r="H86" s="223">
        <f>VLOOKUP($A86,'2001_Inc_01.12.20'!$A$18:$Z$41,9,FALSE)</f>
        <v>44165.4375</v>
      </c>
      <c r="I86" s="222">
        <f t="shared" si="36"/>
        <v>2020</v>
      </c>
      <c r="J86" s="222">
        <f t="shared" si="44"/>
        <v>11</v>
      </c>
      <c r="K86" s="224">
        <f t="shared" si="45"/>
        <v>30.4375</v>
      </c>
      <c r="L86" s="223">
        <f>VLOOKUP($A86,'2001_Inc_07.12.20'!$A$18:$Z$41,2,FALSE)</f>
        <v>44172.479166666664</v>
      </c>
      <c r="M86" s="222">
        <f t="shared" si="37"/>
        <v>2020</v>
      </c>
      <c r="N86" s="222">
        <f t="shared" si="46"/>
        <v>12</v>
      </c>
      <c r="O86" s="224">
        <f t="shared" si="47"/>
        <v>7.4791666666642413</v>
      </c>
      <c r="P86" s="224">
        <f t="shared" si="48"/>
        <v>7.0416666666642413</v>
      </c>
      <c r="Q86" s="225">
        <f>IFERROR(VLOOKUP($A86,'2001_Inc_07.12.20'!$A$18:$Z$41,14,FALSE),"")</f>
        <v>4.2048628653876232</v>
      </c>
    </row>
    <row r="87" spans="1:17">
      <c r="A87" s="221" t="s">
        <v>311</v>
      </c>
      <c r="B87" s="222" t="str">
        <f t="shared" si="34"/>
        <v>BSpp</v>
      </c>
      <c r="C87" s="222" t="str">
        <f t="shared" si="38"/>
        <v>BSpp_7-18_2001_b</v>
      </c>
      <c r="D87" s="224">
        <v>8.06</v>
      </c>
      <c r="E87" s="222">
        <f t="shared" si="49"/>
        <v>4</v>
      </c>
      <c r="F87" s="222" t="s">
        <v>383</v>
      </c>
      <c r="G87" s="222" t="str">
        <f t="shared" si="35"/>
        <v/>
      </c>
      <c r="H87" s="223">
        <f>VLOOKUP($A87,'2001_Inc_01.12.20'!$A$18:$Z$41,9,FALSE)</f>
        <v>44165.4375</v>
      </c>
      <c r="I87" s="222">
        <f t="shared" si="36"/>
        <v>2020</v>
      </c>
      <c r="J87" s="222">
        <f t="shared" si="44"/>
        <v>11</v>
      </c>
      <c r="K87" s="224">
        <f t="shared" si="45"/>
        <v>30.4375</v>
      </c>
      <c r="L87" s="223">
        <f>VLOOKUP($A87,'2001_Inc_07.12.20'!$A$18:$Z$41,2,FALSE)</f>
        <v>44172.479166666664</v>
      </c>
      <c r="M87" s="222">
        <f t="shared" si="37"/>
        <v>2020</v>
      </c>
      <c r="N87" s="222">
        <f t="shared" si="46"/>
        <v>12</v>
      </c>
      <c r="O87" s="224">
        <f t="shared" si="47"/>
        <v>7.4791666666642413</v>
      </c>
      <c r="P87" s="224">
        <f t="shared" si="48"/>
        <v>7.0416666666642413</v>
      </c>
      <c r="Q87" s="225" t="str">
        <f>IFERROR(VLOOKUP($A87,'2001_Inc_07.12.20'!$A$18:$Z$41,14,FALSE),"")</f>
        <v/>
      </c>
    </row>
    <row r="88" spans="1:17">
      <c r="A88" s="221" t="s">
        <v>312</v>
      </c>
      <c r="B88" s="222" t="str">
        <f t="shared" si="34"/>
        <v>BSpp</v>
      </c>
      <c r="C88" s="222" t="str">
        <f t="shared" si="38"/>
        <v>BSpp_18-28_2001_a</v>
      </c>
      <c r="D88" s="224">
        <v>7.9939999999999998</v>
      </c>
      <c r="E88" s="222">
        <f t="shared" si="49"/>
        <v>4</v>
      </c>
      <c r="F88" s="222" t="s">
        <v>383</v>
      </c>
      <c r="G88" s="222" t="str">
        <f t="shared" si="35"/>
        <v/>
      </c>
      <c r="H88" s="223">
        <f>VLOOKUP($A88,'2001_Inc_01.12.20'!$A$18:$Z$41,9,FALSE)</f>
        <v>44165.4375</v>
      </c>
      <c r="I88" s="222">
        <f t="shared" si="36"/>
        <v>2020</v>
      </c>
      <c r="J88" s="222">
        <f t="shared" si="44"/>
        <v>11</v>
      </c>
      <c r="K88" s="224">
        <f t="shared" si="45"/>
        <v>30.4375</v>
      </c>
      <c r="L88" s="223">
        <f>VLOOKUP($A88,'2001_Inc_07.12.20'!$A$18:$Z$41,2,FALSE)</f>
        <v>44172.479166666664</v>
      </c>
      <c r="M88" s="222">
        <f t="shared" si="37"/>
        <v>2020</v>
      </c>
      <c r="N88" s="222">
        <f t="shared" si="46"/>
        <v>12</v>
      </c>
      <c r="O88" s="224">
        <f t="shared" si="47"/>
        <v>7.4791666666642413</v>
      </c>
      <c r="P88" s="224">
        <f t="shared" si="48"/>
        <v>7.0416666666642413</v>
      </c>
      <c r="Q88" s="225">
        <f>IFERROR(VLOOKUP($A88,'2001_Inc_07.12.20'!$A$18:$Z$41,14,FALSE),"")</f>
        <v>1.3905659869595106</v>
      </c>
    </row>
    <row r="89" spans="1:17">
      <c r="A89" s="231" t="s">
        <v>313</v>
      </c>
      <c r="B89" s="232" t="str">
        <f t="shared" si="34"/>
        <v>BSpp</v>
      </c>
      <c r="C89" s="232" t="str">
        <f t="shared" si="38"/>
        <v>BSpp_18-28_2001_b</v>
      </c>
      <c r="D89" s="234">
        <v>8.0060000000000002</v>
      </c>
      <c r="E89" s="232">
        <f t="shared" si="49"/>
        <v>4</v>
      </c>
      <c r="F89" s="232" t="s">
        <v>383</v>
      </c>
      <c r="G89" s="232" t="str">
        <f t="shared" si="35"/>
        <v/>
      </c>
      <c r="H89" s="233">
        <f>VLOOKUP($A89,'2001_Inc_01.12.20'!$A$18:$Z$41,9,FALSE)</f>
        <v>44165.4375</v>
      </c>
      <c r="I89" s="232">
        <f t="shared" si="36"/>
        <v>2020</v>
      </c>
      <c r="J89" s="232">
        <f t="shared" si="44"/>
        <v>11</v>
      </c>
      <c r="K89" s="234">
        <f t="shared" si="45"/>
        <v>30.4375</v>
      </c>
      <c r="L89" s="233">
        <f>VLOOKUP($A89,'2001_Inc_07.12.20'!$A$18:$Z$41,2,FALSE)</f>
        <v>44172.479166666664</v>
      </c>
      <c r="M89" s="232">
        <f t="shared" si="37"/>
        <v>2020</v>
      </c>
      <c r="N89" s="232">
        <f t="shared" si="46"/>
        <v>12</v>
      </c>
      <c r="O89" s="234">
        <f t="shared" si="47"/>
        <v>7.4791666666642413</v>
      </c>
      <c r="P89" s="234">
        <f t="shared" si="48"/>
        <v>7.0416666666642413</v>
      </c>
      <c r="Q89" s="235">
        <f>IFERROR(VLOOKUP($A89,'2001_Inc_07.12.20'!$A$18:$Z$41,14,FALSE),"")</f>
        <v>2.1360848784090627</v>
      </c>
    </row>
    <row r="90" spans="1:17">
      <c r="A90" s="226" t="s">
        <v>292</v>
      </c>
      <c r="B90" s="227" t="str">
        <f t="shared" si="34"/>
        <v>ANpp</v>
      </c>
      <c r="C90" s="227" t="str">
        <f t="shared" ref="C90:C111" si="50">B90&amp;"_"&amp;IF(LEFT(RIGHT(A90,11),1)="_",RIGHT(A90,10),IF(LEFT(RIGHT(A90,12),1)="_",RIGHT(A90,11),RIGHT(A90,12)))</f>
        <v>ANpp_0-6_2001_a</v>
      </c>
      <c r="D90" s="229">
        <v>8.08</v>
      </c>
      <c r="E90" s="227">
        <v>5</v>
      </c>
      <c r="F90" s="227" t="s">
        <v>384</v>
      </c>
      <c r="G90" s="227" t="str">
        <f t="shared" si="35"/>
        <v/>
      </c>
      <c r="H90" s="228">
        <f>VLOOKUP($A90,'2001_Inc_01.12.20'!$A$18:$Z$41,9,FALSE)</f>
        <v>44165.4375</v>
      </c>
      <c r="I90" s="227">
        <f t="shared" si="36"/>
        <v>2020</v>
      </c>
      <c r="J90" s="227">
        <f t="shared" ref="J90" si="51">MONTH(H90)</f>
        <v>11</v>
      </c>
      <c r="K90" s="229">
        <f t="shared" ref="K90" si="52">DAY(H90)+H90-ROUNDDOWN(H90,0)</f>
        <v>30.4375</v>
      </c>
      <c r="L90" s="228">
        <f>VLOOKUP($A90,'2001_Inc_08.12.20'!$A$18:$Z$41,2,FALSE)</f>
        <v>44173.45</v>
      </c>
      <c r="M90" s="227">
        <f t="shared" si="37"/>
        <v>2020</v>
      </c>
      <c r="N90" s="227">
        <f t="shared" ref="N90" si="53">MONTH(L90)</f>
        <v>12</v>
      </c>
      <c r="O90" s="229">
        <f t="shared" ref="O90" si="54">DAY(L90)+L90-ROUNDDOWN(L90,0)</f>
        <v>8.4499999999970896</v>
      </c>
      <c r="P90" s="229">
        <f t="shared" ref="P90" si="55">L90-H90</f>
        <v>8.0124999999970896</v>
      </c>
      <c r="Q90" s="230">
        <f>IFERROR(VLOOKUP($A90,'2001_Inc_08.12.20'!$A$18:$Z$41,14,FALSE),"")</f>
        <v>18.097503129977891</v>
      </c>
    </row>
    <row r="91" spans="1:17">
      <c r="A91" s="221" t="s">
        <v>293</v>
      </c>
      <c r="B91" s="222" t="str">
        <f t="shared" si="34"/>
        <v>ANpp</v>
      </c>
      <c r="C91" s="222" t="str">
        <f t="shared" si="50"/>
        <v>ANpp_0-6_2001_b</v>
      </c>
      <c r="D91" s="224">
        <v>8.0500000000000007</v>
      </c>
      <c r="E91" s="222">
        <f>E90</f>
        <v>5</v>
      </c>
      <c r="F91" s="222" t="s">
        <v>384</v>
      </c>
      <c r="G91" s="222" t="str">
        <f t="shared" si="35"/>
        <v/>
      </c>
      <c r="H91" s="223">
        <f>VLOOKUP($A91,'2001_Inc_01.12.20'!$A$18:$Z$41,9,FALSE)</f>
        <v>44165.4375</v>
      </c>
      <c r="I91" s="222">
        <f t="shared" si="36"/>
        <v>2020</v>
      </c>
      <c r="J91" s="222">
        <f t="shared" ref="J91:J111" si="56">MONTH(H91)</f>
        <v>11</v>
      </c>
      <c r="K91" s="224">
        <f t="shared" ref="K91:K111" si="57">DAY(H91)+H91-ROUNDDOWN(H91,0)</f>
        <v>30.4375</v>
      </c>
      <c r="L91" s="223">
        <f>VLOOKUP($A91,'2001_Inc_08.12.20'!$A$18:$Z$41,2,FALSE)</f>
        <v>44173.45</v>
      </c>
      <c r="M91" s="222">
        <f t="shared" si="37"/>
        <v>2020</v>
      </c>
      <c r="N91" s="222">
        <f t="shared" ref="N91:N111" si="58">MONTH(L91)</f>
        <v>12</v>
      </c>
      <c r="O91" s="224">
        <f t="shared" ref="O91:O111" si="59">DAY(L91)+L91-ROUNDDOWN(L91,0)</f>
        <v>8.4499999999970896</v>
      </c>
      <c r="P91" s="224">
        <f t="shared" ref="P91:P111" si="60">L91-H91</f>
        <v>8.0124999999970896</v>
      </c>
      <c r="Q91" s="225">
        <f>IFERROR(VLOOKUP($A91,'2001_Inc_08.12.20'!$A$18:$Z$41,14,FALSE),"")</f>
        <v>7.4443412342424562</v>
      </c>
    </row>
    <row r="92" spans="1:17">
      <c r="A92" s="221" t="s">
        <v>294</v>
      </c>
      <c r="B92" s="222" t="str">
        <f t="shared" si="34"/>
        <v>ANpp</v>
      </c>
      <c r="C92" s="222" t="str">
        <f t="shared" si="50"/>
        <v>ANpp_6-13_2001_a</v>
      </c>
      <c r="D92" s="224">
        <v>7.97</v>
      </c>
      <c r="E92" s="222">
        <f t="shared" ref="E92:E111" si="61">E91</f>
        <v>5</v>
      </c>
      <c r="F92" s="222" t="s">
        <v>384</v>
      </c>
      <c r="G92" s="222" t="str">
        <f t="shared" si="35"/>
        <v/>
      </c>
      <c r="H92" s="223">
        <f>VLOOKUP($A92,'2001_Inc_01.12.20'!$A$18:$Z$41,9,FALSE)</f>
        <v>44165.4375</v>
      </c>
      <c r="I92" s="222">
        <f t="shared" si="36"/>
        <v>2020</v>
      </c>
      <c r="J92" s="222">
        <f t="shared" si="56"/>
        <v>11</v>
      </c>
      <c r="K92" s="224">
        <f t="shared" si="57"/>
        <v>30.4375</v>
      </c>
      <c r="L92" s="223">
        <f>VLOOKUP($A92,'2001_Inc_08.12.20'!$A$18:$Z$41,2,FALSE)</f>
        <v>44173.45</v>
      </c>
      <c r="M92" s="222">
        <f t="shared" si="37"/>
        <v>2020</v>
      </c>
      <c r="N92" s="222">
        <f t="shared" si="58"/>
        <v>12</v>
      </c>
      <c r="O92" s="224">
        <f t="shared" si="59"/>
        <v>8.4499999999970896</v>
      </c>
      <c r="P92" s="224">
        <f t="shared" si="60"/>
        <v>8.0124999999970896</v>
      </c>
      <c r="Q92" s="225">
        <f>IFERROR(VLOOKUP($A92,'2001_Inc_08.12.20'!$A$18:$Z$41,14,FALSE),"")</f>
        <v>9.4926505807507127</v>
      </c>
    </row>
    <row r="93" spans="1:17">
      <c r="A93" s="221" t="s">
        <v>295</v>
      </c>
      <c r="B93" s="222" t="str">
        <f t="shared" si="34"/>
        <v>ANpp</v>
      </c>
      <c r="C93" s="222" t="str">
        <f t="shared" si="50"/>
        <v>ANpp_6-13_2001_b</v>
      </c>
      <c r="D93" s="224">
        <v>8.0280000000000005</v>
      </c>
      <c r="E93" s="222">
        <f t="shared" si="61"/>
        <v>5</v>
      </c>
      <c r="F93" s="222" t="s">
        <v>384</v>
      </c>
      <c r="G93" s="222" t="str">
        <f t="shared" si="35"/>
        <v/>
      </c>
      <c r="H93" s="223">
        <f>VLOOKUP($A93,'2001_Inc_01.12.20'!$A$18:$Z$41,9,FALSE)</f>
        <v>44165.4375</v>
      </c>
      <c r="I93" s="222">
        <f t="shared" si="36"/>
        <v>2020</v>
      </c>
      <c r="J93" s="222">
        <f t="shared" si="56"/>
        <v>11</v>
      </c>
      <c r="K93" s="224">
        <f t="shared" si="57"/>
        <v>30.4375</v>
      </c>
      <c r="L93" s="223">
        <f>VLOOKUP($A93,'2001_Inc_08.12.20'!$A$18:$Z$41,2,FALSE)</f>
        <v>44173.45</v>
      </c>
      <c r="M93" s="222">
        <f t="shared" si="37"/>
        <v>2020</v>
      </c>
      <c r="N93" s="222">
        <f t="shared" si="58"/>
        <v>12</v>
      </c>
      <c r="O93" s="224">
        <f t="shared" si="59"/>
        <v>8.4499999999970896</v>
      </c>
      <c r="P93" s="224">
        <f t="shared" si="60"/>
        <v>8.0124999999970896</v>
      </c>
      <c r="Q93" s="225">
        <f>IFERROR(VLOOKUP($A93,'2001_Inc_08.12.20'!$A$18:$Z$41,14,FALSE),"")</f>
        <v>11.144286463158547</v>
      </c>
    </row>
    <row r="94" spans="1:17">
      <c r="A94" s="221" t="s">
        <v>296</v>
      </c>
      <c r="B94" s="222" t="str">
        <f t="shared" si="34"/>
        <v>ANpp</v>
      </c>
      <c r="C94" s="222" t="str">
        <f t="shared" si="50"/>
        <v>ANpp_13-33_2001_a</v>
      </c>
      <c r="D94" s="224">
        <v>8.0180000000000007</v>
      </c>
      <c r="E94" s="222">
        <f t="shared" si="61"/>
        <v>5</v>
      </c>
      <c r="F94" s="222" t="s">
        <v>384</v>
      </c>
      <c r="G94" s="222" t="str">
        <f t="shared" si="35"/>
        <v/>
      </c>
      <c r="H94" s="223">
        <f>VLOOKUP($A94,'2001_Inc_01.12.20'!$A$18:$Z$41,9,FALSE)</f>
        <v>44165.4375</v>
      </c>
      <c r="I94" s="222">
        <f t="shared" si="36"/>
        <v>2020</v>
      </c>
      <c r="J94" s="222">
        <f t="shared" si="56"/>
        <v>11</v>
      </c>
      <c r="K94" s="224">
        <f t="shared" si="57"/>
        <v>30.4375</v>
      </c>
      <c r="L94" s="223">
        <f>VLOOKUP($A94,'2001_Inc_08.12.20'!$A$18:$Z$41,2,FALSE)</f>
        <v>44173.45</v>
      </c>
      <c r="M94" s="222">
        <f t="shared" si="37"/>
        <v>2020</v>
      </c>
      <c r="N94" s="222">
        <f t="shared" si="58"/>
        <v>12</v>
      </c>
      <c r="O94" s="224">
        <f t="shared" si="59"/>
        <v>8.4499999999970896</v>
      </c>
      <c r="P94" s="224">
        <f t="shared" si="60"/>
        <v>8.0124999999970896</v>
      </c>
      <c r="Q94" s="225">
        <f>IFERROR(VLOOKUP($A94,'2001_Inc_08.12.20'!$A$18:$Z$41,14,FALSE),"")</f>
        <v>4.6542819992533131</v>
      </c>
    </row>
    <row r="95" spans="1:17">
      <c r="A95" s="221" t="s">
        <v>297</v>
      </c>
      <c r="B95" s="222" t="str">
        <f t="shared" si="34"/>
        <v>ANpp</v>
      </c>
      <c r="C95" s="222" t="str">
        <f t="shared" si="50"/>
        <v>ANpp_13-33_2001_b</v>
      </c>
      <c r="D95" s="224">
        <v>8.0079999999999991</v>
      </c>
      <c r="E95" s="222">
        <f t="shared" si="61"/>
        <v>5</v>
      </c>
      <c r="F95" s="222" t="s">
        <v>384</v>
      </c>
      <c r="G95" s="222" t="str">
        <f t="shared" si="35"/>
        <v/>
      </c>
      <c r="H95" s="223">
        <f>VLOOKUP($A95,'2001_Inc_01.12.20'!$A$18:$Z$41,9,FALSE)</f>
        <v>44165.4375</v>
      </c>
      <c r="I95" s="222">
        <f t="shared" si="36"/>
        <v>2020</v>
      </c>
      <c r="J95" s="222">
        <f t="shared" si="56"/>
        <v>11</v>
      </c>
      <c r="K95" s="224">
        <f t="shared" si="57"/>
        <v>30.4375</v>
      </c>
      <c r="L95" s="223">
        <f>VLOOKUP($A95,'2001_Inc_08.12.20'!$A$18:$Z$41,2,FALSE)</f>
        <v>44173.45</v>
      </c>
      <c r="M95" s="222">
        <f t="shared" si="37"/>
        <v>2020</v>
      </c>
      <c r="N95" s="222">
        <f t="shared" si="58"/>
        <v>12</v>
      </c>
      <c r="O95" s="224">
        <f t="shared" si="59"/>
        <v>8.4499999999970896</v>
      </c>
      <c r="P95" s="224">
        <f t="shared" si="60"/>
        <v>8.0124999999970896</v>
      </c>
      <c r="Q95" s="225">
        <f>IFERROR(VLOOKUP($A95,'2001_Inc_08.12.20'!$A$18:$Z$41,14,FALSE),"")</f>
        <v>2.8019822737959434</v>
      </c>
    </row>
    <row r="96" spans="1:17">
      <c r="A96" s="221" t="s">
        <v>298</v>
      </c>
      <c r="B96" s="222" t="str">
        <f t="shared" si="34"/>
        <v>BSrf</v>
      </c>
      <c r="C96" s="222" t="str">
        <f t="shared" si="50"/>
        <v>BSrf_0-8_2001_a</v>
      </c>
      <c r="D96" s="224">
        <v>8.0860000000000003</v>
      </c>
      <c r="E96" s="222">
        <f t="shared" si="61"/>
        <v>5</v>
      </c>
      <c r="F96" s="222" t="s">
        <v>384</v>
      </c>
      <c r="G96" s="222" t="str">
        <f t="shared" si="35"/>
        <v/>
      </c>
      <c r="H96" s="223">
        <f>VLOOKUP($A96,'2001_Inc_01.12.20'!$A$18:$Z$41,9,FALSE)</f>
        <v>44165.4375</v>
      </c>
      <c r="I96" s="222">
        <f t="shared" si="36"/>
        <v>2020</v>
      </c>
      <c r="J96" s="222">
        <f t="shared" si="56"/>
        <v>11</v>
      </c>
      <c r="K96" s="224">
        <f t="shared" si="57"/>
        <v>30.4375</v>
      </c>
      <c r="L96" s="223">
        <f>VLOOKUP($A96,'2001_Inc_08.12.20'!$A$18:$Z$41,2,FALSE)</f>
        <v>44173.45</v>
      </c>
      <c r="M96" s="222">
        <f t="shared" si="37"/>
        <v>2020</v>
      </c>
      <c r="N96" s="222">
        <f t="shared" si="58"/>
        <v>12</v>
      </c>
      <c r="O96" s="224">
        <f t="shared" si="59"/>
        <v>8.4499999999970896</v>
      </c>
      <c r="P96" s="224">
        <f t="shared" si="60"/>
        <v>8.0124999999970896</v>
      </c>
      <c r="Q96" s="225" t="str">
        <f>IFERROR(VLOOKUP($A96,'2001_Inc_08.12.20'!$A$18:$Z$41,14,FALSE),"")</f>
        <v/>
      </c>
    </row>
    <row r="97" spans="1:17">
      <c r="A97" s="221" t="s">
        <v>299</v>
      </c>
      <c r="B97" s="222" t="str">
        <f t="shared" si="34"/>
        <v>BSrf</v>
      </c>
      <c r="C97" s="222" t="str">
        <f t="shared" si="50"/>
        <v>BSrf_0-8_2001_b</v>
      </c>
      <c r="D97" s="224">
        <v>8.0169999999999995</v>
      </c>
      <c r="E97" s="222">
        <f t="shared" si="61"/>
        <v>5</v>
      </c>
      <c r="F97" s="222" t="s">
        <v>384</v>
      </c>
      <c r="G97" s="222" t="str">
        <f t="shared" si="35"/>
        <v/>
      </c>
      <c r="H97" s="223">
        <f>VLOOKUP($A97,'2001_Inc_01.12.20'!$A$18:$Z$41,9,FALSE)</f>
        <v>44165.4375</v>
      </c>
      <c r="I97" s="222">
        <f t="shared" si="36"/>
        <v>2020</v>
      </c>
      <c r="J97" s="222">
        <f t="shared" si="56"/>
        <v>11</v>
      </c>
      <c r="K97" s="224">
        <f t="shared" si="57"/>
        <v>30.4375</v>
      </c>
      <c r="L97" s="223">
        <f>VLOOKUP($A97,'2001_Inc_08.12.20'!$A$18:$Z$41,2,FALSE)</f>
        <v>44173.45</v>
      </c>
      <c r="M97" s="222">
        <f t="shared" si="37"/>
        <v>2020</v>
      </c>
      <c r="N97" s="222">
        <f t="shared" si="58"/>
        <v>12</v>
      </c>
      <c r="O97" s="224">
        <f t="shared" si="59"/>
        <v>8.4499999999970896</v>
      </c>
      <c r="P97" s="224">
        <f t="shared" si="60"/>
        <v>8.0124999999970896</v>
      </c>
      <c r="Q97" s="225" t="str">
        <f>IFERROR(VLOOKUP($A97,'2001_Inc_08.12.20'!$A$18:$Z$41,14,FALSE),"")</f>
        <v/>
      </c>
    </row>
    <row r="98" spans="1:17">
      <c r="A98" s="221" t="s">
        <v>300</v>
      </c>
      <c r="B98" s="222" t="str">
        <f t="shared" si="34"/>
        <v>BSrf</v>
      </c>
      <c r="C98" s="222" t="str">
        <f t="shared" si="50"/>
        <v>BSrf_8-15_2001_a</v>
      </c>
      <c r="D98" s="224">
        <v>8.0619999999999994</v>
      </c>
      <c r="E98" s="222">
        <f t="shared" si="61"/>
        <v>5</v>
      </c>
      <c r="F98" s="222" t="s">
        <v>384</v>
      </c>
      <c r="G98" s="222" t="str">
        <f t="shared" ref="G98:G129" si="62">IF(AND(E98&lt;&gt;E97,L98=L97),"fix meas date","")</f>
        <v/>
      </c>
      <c r="H98" s="223">
        <f>VLOOKUP($A98,'2001_Inc_01.12.20'!$A$18:$Z$41,9,FALSE)</f>
        <v>44165.4375</v>
      </c>
      <c r="I98" s="222">
        <f t="shared" si="36"/>
        <v>2020</v>
      </c>
      <c r="J98" s="222">
        <f t="shared" si="56"/>
        <v>11</v>
      </c>
      <c r="K98" s="224">
        <f t="shared" si="57"/>
        <v>30.4375</v>
      </c>
      <c r="L98" s="223">
        <f>VLOOKUP($A98,'2001_Inc_08.12.20'!$A$18:$Z$41,2,FALSE)</f>
        <v>44173.45</v>
      </c>
      <c r="M98" s="222">
        <f t="shared" si="37"/>
        <v>2020</v>
      </c>
      <c r="N98" s="222">
        <f t="shared" si="58"/>
        <v>12</v>
      </c>
      <c r="O98" s="224">
        <f t="shared" si="59"/>
        <v>8.4499999999970896</v>
      </c>
      <c r="P98" s="224">
        <f t="shared" si="60"/>
        <v>8.0124999999970896</v>
      </c>
      <c r="Q98" s="225">
        <f>IFERROR(VLOOKUP($A98,'2001_Inc_08.12.20'!$A$18:$Z$41,14,FALSE),"")</f>
        <v>6.7860289741592856</v>
      </c>
    </row>
    <row r="99" spans="1:17">
      <c r="A99" s="221" t="s">
        <v>301</v>
      </c>
      <c r="B99" s="222" t="str">
        <f t="shared" si="34"/>
        <v>BSrf</v>
      </c>
      <c r="C99" s="222" t="str">
        <f t="shared" si="50"/>
        <v>BSrf_8-15_2001_b</v>
      </c>
      <c r="D99" s="224">
        <v>8.0229999999999997</v>
      </c>
      <c r="E99" s="222">
        <f t="shared" si="61"/>
        <v>5</v>
      </c>
      <c r="F99" s="222" t="s">
        <v>384</v>
      </c>
      <c r="G99" s="222" t="str">
        <f t="shared" si="62"/>
        <v/>
      </c>
      <c r="H99" s="223">
        <f>VLOOKUP($A99,'2001_Inc_01.12.20'!$A$18:$Z$41,9,FALSE)</f>
        <v>44165.4375</v>
      </c>
      <c r="I99" s="222">
        <f t="shared" si="36"/>
        <v>2020</v>
      </c>
      <c r="J99" s="222">
        <f t="shared" si="56"/>
        <v>11</v>
      </c>
      <c r="K99" s="224">
        <f t="shared" si="57"/>
        <v>30.4375</v>
      </c>
      <c r="L99" s="223">
        <f>VLOOKUP($A99,'2001_Inc_08.12.20'!$A$18:$Z$41,2,FALSE)</f>
        <v>44173.45</v>
      </c>
      <c r="M99" s="222">
        <f t="shared" si="37"/>
        <v>2020</v>
      </c>
      <c r="N99" s="222">
        <f t="shared" si="58"/>
        <v>12</v>
      </c>
      <c r="O99" s="224">
        <f t="shared" si="59"/>
        <v>8.4499999999970896</v>
      </c>
      <c r="P99" s="224">
        <f t="shared" si="60"/>
        <v>8.0124999999970896</v>
      </c>
      <c r="Q99" s="225">
        <f>IFERROR(VLOOKUP($A99,'2001_Inc_08.12.20'!$A$18:$Z$41,14,FALSE),"")</f>
        <v>3.0238958686809938</v>
      </c>
    </row>
    <row r="100" spans="1:17">
      <c r="A100" s="221" t="s">
        <v>302</v>
      </c>
      <c r="B100" s="222" t="str">
        <f t="shared" si="34"/>
        <v>BSrf</v>
      </c>
      <c r="C100" s="222" t="str">
        <f t="shared" si="50"/>
        <v>BSrf_15-30_2001_a</v>
      </c>
      <c r="D100" s="224">
        <v>8.0549999999999997</v>
      </c>
      <c r="E100" s="222">
        <f t="shared" si="61"/>
        <v>5</v>
      </c>
      <c r="F100" s="222" t="s">
        <v>384</v>
      </c>
      <c r="G100" s="222" t="str">
        <f t="shared" si="62"/>
        <v/>
      </c>
      <c r="H100" s="223">
        <f>VLOOKUP($A100,'2001_Inc_01.12.20'!$A$18:$Z$41,9,FALSE)</f>
        <v>44165.4375</v>
      </c>
      <c r="I100" s="222">
        <f t="shared" si="36"/>
        <v>2020</v>
      </c>
      <c r="J100" s="222">
        <f t="shared" si="56"/>
        <v>11</v>
      </c>
      <c r="K100" s="224">
        <f t="shared" si="57"/>
        <v>30.4375</v>
      </c>
      <c r="L100" s="223">
        <f>VLOOKUP($A100,'2001_Inc_08.12.20'!$A$18:$Z$41,2,FALSE)</f>
        <v>44173.45</v>
      </c>
      <c r="M100" s="222">
        <f t="shared" si="37"/>
        <v>2020</v>
      </c>
      <c r="N100" s="222">
        <f t="shared" si="58"/>
        <v>12</v>
      </c>
      <c r="O100" s="224">
        <f t="shared" si="59"/>
        <v>8.4499999999970896</v>
      </c>
      <c r="P100" s="224">
        <f t="shared" si="60"/>
        <v>8.0124999999970896</v>
      </c>
      <c r="Q100" s="225" t="str">
        <f>IFERROR(VLOOKUP($A100,'2001_Inc_08.12.20'!$A$18:$Z$41,14,FALSE),"")</f>
        <v/>
      </c>
    </row>
    <row r="101" spans="1:17">
      <c r="A101" s="221" t="s">
        <v>303</v>
      </c>
      <c r="B101" s="222" t="str">
        <f t="shared" si="34"/>
        <v>BSrf</v>
      </c>
      <c r="C101" s="222" t="str">
        <f t="shared" si="50"/>
        <v>BSrf_15-30_2001_b</v>
      </c>
      <c r="D101" s="224">
        <v>8.0020000000000007</v>
      </c>
      <c r="E101" s="222">
        <f t="shared" si="61"/>
        <v>5</v>
      </c>
      <c r="F101" s="222" t="s">
        <v>384</v>
      </c>
      <c r="G101" s="222" t="str">
        <f t="shared" si="62"/>
        <v/>
      </c>
      <c r="H101" s="223">
        <f>VLOOKUP($A101,'2001_Inc_01.12.20'!$A$18:$Z$41,9,FALSE)</f>
        <v>44165.4375</v>
      </c>
      <c r="I101" s="222">
        <f t="shared" si="36"/>
        <v>2020</v>
      </c>
      <c r="J101" s="222">
        <f t="shared" si="56"/>
        <v>11</v>
      </c>
      <c r="K101" s="224">
        <f t="shared" si="57"/>
        <v>30.4375</v>
      </c>
      <c r="L101" s="223">
        <f>VLOOKUP($A101,'2001_Inc_08.12.20'!$A$18:$Z$41,2,FALSE)</f>
        <v>44173.469444444447</v>
      </c>
      <c r="M101" s="222">
        <f t="shared" si="37"/>
        <v>2020</v>
      </c>
      <c r="N101" s="222">
        <f t="shared" si="58"/>
        <v>12</v>
      </c>
      <c r="O101" s="224">
        <f t="shared" si="59"/>
        <v>8.4694444444467081</v>
      </c>
      <c r="P101" s="224">
        <f t="shared" si="60"/>
        <v>8.0319444444467081</v>
      </c>
      <c r="Q101" s="225" t="str">
        <f>IFERROR(VLOOKUP($A101,'2001_Inc_08.12.20'!$A$18:$Z$41,14,FALSE),"")</f>
        <v/>
      </c>
    </row>
    <row r="102" spans="1:17">
      <c r="A102" s="221" t="s">
        <v>304</v>
      </c>
      <c r="B102" s="222" t="str">
        <f t="shared" si="34"/>
        <v>BSwf</v>
      </c>
      <c r="C102" s="222" t="str">
        <f t="shared" si="50"/>
        <v>BSwf_0-10_2001_a</v>
      </c>
      <c r="D102" s="224">
        <v>8.1020000000000003</v>
      </c>
      <c r="E102" s="222">
        <f t="shared" si="61"/>
        <v>5</v>
      </c>
      <c r="F102" s="222" t="s">
        <v>384</v>
      </c>
      <c r="G102" s="222" t="str">
        <f t="shared" si="62"/>
        <v/>
      </c>
      <c r="H102" s="223">
        <f>VLOOKUP($A102,'2001_Inc_01.12.20'!$A$18:$Z$41,9,FALSE)</f>
        <v>44165.4375</v>
      </c>
      <c r="I102" s="222">
        <f t="shared" si="36"/>
        <v>2020</v>
      </c>
      <c r="J102" s="222">
        <f t="shared" si="56"/>
        <v>11</v>
      </c>
      <c r="K102" s="224">
        <f t="shared" si="57"/>
        <v>30.4375</v>
      </c>
      <c r="L102" s="223">
        <f>VLOOKUP($A102,'2001_Inc_08.12.20'!$A$18:$Z$41,2,FALSE)</f>
        <v>44173.469444444447</v>
      </c>
      <c r="M102" s="222">
        <f t="shared" si="37"/>
        <v>2020</v>
      </c>
      <c r="N102" s="222">
        <f t="shared" si="58"/>
        <v>12</v>
      </c>
      <c r="O102" s="224">
        <f t="shared" si="59"/>
        <v>8.4694444444467081</v>
      </c>
      <c r="P102" s="224">
        <f t="shared" si="60"/>
        <v>8.0319444444467081</v>
      </c>
      <c r="Q102" s="225" t="str">
        <f>IFERROR(VLOOKUP($A102,'2001_Inc_08.12.20'!$A$18:$Z$41,14,FALSE),"")</f>
        <v/>
      </c>
    </row>
    <row r="103" spans="1:17">
      <c r="A103" s="221" t="s">
        <v>305</v>
      </c>
      <c r="B103" s="222" t="str">
        <f t="shared" si="34"/>
        <v>BSwf</v>
      </c>
      <c r="C103" s="222" t="str">
        <f t="shared" si="50"/>
        <v>BSwf_0-10_2001_b</v>
      </c>
      <c r="D103" s="224">
        <v>7.9859999999999998</v>
      </c>
      <c r="E103" s="222">
        <f t="shared" si="61"/>
        <v>5</v>
      </c>
      <c r="F103" s="222" t="s">
        <v>384</v>
      </c>
      <c r="G103" s="222" t="str">
        <f t="shared" si="62"/>
        <v/>
      </c>
      <c r="H103" s="223">
        <f>VLOOKUP($A103,'2001_Inc_01.12.20'!$A$18:$Z$41,9,FALSE)</f>
        <v>44165.4375</v>
      </c>
      <c r="I103" s="222">
        <f t="shared" si="36"/>
        <v>2020</v>
      </c>
      <c r="J103" s="222">
        <f t="shared" si="56"/>
        <v>11</v>
      </c>
      <c r="K103" s="224">
        <f t="shared" si="57"/>
        <v>30.4375</v>
      </c>
      <c r="L103" s="223">
        <f>VLOOKUP($A103,'2001_Inc_08.12.20'!$A$18:$Z$41,2,FALSE)</f>
        <v>44173.469444444447</v>
      </c>
      <c r="M103" s="222">
        <f t="shared" si="37"/>
        <v>2020</v>
      </c>
      <c r="N103" s="222">
        <f t="shared" si="58"/>
        <v>12</v>
      </c>
      <c r="O103" s="224">
        <f t="shared" si="59"/>
        <v>8.4694444444467081</v>
      </c>
      <c r="P103" s="224">
        <f t="shared" si="60"/>
        <v>8.0319444444467081</v>
      </c>
      <c r="Q103" s="225">
        <f>IFERROR(VLOOKUP($A103,'2001_Inc_08.12.20'!$A$18:$Z$41,14,FALSE),"")</f>
        <v>9.2989076974448963</v>
      </c>
    </row>
    <row r="104" spans="1:17">
      <c r="A104" s="221" t="s">
        <v>306</v>
      </c>
      <c r="B104" s="222" t="str">
        <f t="shared" si="34"/>
        <v>BSwf</v>
      </c>
      <c r="C104" s="222" t="str">
        <f t="shared" si="50"/>
        <v>BSwf_10-19_2001_a</v>
      </c>
      <c r="D104" s="224">
        <v>8.0489999999999995</v>
      </c>
      <c r="E104" s="222">
        <f t="shared" si="61"/>
        <v>5</v>
      </c>
      <c r="F104" s="222" t="s">
        <v>384</v>
      </c>
      <c r="G104" s="222" t="str">
        <f t="shared" si="62"/>
        <v/>
      </c>
      <c r="H104" s="223">
        <f>VLOOKUP($A104,'2001_Inc_01.12.20'!$A$18:$Z$41,9,FALSE)</f>
        <v>44165.4375</v>
      </c>
      <c r="I104" s="222">
        <f t="shared" si="36"/>
        <v>2020</v>
      </c>
      <c r="J104" s="222">
        <f t="shared" si="56"/>
        <v>11</v>
      </c>
      <c r="K104" s="224">
        <f t="shared" si="57"/>
        <v>30.4375</v>
      </c>
      <c r="L104" s="223">
        <f>VLOOKUP($A104,'2001_Inc_08.12.20'!$A$18:$Z$41,2,FALSE)</f>
        <v>44173.469444444447</v>
      </c>
      <c r="M104" s="222">
        <f t="shared" si="37"/>
        <v>2020</v>
      </c>
      <c r="N104" s="222">
        <f t="shared" si="58"/>
        <v>12</v>
      </c>
      <c r="O104" s="224">
        <f t="shared" si="59"/>
        <v>8.4694444444467081</v>
      </c>
      <c r="P104" s="224">
        <f t="shared" si="60"/>
        <v>8.0319444444467081</v>
      </c>
      <c r="Q104" s="225" t="str">
        <f>IFERROR(VLOOKUP($A104,'2001_Inc_08.12.20'!$A$18:$Z$41,14,FALSE),"")</f>
        <v/>
      </c>
    </row>
    <row r="105" spans="1:17">
      <c r="A105" s="221" t="s">
        <v>307</v>
      </c>
      <c r="B105" s="222" t="str">
        <f t="shared" si="34"/>
        <v>BSwf</v>
      </c>
      <c r="C105" s="222" t="str">
        <f t="shared" si="50"/>
        <v>BSwf_10-19_2001_b</v>
      </c>
      <c r="D105" s="224">
        <v>8.0150000000000006</v>
      </c>
      <c r="E105" s="222">
        <f t="shared" si="61"/>
        <v>5</v>
      </c>
      <c r="F105" s="222" t="s">
        <v>384</v>
      </c>
      <c r="G105" s="222" t="str">
        <f t="shared" si="62"/>
        <v/>
      </c>
      <c r="H105" s="223">
        <f>VLOOKUP($A105,'2001_Inc_01.12.20'!$A$18:$Z$41,9,FALSE)</f>
        <v>44165.4375</v>
      </c>
      <c r="I105" s="222">
        <f t="shared" si="36"/>
        <v>2020</v>
      </c>
      <c r="J105" s="222">
        <f t="shared" si="56"/>
        <v>11</v>
      </c>
      <c r="K105" s="224">
        <f t="shared" si="57"/>
        <v>30.4375</v>
      </c>
      <c r="L105" s="223">
        <f>VLOOKUP($A105,'2001_Inc_08.12.20'!$A$18:$Z$41,2,FALSE)</f>
        <v>44173.469444444447</v>
      </c>
      <c r="M105" s="222">
        <f t="shared" si="37"/>
        <v>2020</v>
      </c>
      <c r="N105" s="222">
        <f t="shared" si="58"/>
        <v>12</v>
      </c>
      <c r="O105" s="224">
        <f t="shared" si="59"/>
        <v>8.4694444444467081</v>
      </c>
      <c r="P105" s="224">
        <f t="shared" si="60"/>
        <v>8.0319444444467081</v>
      </c>
      <c r="Q105" s="225" t="str">
        <f>IFERROR(VLOOKUP($A105,'2001_Inc_08.12.20'!$A$18:$Z$41,14,FALSE),"")</f>
        <v/>
      </c>
    </row>
    <row r="106" spans="1:17">
      <c r="A106" s="221" t="s">
        <v>308</v>
      </c>
      <c r="B106" s="222" t="str">
        <f t="shared" si="34"/>
        <v>BSpp</v>
      </c>
      <c r="C106" s="222" t="str">
        <f t="shared" si="50"/>
        <v>BSpp_0-7_2001_a</v>
      </c>
      <c r="D106" s="224">
        <v>8.1419999999999995</v>
      </c>
      <c r="E106" s="222">
        <f t="shared" si="61"/>
        <v>5</v>
      </c>
      <c r="F106" s="222" t="s">
        <v>384</v>
      </c>
      <c r="G106" s="222" t="str">
        <f t="shared" si="62"/>
        <v/>
      </c>
      <c r="H106" s="223">
        <f>VLOOKUP($A106,'2001_Inc_01.12.20'!$A$18:$Z$41,9,FALSE)</f>
        <v>44165.4375</v>
      </c>
      <c r="I106" s="222">
        <f t="shared" si="36"/>
        <v>2020</v>
      </c>
      <c r="J106" s="222">
        <f t="shared" si="56"/>
        <v>11</v>
      </c>
      <c r="K106" s="224">
        <f t="shared" si="57"/>
        <v>30.4375</v>
      </c>
      <c r="L106" s="223">
        <f>VLOOKUP($A106,'2001_Inc_08.12.20'!$A$18:$Z$41,2,FALSE)</f>
        <v>44173.469444444447</v>
      </c>
      <c r="M106" s="222">
        <f t="shared" si="37"/>
        <v>2020</v>
      </c>
      <c r="N106" s="222">
        <f t="shared" si="58"/>
        <v>12</v>
      </c>
      <c r="O106" s="224">
        <f t="shared" si="59"/>
        <v>8.4694444444467081</v>
      </c>
      <c r="P106" s="224">
        <f t="shared" si="60"/>
        <v>8.0319444444467081</v>
      </c>
      <c r="Q106" s="225">
        <f>IFERROR(VLOOKUP($A106,'2001_Inc_08.12.20'!$A$18:$Z$41,14,FALSE),"")</f>
        <v>9.0854551561296297</v>
      </c>
    </row>
    <row r="107" spans="1:17">
      <c r="A107" s="221" t="s">
        <v>309</v>
      </c>
      <c r="B107" s="222" t="str">
        <f t="shared" si="34"/>
        <v>BSpp</v>
      </c>
      <c r="C107" s="222" t="str">
        <f t="shared" si="50"/>
        <v>BSpp_0-7_2001_b</v>
      </c>
      <c r="D107" s="224">
        <v>8.0820000000000007</v>
      </c>
      <c r="E107" s="222">
        <f t="shared" si="61"/>
        <v>5</v>
      </c>
      <c r="F107" s="222" t="s">
        <v>384</v>
      </c>
      <c r="G107" s="222" t="str">
        <f t="shared" si="62"/>
        <v/>
      </c>
      <c r="H107" s="223">
        <f>VLOOKUP($A107,'2001_Inc_01.12.20'!$A$18:$Z$41,9,FALSE)</f>
        <v>44165.4375</v>
      </c>
      <c r="I107" s="222">
        <f t="shared" si="36"/>
        <v>2020</v>
      </c>
      <c r="J107" s="222">
        <f t="shared" si="56"/>
        <v>11</v>
      </c>
      <c r="K107" s="224">
        <f t="shared" si="57"/>
        <v>30.4375</v>
      </c>
      <c r="L107" s="223">
        <f>VLOOKUP($A107,'2001_Inc_08.12.20'!$A$18:$Z$41,2,FALSE)</f>
        <v>44173.469444444447</v>
      </c>
      <c r="M107" s="222">
        <f t="shared" si="37"/>
        <v>2020</v>
      </c>
      <c r="N107" s="222">
        <f t="shared" si="58"/>
        <v>12</v>
      </c>
      <c r="O107" s="224">
        <f t="shared" si="59"/>
        <v>8.4694444444467081</v>
      </c>
      <c r="P107" s="224">
        <f t="shared" si="60"/>
        <v>8.0319444444467081</v>
      </c>
      <c r="Q107" s="225" t="str">
        <f>IFERROR(VLOOKUP($A107,'2001_Inc_08.12.20'!$A$18:$Z$41,14,FALSE),"")</f>
        <v/>
      </c>
    </row>
    <row r="108" spans="1:17">
      <c r="A108" s="221" t="s">
        <v>310</v>
      </c>
      <c r="B108" s="222" t="str">
        <f t="shared" si="34"/>
        <v>BSpp</v>
      </c>
      <c r="C108" s="222" t="str">
        <f t="shared" si="50"/>
        <v>BSpp_7-18_2001_a</v>
      </c>
      <c r="D108" s="224">
        <v>7.992</v>
      </c>
      <c r="E108" s="222">
        <f t="shared" si="61"/>
        <v>5</v>
      </c>
      <c r="F108" s="222" t="s">
        <v>384</v>
      </c>
      <c r="G108" s="222" t="str">
        <f t="shared" si="62"/>
        <v/>
      </c>
      <c r="H108" s="223">
        <f>VLOOKUP($A108,'2001_Inc_01.12.20'!$A$18:$Z$41,9,FALSE)</f>
        <v>44165.4375</v>
      </c>
      <c r="I108" s="222">
        <f t="shared" si="36"/>
        <v>2020</v>
      </c>
      <c r="J108" s="222">
        <f t="shared" si="56"/>
        <v>11</v>
      </c>
      <c r="K108" s="224">
        <f t="shared" si="57"/>
        <v>30.4375</v>
      </c>
      <c r="L108" s="223">
        <f>VLOOKUP($A108,'2001_Inc_08.12.20'!$A$18:$Z$41,2,FALSE)</f>
        <v>44173.469444444447</v>
      </c>
      <c r="M108" s="222">
        <f t="shared" si="37"/>
        <v>2020</v>
      </c>
      <c r="N108" s="222">
        <f t="shared" si="58"/>
        <v>12</v>
      </c>
      <c r="O108" s="224">
        <f t="shared" si="59"/>
        <v>8.4694444444467081</v>
      </c>
      <c r="P108" s="224">
        <f t="shared" si="60"/>
        <v>8.0319444444467081</v>
      </c>
      <c r="Q108" s="225">
        <f>IFERROR(VLOOKUP($A108,'2001_Inc_08.12.20'!$A$18:$Z$41,14,FALSE),"")</f>
        <v>5.1648623118005759</v>
      </c>
    </row>
    <row r="109" spans="1:17">
      <c r="A109" s="221" t="s">
        <v>311</v>
      </c>
      <c r="B109" s="222" t="str">
        <f t="shared" si="34"/>
        <v>BSpp</v>
      </c>
      <c r="C109" s="222" t="str">
        <f t="shared" si="50"/>
        <v>BSpp_7-18_2001_b</v>
      </c>
      <c r="D109" s="224">
        <v>8.06</v>
      </c>
      <c r="E109" s="222">
        <f t="shared" si="61"/>
        <v>5</v>
      </c>
      <c r="F109" s="222" t="s">
        <v>384</v>
      </c>
      <c r="G109" s="222" t="str">
        <f t="shared" si="62"/>
        <v/>
      </c>
      <c r="H109" s="223">
        <f>VLOOKUP($A109,'2001_Inc_01.12.20'!$A$18:$Z$41,9,FALSE)</f>
        <v>44165.4375</v>
      </c>
      <c r="I109" s="222">
        <f t="shared" si="36"/>
        <v>2020</v>
      </c>
      <c r="J109" s="222">
        <f t="shared" si="56"/>
        <v>11</v>
      </c>
      <c r="K109" s="224">
        <f t="shared" si="57"/>
        <v>30.4375</v>
      </c>
      <c r="L109" s="223">
        <f>VLOOKUP($A109,'2001_Inc_08.12.20'!$A$18:$Z$41,2,FALSE)</f>
        <v>44173.469444444447</v>
      </c>
      <c r="M109" s="222">
        <f t="shared" si="37"/>
        <v>2020</v>
      </c>
      <c r="N109" s="222">
        <f t="shared" si="58"/>
        <v>12</v>
      </c>
      <c r="O109" s="224">
        <f t="shared" si="59"/>
        <v>8.4694444444467081</v>
      </c>
      <c r="P109" s="224">
        <f t="shared" si="60"/>
        <v>8.0319444444467081</v>
      </c>
      <c r="Q109" s="225" t="str">
        <f>IFERROR(VLOOKUP($A109,'2001_Inc_08.12.20'!$A$18:$Z$41,14,FALSE),"")</f>
        <v/>
      </c>
    </row>
    <row r="110" spans="1:17">
      <c r="A110" s="221" t="s">
        <v>312</v>
      </c>
      <c r="B110" s="222" t="str">
        <f t="shared" si="34"/>
        <v>BSpp</v>
      </c>
      <c r="C110" s="222" t="str">
        <f t="shared" si="50"/>
        <v>BSpp_18-28_2001_a</v>
      </c>
      <c r="D110" s="224">
        <v>7.9939999999999998</v>
      </c>
      <c r="E110" s="222">
        <f t="shared" si="61"/>
        <v>5</v>
      </c>
      <c r="F110" s="222" t="s">
        <v>384</v>
      </c>
      <c r="G110" s="222" t="str">
        <f t="shared" si="62"/>
        <v/>
      </c>
      <c r="H110" s="223">
        <f>VLOOKUP($A110,'2001_Inc_01.12.20'!$A$18:$Z$41,9,FALSE)</f>
        <v>44165.4375</v>
      </c>
      <c r="I110" s="222">
        <f t="shared" si="36"/>
        <v>2020</v>
      </c>
      <c r="J110" s="222">
        <f t="shared" si="56"/>
        <v>11</v>
      </c>
      <c r="K110" s="224">
        <f t="shared" si="57"/>
        <v>30.4375</v>
      </c>
      <c r="L110" s="223">
        <f>VLOOKUP($A110,'2001_Inc_08.12.20'!$A$18:$Z$41,2,FALSE)</f>
        <v>44173.469444444447</v>
      </c>
      <c r="M110" s="222">
        <f t="shared" si="37"/>
        <v>2020</v>
      </c>
      <c r="N110" s="222">
        <f t="shared" si="58"/>
        <v>12</v>
      </c>
      <c r="O110" s="224">
        <f t="shared" si="59"/>
        <v>8.4694444444467081</v>
      </c>
      <c r="P110" s="224">
        <f t="shared" si="60"/>
        <v>8.0319444444467081</v>
      </c>
      <c r="Q110" s="225">
        <f>IFERROR(VLOOKUP($A110,'2001_Inc_08.12.20'!$A$18:$Z$41,14,FALSE),"")</f>
        <v>1.5677023038234885</v>
      </c>
    </row>
    <row r="111" spans="1:17">
      <c r="A111" s="231" t="s">
        <v>313</v>
      </c>
      <c r="B111" s="232" t="str">
        <f t="shared" si="34"/>
        <v>BSpp</v>
      </c>
      <c r="C111" s="232" t="str">
        <f t="shared" si="50"/>
        <v>BSpp_18-28_2001_b</v>
      </c>
      <c r="D111" s="234">
        <v>8.0060000000000002</v>
      </c>
      <c r="E111" s="232">
        <f t="shared" si="61"/>
        <v>5</v>
      </c>
      <c r="F111" s="232" t="s">
        <v>384</v>
      </c>
      <c r="G111" s="232" t="str">
        <f t="shared" si="62"/>
        <v/>
      </c>
      <c r="H111" s="233">
        <f>VLOOKUP($A111,'2001_Inc_01.12.20'!$A$18:$Z$41,9,FALSE)</f>
        <v>44165.4375</v>
      </c>
      <c r="I111" s="232">
        <f t="shared" si="36"/>
        <v>2020</v>
      </c>
      <c r="J111" s="232">
        <f t="shared" si="56"/>
        <v>11</v>
      </c>
      <c r="K111" s="234">
        <f t="shared" si="57"/>
        <v>30.4375</v>
      </c>
      <c r="L111" s="233">
        <f>VLOOKUP($A111,'2001_Inc_08.12.20'!$A$18:$Z$41,2,FALSE)</f>
        <v>44173.469444444447</v>
      </c>
      <c r="M111" s="232">
        <f t="shared" si="37"/>
        <v>2020</v>
      </c>
      <c r="N111" s="232">
        <f t="shared" si="58"/>
        <v>12</v>
      </c>
      <c r="O111" s="234">
        <f t="shared" si="59"/>
        <v>8.4694444444467081</v>
      </c>
      <c r="P111" s="234">
        <f t="shared" si="60"/>
        <v>8.0319444444467081</v>
      </c>
      <c r="Q111" s="235">
        <f>IFERROR(VLOOKUP($A111,'2001_Inc_08.12.20'!$A$18:$Z$41,14,FALSE),"")</f>
        <v>2.6243117807389278</v>
      </c>
    </row>
    <row r="112" spans="1:17">
      <c r="A112" s="226" t="s">
        <v>292</v>
      </c>
      <c r="B112" s="227" t="str">
        <f t="shared" si="34"/>
        <v>ANpp</v>
      </c>
      <c r="C112" s="227" t="str">
        <f t="shared" ref="C112:C133" si="63">B112&amp;"_"&amp;IF(LEFT(RIGHT(A112,11),1)="_",RIGHT(A112,10),IF(LEFT(RIGHT(A112,12),1)="_",RIGHT(A112,11),RIGHT(A112,12)))</f>
        <v>ANpp_0-6_2001_a</v>
      </c>
      <c r="D112" s="229">
        <v>8.08</v>
      </c>
      <c r="E112" s="227">
        <v>6</v>
      </c>
      <c r="F112" s="227" t="s">
        <v>385</v>
      </c>
      <c r="G112" s="227" t="str">
        <f t="shared" si="62"/>
        <v/>
      </c>
      <c r="H112" s="228">
        <f>VLOOKUP($A112,'2001_Inc_01.12.20'!$A$18:$Z$41,9,FALSE)</f>
        <v>44165.4375</v>
      </c>
      <c r="I112" s="227">
        <f t="shared" si="36"/>
        <v>2020</v>
      </c>
      <c r="J112" s="227">
        <f t="shared" ref="J112" si="64">MONTH(H112)</f>
        <v>11</v>
      </c>
      <c r="K112" s="229">
        <f t="shared" ref="K112" si="65">DAY(H112)+H112-ROUNDDOWN(H112,0)</f>
        <v>30.4375</v>
      </c>
      <c r="L112" s="228">
        <f>VLOOKUP($A112,'2001_Inc_11.12.20'!$A$18:$Z$41,2,FALSE)</f>
        <v>44176.5</v>
      </c>
      <c r="M112" s="227">
        <f t="shared" si="37"/>
        <v>2020</v>
      </c>
      <c r="N112" s="227">
        <f t="shared" ref="N112" si="66">MONTH(L112)</f>
        <v>12</v>
      </c>
      <c r="O112" s="229">
        <f t="shared" ref="O112" si="67">DAY(L112)+L112-ROUNDDOWN(L112,0)</f>
        <v>11.5</v>
      </c>
      <c r="P112" s="229">
        <f t="shared" ref="P112" si="68">L112-H112</f>
        <v>11.0625</v>
      </c>
      <c r="Q112" s="230">
        <f>IFERROR(VLOOKUP($A112,'2001_Inc_11.12.20'!$A$18:$Z$41,14,FALSE),"")</f>
        <v>19.367906533391562</v>
      </c>
    </row>
    <row r="113" spans="1:17">
      <c r="A113" s="221" t="s">
        <v>293</v>
      </c>
      <c r="B113" s="222" t="str">
        <f t="shared" si="34"/>
        <v>ANpp</v>
      </c>
      <c r="C113" s="222" t="str">
        <f t="shared" si="63"/>
        <v>ANpp_0-6_2001_b</v>
      </c>
      <c r="D113" s="224">
        <v>8.0500000000000007</v>
      </c>
      <c r="E113" s="222">
        <f>E112</f>
        <v>6</v>
      </c>
      <c r="F113" s="222" t="s">
        <v>385</v>
      </c>
      <c r="G113" s="222" t="str">
        <f t="shared" si="62"/>
        <v/>
      </c>
      <c r="H113" s="223">
        <f>VLOOKUP($A113,'2001_Inc_01.12.20'!$A$18:$Z$41,9,FALSE)</f>
        <v>44165.4375</v>
      </c>
      <c r="I113" s="222">
        <f t="shared" si="36"/>
        <v>2020</v>
      </c>
      <c r="J113" s="222">
        <f t="shared" ref="J113:J133" si="69">MONTH(H113)</f>
        <v>11</v>
      </c>
      <c r="K113" s="224">
        <f t="shared" ref="K113:K133" si="70">DAY(H113)+H113-ROUNDDOWN(H113,0)</f>
        <v>30.4375</v>
      </c>
      <c r="L113" s="223">
        <f>VLOOKUP($A113,'2001_Inc_11.12.20'!$A$18:$Z$41,2,FALSE)</f>
        <v>44176.5</v>
      </c>
      <c r="M113" s="222">
        <f t="shared" si="37"/>
        <v>2020</v>
      </c>
      <c r="N113" s="222">
        <f t="shared" ref="N113:N133" si="71">MONTH(L113)</f>
        <v>12</v>
      </c>
      <c r="O113" s="224">
        <f t="shared" ref="O113:O133" si="72">DAY(L113)+L113-ROUNDDOWN(L113,0)</f>
        <v>11.5</v>
      </c>
      <c r="P113" s="224">
        <f t="shared" ref="P113:P133" si="73">L113-H113</f>
        <v>11.0625</v>
      </c>
      <c r="Q113" s="225">
        <f>IFERROR(VLOOKUP($A113,'2001_Inc_11.12.20'!$A$18:$Z$41,14,FALSE),"")</f>
        <v>7.3830431708856423</v>
      </c>
    </row>
    <row r="114" spans="1:17">
      <c r="A114" s="221" t="s">
        <v>294</v>
      </c>
      <c r="B114" s="222" t="str">
        <f t="shared" si="34"/>
        <v>ANpp</v>
      </c>
      <c r="C114" s="222" t="str">
        <f t="shared" si="63"/>
        <v>ANpp_6-13_2001_a</v>
      </c>
      <c r="D114" s="224">
        <v>7.97</v>
      </c>
      <c r="E114" s="222">
        <f t="shared" ref="E114:E133" si="74">E113</f>
        <v>6</v>
      </c>
      <c r="F114" s="222" t="s">
        <v>385</v>
      </c>
      <c r="G114" s="222" t="str">
        <f t="shared" si="62"/>
        <v/>
      </c>
      <c r="H114" s="223">
        <f>VLOOKUP($A114,'2001_Inc_01.12.20'!$A$18:$Z$41,9,FALSE)</f>
        <v>44165.4375</v>
      </c>
      <c r="I114" s="222">
        <f t="shared" si="36"/>
        <v>2020</v>
      </c>
      <c r="J114" s="222">
        <f t="shared" si="69"/>
        <v>11</v>
      </c>
      <c r="K114" s="224">
        <f t="shared" si="70"/>
        <v>30.4375</v>
      </c>
      <c r="L114" s="223">
        <f>VLOOKUP($A114,'2001_Inc_11.12.20'!$A$18:$Z$41,2,FALSE)</f>
        <v>44176.5</v>
      </c>
      <c r="M114" s="222">
        <f t="shared" si="37"/>
        <v>2020</v>
      </c>
      <c r="N114" s="222">
        <f t="shared" si="71"/>
        <v>12</v>
      </c>
      <c r="O114" s="224">
        <f t="shared" si="72"/>
        <v>11.5</v>
      </c>
      <c r="P114" s="224">
        <f t="shared" si="73"/>
        <v>11.0625</v>
      </c>
      <c r="Q114" s="225" t="str">
        <f>IFERROR(VLOOKUP($A114,'2001_Inc_11.12.20'!$A$18:$Z$41,14,FALSE),"")</f>
        <v/>
      </c>
    </row>
    <row r="115" spans="1:17">
      <c r="A115" s="221" t="s">
        <v>295</v>
      </c>
      <c r="B115" s="222" t="str">
        <f t="shared" si="34"/>
        <v>ANpp</v>
      </c>
      <c r="C115" s="222" t="str">
        <f t="shared" si="63"/>
        <v>ANpp_6-13_2001_b</v>
      </c>
      <c r="D115" s="224">
        <v>8.0280000000000005</v>
      </c>
      <c r="E115" s="222">
        <f t="shared" si="74"/>
        <v>6</v>
      </c>
      <c r="F115" s="222" t="s">
        <v>385</v>
      </c>
      <c r="G115" s="222" t="str">
        <f t="shared" si="62"/>
        <v/>
      </c>
      <c r="H115" s="223">
        <f>VLOOKUP($A115,'2001_Inc_01.12.20'!$A$18:$Z$41,9,FALSE)</f>
        <v>44165.4375</v>
      </c>
      <c r="I115" s="222">
        <f t="shared" si="36"/>
        <v>2020</v>
      </c>
      <c r="J115" s="222">
        <f t="shared" si="69"/>
        <v>11</v>
      </c>
      <c r="K115" s="224">
        <f t="shared" si="70"/>
        <v>30.4375</v>
      </c>
      <c r="L115" s="223">
        <f>VLOOKUP($A115,'2001_Inc_11.12.20'!$A$18:$Z$41,2,FALSE)</f>
        <v>44176.5</v>
      </c>
      <c r="M115" s="222">
        <f t="shared" si="37"/>
        <v>2020</v>
      </c>
      <c r="N115" s="222">
        <f t="shared" si="71"/>
        <v>12</v>
      </c>
      <c r="O115" s="224">
        <f t="shared" si="72"/>
        <v>11.5</v>
      </c>
      <c r="P115" s="224">
        <f t="shared" si="73"/>
        <v>11.0625</v>
      </c>
      <c r="Q115" s="225" t="str">
        <f>IFERROR(VLOOKUP($A115,'2001_Inc_11.12.20'!$A$18:$Z$41,14,FALSE),"")</f>
        <v/>
      </c>
    </row>
    <row r="116" spans="1:17">
      <c r="A116" s="221" t="s">
        <v>296</v>
      </c>
      <c r="B116" s="222" t="str">
        <f t="shared" si="34"/>
        <v>ANpp</v>
      </c>
      <c r="C116" s="222" t="str">
        <f t="shared" si="63"/>
        <v>ANpp_13-33_2001_a</v>
      </c>
      <c r="D116" s="224">
        <v>8.0180000000000007</v>
      </c>
      <c r="E116" s="222">
        <f t="shared" si="74"/>
        <v>6</v>
      </c>
      <c r="F116" s="222" t="s">
        <v>385</v>
      </c>
      <c r="G116" s="222" t="str">
        <f t="shared" si="62"/>
        <v/>
      </c>
      <c r="H116" s="223">
        <f>VLOOKUP($A116,'2001_Inc_01.12.20'!$A$18:$Z$41,9,FALSE)</f>
        <v>44165.4375</v>
      </c>
      <c r="I116" s="222">
        <f t="shared" si="36"/>
        <v>2020</v>
      </c>
      <c r="J116" s="222">
        <f t="shared" si="69"/>
        <v>11</v>
      </c>
      <c r="K116" s="224">
        <f t="shared" si="70"/>
        <v>30.4375</v>
      </c>
      <c r="L116" s="223">
        <f>VLOOKUP($A116,'2001_Inc_11.12.20'!$A$18:$Z$41,2,FALSE)</f>
        <v>44176.5</v>
      </c>
      <c r="M116" s="222">
        <f t="shared" si="37"/>
        <v>2020</v>
      </c>
      <c r="N116" s="222">
        <f t="shared" si="71"/>
        <v>12</v>
      </c>
      <c r="O116" s="224">
        <f t="shared" si="72"/>
        <v>11.5</v>
      </c>
      <c r="P116" s="224">
        <f t="shared" si="73"/>
        <v>11.0625</v>
      </c>
      <c r="Q116" s="225" t="str">
        <f>IFERROR(VLOOKUP($A116,'2001_Inc_11.12.20'!$A$18:$Z$41,14,FALSE),"")</f>
        <v/>
      </c>
    </row>
    <row r="117" spans="1:17">
      <c r="A117" s="221" t="s">
        <v>297</v>
      </c>
      <c r="B117" s="222" t="str">
        <f t="shared" si="34"/>
        <v>ANpp</v>
      </c>
      <c r="C117" s="222" t="str">
        <f t="shared" si="63"/>
        <v>ANpp_13-33_2001_b</v>
      </c>
      <c r="D117" s="224">
        <v>8.0079999999999991</v>
      </c>
      <c r="E117" s="222">
        <f t="shared" si="74"/>
        <v>6</v>
      </c>
      <c r="F117" s="222" t="s">
        <v>385</v>
      </c>
      <c r="G117" s="222" t="str">
        <f t="shared" si="62"/>
        <v/>
      </c>
      <c r="H117" s="223">
        <f>VLOOKUP($A117,'2001_Inc_01.12.20'!$A$18:$Z$41,9,FALSE)</f>
        <v>44165.4375</v>
      </c>
      <c r="I117" s="222">
        <f t="shared" si="36"/>
        <v>2020</v>
      </c>
      <c r="J117" s="222">
        <f t="shared" si="69"/>
        <v>11</v>
      </c>
      <c r="K117" s="224">
        <f t="shared" si="70"/>
        <v>30.4375</v>
      </c>
      <c r="L117" s="223">
        <f>VLOOKUP($A117,'2001_Inc_11.12.20'!$A$18:$Z$41,2,FALSE)</f>
        <v>44176.5</v>
      </c>
      <c r="M117" s="222">
        <f t="shared" si="37"/>
        <v>2020</v>
      </c>
      <c r="N117" s="222">
        <f t="shared" si="71"/>
        <v>12</v>
      </c>
      <c r="O117" s="224">
        <f t="shared" si="72"/>
        <v>11.5</v>
      </c>
      <c r="P117" s="224">
        <f t="shared" si="73"/>
        <v>11.0625</v>
      </c>
      <c r="Q117" s="225">
        <f>IFERROR(VLOOKUP($A117,'2001_Inc_11.12.20'!$A$18:$Z$41,14,FALSE),"")</f>
        <v>2.4945942801364644</v>
      </c>
    </row>
    <row r="118" spans="1:17">
      <c r="A118" s="221" t="s">
        <v>298</v>
      </c>
      <c r="B118" s="222" t="str">
        <f t="shared" si="34"/>
        <v>BSrf</v>
      </c>
      <c r="C118" s="222" t="str">
        <f t="shared" si="63"/>
        <v>BSrf_0-8_2001_a</v>
      </c>
      <c r="D118" s="224">
        <v>8.0860000000000003</v>
      </c>
      <c r="E118" s="222">
        <f t="shared" si="74"/>
        <v>6</v>
      </c>
      <c r="F118" s="222" t="s">
        <v>385</v>
      </c>
      <c r="G118" s="222" t="str">
        <f t="shared" si="62"/>
        <v/>
      </c>
      <c r="H118" s="223">
        <f>VLOOKUP($A118,'2001_Inc_01.12.20'!$A$18:$Z$41,9,FALSE)</f>
        <v>44165.4375</v>
      </c>
      <c r="I118" s="222">
        <f t="shared" si="36"/>
        <v>2020</v>
      </c>
      <c r="J118" s="222">
        <f t="shared" si="69"/>
        <v>11</v>
      </c>
      <c r="K118" s="224">
        <f t="shared" si="70"/>
        <v>30.4375</v>
      </c>
      <c r="L118" s="223">
        <f>VLOOKUP($A118,'2001_Inc_11.12.20'!$A$18:$Z$41,2,FALSE)</f>
        <v>44176.5</v>
      </c>
      <c r="M118" s="222">
        <f t="shared" si="37"/>
        <v>2020</v>
      </c>
      <c r="N118" s="222">
        <f t="shared" si="71"/>
        <v>12</v>
      </c>
      <c r="O118" s="224">
        <f t="shared" si="72"/>
        <v>11.5</v>
      </c>
      <c r="P118" s="224">
        <f t="shared" si="73"/>
        <v>11.0625</v>
      </c>
      <c r="Q118" s="225" t="str">
        <f>IFERROR(VLOOKUP($A118,'2001_Inc_11.12.20'!$A$18:$Z$41,14,FALSE),"")</f>
        <v/>
      </c>
    </row>
    <row r="119" spans="1:17">
      <c r="A119" s="221" t="s">
        <v>299</v>
      </c>
      <c r="B119" s="222" t="str">
        <f t="shared" si="34"/>
        <v>BSrf</v>
      </c>
      <c r="C119" s="222" t="str">
        <f t="shared" si="63"/>
        <v>BSrf_0-8_2001_b</v>
      </c>
      <c r="D119" s="224">
        <v>8.0169999999999995</v>
      </c>
      <c r="E119" s="222">
        <f t="shared" si="74"/>
        <v>6</v>
      </c>
      <c r="F119" s="222" t="s">
        <v>385</v>
      </c>
      <c r="G119" s="222" t="str">
        <f t="shared" si="62"/>
        <v/>
      </c>
      <c r="H119" s="223">
        <f>VLOOKUP($A119,'2001_Inc_01.12.20'!$A$18:$Z$41,9,FALSE)</f>
        <v>44165.4375</v>
      </c>
      <c r="I119" s="222">
        <f t="shared" si="36"/>
        <v>2020</v>
      </c>
      <c r="J119" s="222">
        <f t="shared" si="69"/>
        <v>11</v>
      </c>
      <c r="K119" s="224">
        <f t="shared" si="70"/>
        <v>30.4375</v>
      </c>
      <c r="L119" s="223">
        <f>VLOOKUP($A119,'2001_Inc_11.12.20'!$A$18:$Z$41,2,FALSE)</f>
        <v>44176.5</v>
      </c>
      <c r="M119" s="222">
        <f t="shared" si="37"/>
        <v>2020</v>
      </c>
      <c r="N119" s="222">
        <f t="shared" si="71"/>
        <v>12</v>
      </c>
      <c r="O119" s="224">
        <f t="shared" si="72"/>
        <v>11.5</v>
      </c>
      <c r="P119" s="224">
        <f t="shared" si="73"/>
        <v>11.0625</v>
      </c>
      <c r="Q119" s="225" t="str">
        <f>IFERROR(VLOOKUP($A119,'2001_Inc_11.12.20'!$A$18:$Z$41,14,FALSE),"")</f>
        <v/>
      </c>
    </row>
    <row r="120" spans="1:17">
      <c r="A120" s="221" t="s">
        <v>300</v>
      </c>
      <c r="B120" s="222" t="str">
        <f t="shared" si="34"/>
        <v>BSrf</v>
      </c>
      <c r="C120" s="222" t="str">
        <f t="shared" si="63"/>
        <v>BSrf_8-15_2001_a</v>
      </c>
      <c r="D120" s="224">
        <v>8.0619999999999994</v>
      </c>
      <c r="E120" s="222">
        <f t="shared" si="74"/>
        <v>6</v>
      </c>
      <c r="F120" s="222" t="s">
        <v>385</v>
      </c>
      <c r="G120" s="222" t="str">
        <f t="shared" si="62"/>
        <v/>
      </c>
      <c r="H120" s="223">
        <f>VLOOKUP($A120,'2001_Inc_01.12.20'!$A$18:$Z$41,9,FALSE)</f>
        <v>44165.4375</v>
      </c>
      <c r="I120" s="222">
        <f t="shared" si="36"/>
        <v>2020</v>
      </c>
      <c r="J120" s="222">
        <f t="shared" si="69"/>
        <v>11</v>
      </c>
      <c r="K120" s="224">
        <f t="shared" si="70"/>
        <v>30.4375</v>
      </c>
      <c r="L120" s="223">
        <f>VLOOKUP($A120,'2001_Inc_11.12.20'!$A$18:$Z$41,2,FALSE)</f>
        <v>44176.5</v>
      </c>
      <c r="M120" s="222">
        <f t="shared" si="37"/>
        <v>2020</v>
      </c>
      <c r="N120" s="222">
        <f t="shared" si="71"/>
        <v>12</v>
      </c>
      <c r="O120" s="224">
        <f t="shared" si="72"/>
        <v>11.5</v>
      </c>
      <c r="P120" s="224">
        <f t="shared" si="73"/>
        <v>11.0625</v>
      </c>
      <c r="Q120" s="225" t="str">
        <f>IFERROR(VLOOKUP($A120,'2001_Inc_11.12.20'!$A$18:$Z$41,14,FALSE),"")</f>
        <v/>
      </c>
    </row>
    <row r="121" spans="1:17">
      <c r="A121" s="221" t="s">
        <v>301</v>
      </c>
      <c r="B121" s="222" t="str">
        <f t="shared" si="34"/>
        <v>BSrf</v>
      </c>
      <c r="C121" s="222" t="str">
        <f t="shared" si="63"/>
        <v>BSrf_8-15_2001_b</v>
      </c>
      <c r="D121" s="224">
        <v>8.0229999999999997</v>
      </c>
      <c r="E121" s="222">
        <f t="shared" si="74"/>
        <v>6</v>
      </c>
      <c r="F121" s="222" t="s">
        <v>385</v>
      </c>
      <c r="G121" s="222" t="str">
        <f t="shared" si="62"/>
        <v/>
      </c>
      <c r="H121" s="223">
        <f>VLOOKUP($A121,'2001_Inc_01.12.20'!$A$18:$Z$41,9,FALSE)</f>
        <v>44165.4375</v>
      </c>
      <c r="I121" s="222">
        <f t="shared" si="36"/>
        <v>2020</v>
      </c>
      <c r="J121" s="222">
        <f t="shared" si="69"/>
        <v>11</v>
      </c>
      <c r="K121" s="224">
        <f t="shared" si="70"/>
        <v>30.4375</v>
      </c>
      <c r="L121" s="223">
        <f>VLOOKUP($A121,'2001_Inc_11.12.20'!$A$18:$Z$41,2,FALSE)</f>
        <v>44176.5</v>
      </c>
      <c r="M121" s="222">
        <f t="shared" si="37"/>
        <v>2020</v>
      </c>
      <c r="N121" s="222">
        <f t="shared" si="71"/>
        <v>12</v>
      </c>
      <c r="O121" s="224">
        <f t="shared" si="72"/>
        <v>11.5</v>
      </c>
      <c r="P121" s="224">
        <f t="shared" si="73"/>
        <v>11.0625</v>
      </c>
      <c r="Q121" s="225">
        <f>IFERROR(VLOOKUP($A121,'2001_Inc_11.12.20'!$A$18:$Z$41,14,FALSE),"")</f>
        <v>2.8076020229819676</v>
      </c>
    </row>
    <row r="122" spans="1:17">
      <c r="A122" s="221" t="s">
        <v>302</v>
      </c>
      <c r="B122" s="222" t="str">
        <f t="shared" si="34"/>
        <v>BSrf</v>
      </c>
      <c r="C122" s="222" t="str">
        <f t="shared" si="63"/>
        <v>BSrf_15-30_2001_a</v>
      </c>
      <c r="D122" s="224">
        <v>8.0549999999999997</v>
      </c>
      <c r="E122" s="222">
        <f t="shared" si="74"/>
        <v>6</v>
      </c>
      <c r="F122" s="222" t="s">
        <v>385</v>
      </c>
      <c r="G122" s="222" t="str">
        <f t="shared" si="62"/>
        <v/>
      </c>
      <c r="H122" s="223">
        <f>VLOOKUP($A122,'2001_Inc_01.12.20'!$A$18:$Z$41,9,FALSE)</f>
        <v>44165.4375</v>
      </c>
      <c r="I122" s="222">
        <f t="shared" si="36"/>
        <v>2020</v>
      </c>
      <c r="J122" s="222">
        <f t="shared" si="69"/>
        <v>11</v>
      </c>
      <c r="K122" s="224">
        <f t="shared" si="70"/>
        <v>30.4375</v>
      </c>
      <c r="L122" s="223">
        <f>VLOOKUP($A122,'2001_Inc_11.12.20'!$A$18:$Z$41,2,FALSE)</f>
        <v>44176.5</v>
      </c>
      <c r="M122" s="222">
        <f t="shared" si="37"/>
        <v>2020</v>
      </c>
      <c r="N122" s="222">
        <f t="shared" si="71"/>
        <v>12</v>
      </c>
      <c r="O122" s="224">
        <f t="shared" si="72"/>
        <v>11.5</v>
      </c>
      <c r="P122" s="224">
        <f t="shared" si="73"/>
        <v>11.0625</v>
      </c>
      <c r="Q122" s="225" t="str">
        <f>IFERROR(VLOOKUP($A122,'2001_Inc_11.12.20'!$A$18:$Z$41,14,FALSE),"")</f>
        <v/>
      </c>
    </row>
    <row r="123" spans="1:17">
      <c r="A123" s="221" t="s">
        <v>303</v>
      </c>
      <c r="B123" s="222" t="str">
        <f t="shared" si="34"/>
        <v>BSrf</v>
      </c>
      <c r="C123" s="222" t="str">
        <f t="shared" si="63"/>
        <v>BSrf_15-30_2001_b</v>
      </c>
      <c r="D123" s="224">
        <v>8.0020000000000007</v>
      </c>
      <c r="E123" s="222">
        <f t="shared" si="74"/>
        <v>6</v>
      </c>
      <c r="F123" s="222" t="s">
        <v>385</v>
      </c>
      <c r="G123" s="222" t="str">
        <f t="shared" si="62"/>
        <v/>
      </c>
      <c r="H123" s="223">
        <f>VLOOKUP($A123,'2001_Inc_01.12.20'!$A$18:$Z$41,9,FALSE)</f>
        <v>44165.4375</v>
      </c>
      <c r="I123" s="222">
        <f t="shared" si="36"/>
        <v>2020</v>
      </c>
      <c r="J123" s="222">
        <f t="shared" si="69"/>
        <v>11</v>
      </c>
      <c r="K123" s="224">
        <f t="shared" si="70"/>
        <v>30.4375</v>
      </c>
      <c r="L123" s="223">
        <f>VLOOKUP($A123,'2001_Inc_11.12.20'!$A$18:$Z$41,2,FALSE)</f>
        <v>44176.5</v>
      </c>
      <c r="M123" s="222">
        <f t="shared" si="37"/>
        <v>2020</v>
      </c>
      <c r="N123" s="222">
        <f t="shared" si="71"/>
        <v>12</v>
      </c>
      <c r="O123" s="224">
        <f t="shared" si="72"/>
        <v>11.5</v>
      </c>
      <c r="P123" s="224">
        <f t="shared" si="73"/>
        <v>11.0625</v>
      </c>
      <c r="Q123" s="225" t="str">
        <f>IFERROR(VLOOKUP($A123,'2001_Inc_11.12.20'!$A$18:$Z$41,14,FALSE),"")</f>
        <v/>
      </c>
    </row>
    <row r="124" spans="1:17">
      <c r="A124" s="221" t="s">
        <v>304</v>
      </c>
      <c r="B124" s="222" t="str">
        <f t="shared" si="34"/>
        <v>BSwf</v>
      </c>
      <c r="C124" s="222" t="str">
        <f t="shared" si="63"/>
        <v>BSwf_0-10_2001_a</v>
      </c>
      <c r="D124" s="224">
        <v>8.1020000000000003</v>
      </c>
      <c r="E124" s="222">
        <f t="shared" si="74"/>
        <v>6</v>
      </c>
      <c r="F124" s="222" t="s">
        <v>385</v>
      </c>
      <c r="G124" s="222" t="str">
        <f t="shared" si="62"/>
        <v/>
      </c>
      <c r="H124" s="223">
        <f>VLOOKUP($A124,'2001_Inc_01.12.20'!$A$18:$Z$41,9,FALSE)</f>
        <v>44165.4375</v>
      </c>
      <c r="I124" s="222">
        <f t="shared" si="36"/>
        <v>2020</v>
      </c>
      <c r="J124" s="222">
        <f t="shared" si="69"/>
        <v>11</v>
      </c>
      <c r="K124" s="224">
        <f t="shared" si="70"/>
        <v>30.4375</v>
      </c>
      <c r="L124" s="223">
        <f>VLOOKUP($A124,'2001_Inc_11.12.20'!$A$18:$Z$41,2,FALSE)</f>
        <v>44176.5</v>
      </c>
      <c r="M124" s="222">
        <f t="shared" si="37"/>
        <v>2020</v>
      </c>
      <c r="N124" s="222">
        <f t="shared" si="71"/>
        <v>12</v>
      </c>
      <c r="O124" s="224">
        <f t="shared" si="72"/>
        <v>11.5</v>
      </c>
      <c r="P124" s="224">
        <f t="shared" si="73"/>
        <v>11.0625</v>
      </c>
      <c r="Q124" s="225" t="str">
        <f>IFERROR(VLOOKUP($A124,'2001_Inc_11.12.20'!$A$18:$Z$41,14,FALSE),"")</f>
        <v/>
      </c>
    </row>
    <row r="125" spans="1:17">
      <c r="A125" s="221" t="s">
        <v>305</v>
      </c>
      <c r="B125" s="222" t="str">
        <f t="shared" si="34"/>
        <v>BSwf</v>
      </c>
      <c r="C125" s="222" t="str">
        <f t="shared" si="63"/>
        <v>BSwf_0-10_2001_b</v>
      </c>
      <c r="D125" s="224">
        <v>7.9859999999999998</v>
      </c>
      <c r="E125" s="222">
        <f t="shared" si="74"/>
        <v>6</v>
      </c>
      <c r="F125" s="222" t="s">
        <v>385</v>
      </c>
      <c r="G125" s="222" t="str">
        <f t="shared" si="62"/>
        <v/>
      </c>
      <c r="H125" s="223">
        <f>VLOOKUP($A125,'2001_Inc_01.12.20'!$A$18:$Z$41,9,FALSE)</f>
        <v>44165.4375</v>
      </c>
      <c r="I125" s="222">
        <f t="shared" si="36"/>
        <v>2020</v>
      </c>
      <c r="J125" s="222">
        <f t="shared" si="69"/>
        <v>11</v>
      </c>
      <c r="K125" s="224">
        <f t="shared" si="70"/>
        <v>30.4375</v>
      </c>
      <c r="L125" s="223">
        <f>VLOOKUP($A125,'2001_Inc_11.12.20'!$A$18:$Z$41,2,FALSE)</f>
        <v>44176.5</v>
      </c>
      <c r="M125" s="222">
        <f t="shared" si="37"/>
        <v>2020</v>
      </c>
      <c r="N125" s="222">
        <f t="shared" si="71"/>
        <v>12</v>
      </c>
      <c r="O125" s="224">
        <f t="shared" si="72"/>
        <v>11.5</v>
      </c>
      <c r="P125" s="224">
        <f t="shared" si="73"/>
        <v>11.0625</v>
      </c>
      <c r="Q125" s="225">
        <f>IFERROR(VLOOKUP($A125,'2001_Inc_11.12.20'!$A$18:$Z$41,14,FALSE),"")</f>
        <v>9.434701243893505</v>
      </c>
    </row>
    <row r="126" spans="1:17">
      <c r="A126" s="221" t="s">
        <v>306</v>
      </c>
      <c r="B126" s="222" t="str">
        <f t="shared" si="34"/>
        <v>BSwf</v>
      </c>
      <c r="C126" s="222" t="str">
        <f t="shared" si="63"/>
        <v>BSwf_10-19_2001_a</v>
      </c>
      <c r="D126" s="224">
        <v>8.0489999999999995</v>
      </c>
      <c r="E126" s="222">
        <f t="shared" si="74"/>
        <v>6</v>
      </c>
      <c r="F126" s="222" t="s">
        <v>385</v>
      </c>
      <c r="G126" s="222" t="str">
        <f t="shared" si="62"/>
        <v/>
      </c>
      <c r="H126" s="223">
        <f>VLOOKUP($A126,'2001_Inc_01.12.20'!$A$18:$Z$41,9,FALSE)</f>
        <v>44165.4375</v>
      </c>
      <c r="I126" s="222">
        <f t="shared" si="36"/>
        <v>2020</v>
      </c>
      <c r="J126" s="222">
        <f t="shared" si="69"/>
        <v>11</v>
      </c>
      <c r="K126" s="224">
        <f t="shared" si="70"/>
        <v>30.4375</v>
      </c>
      <c r="L126" s="223">
        <f>VLOOKUP($A126,'2001_Inc_11.12.20'!$A$18:$Z$41,2,FALSE)</f>
        <v>44176.5</v>
      </c>
      <c r="M126" s="222">
        <f t="shared" si="37"/>
        <v>2020</v>
      </c>
      <c r="N126" s="222">
        <f t="shared" si="71"/>
        <v>12</v>
      </c>
      <c r="O126" s="224">
        <f t="shared" si="72"/>
        <v>11.5</v>
      </c>
      <c r="P126" s="224">
        <f t="shared" si="73"/>
        <v>11.0625</v>
      </c>
      <c r="Q126" s="225" t="str">
        <f>IFERROR(VLOOKUP($A126,'2001_Inc_11.12.20'!$A$18:$Z$41,14,FALSE),"")</f>
        <v/>
      </c>
    </row>
    <row r="127" spans="1:17">
      <c r="A127" s="221" t="s">
        <v>307</v>
      </c>
      <c r="B127" s="222" t="str">
        <f t="shared" si="34"/>
        <v>BSwf</v>
      </c>
      <c r="C127" s="222" t="str">
        <f t="shared" si="63"/>
        <v>BSwf_10-19_2001_b</v>
      </c>
      <c r="D127" s="224">
        <v>8.0150000000000006</v>
      </c>
      <c r="E127" s="222">
        <f t="shared" si="74"/>
        <v>6</v>
      </c>
      <c r="F127" s="222" t="s">
        <v>385</v>
      </c>
      <c r="G127" s="222" t="str">
        <f t="shared" si="62"/>
        <v/>
      </c>
      <c r="H127" s="223">
        <f>VLOOKUP($A127,'2001_Inc_01.12.20'!$A$18:$Z$41,9,FALSE)</f>
        <v>44165.4375</v>
      </c>
      <c r="I127" s="222">
        <f t="shared" si="36"/>
        <v>2020</v>
      </c>
      <c r="J127" s="222">
        <f t="shared" si="69"/>
        <v>11</v>
      </c>
      <c r="K127" s="224">
        <f t="shared" si="70"/>
        <v>30.4375</v>
      </c>
      <c r="L127" s="223">
        <f>VLOOKUP($A127,'2001_Inc_11.12.20'!$A$18:$Z$41,2,FALSE)</f>
        <v>44176.5</v>
      </c>
      <c r="M127" s="222">
        <f t="shared" si="37"/>
        <v>2020</v>
      </c>
      <c r="N127" s="222">
        <f t="shared" si="71"/>
        <v>12</v>
      </c>
      <c r="O127" s="224">
        <f t="shared" si="72"/>
        <v>11.5</v>
      </c>
      <c r="P127" s="224">
        <f t="shared" si="73"/>
        <v>11.0625</v>
      </c>
      <c r="Q127" s="225" t="str">
        <f>IFERROR(VLOOKUP($A127,'2001_Inc_11.12.20'!$A$18:$Z$41,14,FALSE),"")</f>
        <v/>
      </c>
    </row>
    <row r="128" spans="1:17">
      <c r="A128" s="221" t="s">
        <v>308</v>
      </c>
      <c r="B128" s="222" t="str">
        <f t="shared" si="34"/>
        <v>BSpp</v>
      </c>
      <c r="C128" s="222" t="str">
        <f t="shared" si="63"/>
        <v>BSpp_0-7_2001_a</v>
      </c>
      <c r="D128" s="224">
        <v>8.1419999999999995</v>
      </c>
      <c r="E128" s="222">
        <f t="shared" si="74"/>
        <v>6</v>
      </c>
      <c r="F128" s="222" t="s">
        <v>385</v>
      </c>
      <c r="G128" s="222" t="str">
        <f t="shared" si="62"/>
        <v/>
      </c>
      <c r="H128" s="223">
        <f>VLOOKUP($A128,'2001_Inc_01.12.20'!$A$18:$Z$41,9,FALSE)</f>
        <v>44165.4375</v>
      </c>
      <c r="I128" s="222">
        <f t="shared" si="36"/>
        <v>2020</v>
      </c>
      <c r="J128" s="222">
        <f t="shared" si="69"/>
        <v>11</v>
      </c>
      <c r="K128" s="224">
        <f t="shared" si="70"/>
        <v>30.4375</v>
      </c>
      <c r="L128" s="223">
        <f>VLOOKUP($A128,'2001_Inc_11.12.20'!$A$18:$Z$41,2,FALSE)</f>
        <v>44176.5</v>
      </c>
      <c r="M128" s="222">
        <f t="shared" si="37"/>
        <v>2020</v>
      </c>
      <c r="N128" s="222">
        <f t="shared" si="71"/>
        <v>12</v>
      </c>
      <c r="O128" s="224">
        <f t="shared" si="72"/>
        <v>11.5</v>
      </c>
      <c r="P128" s="224">
        <f t="shared" si="73"/>
        <v>11.0625</v>
      </c>
      <c r="Q128" s="225">
        <f>IFERROR(VLOOKUP($A128,'2001_Inc_11.12.20'!$A$18:$Z$41,14,FALSE),"")</f>
        <v>8.0253217726817603</v>
      </c>
    </row>
    <row r="129" spans="1:17">
      <c r="A129" s="221" t="s">
        <v>309</v>
      </c>
      <c r="B129" s="222" t="str">
        <f t="shared" si="34"/>
        <v>BSpp</v>
      </c>
      <c r="C129" s="222" t="str">
        <f t="shared" si="63"/>
        <v>BSpp_0-7_2001_b</v>
      </c>
      <c r="D129" s="224">
        <v>8.0820000000000007</v>
      </c>
      <c r="E129" s="222">
        <f t="shared" si="74"/>
        <v>6</v>
      </c>
      <c r="F129" s="222" t="s">
        <v>385</v>
      </c>
      <c r="G129" s="222" t="str">
        <f t="shared" si="62"/>
        <v/>
      </c>
      <c r="H129" s="223">
        <f>VLOOKUP($A129,'2001_Inc_01.12.20'!$A$18:$Z$41,9,FALSE)</f>
        <v>44165.4375</v>
      </c>
      <c r="I129" s="222">
        <f t="shared" si="36"/>
        <v>2020</v>
      </c>
      <c r="J129" s="222">
        <f t="shared" si="69"/>
        <v>11</v>
      </c>
      <c r="K129" s="224">
        <f t="shared" si="70"/>
        <v>30.4375</v>
      </c>
      <c r="L129" s="223">
        <f>VLOOKUP($A129,'2001_Inc_11.12.20'!$A$18:$Z$41,2,FALSE)</f>
        <v>44176.5</v>
      </c>
      <c r="M129" s="222">
        <f t="shared" si="37"/>
        <v>2020</v>
      </c>
      <c r="N129" s="222">
        <f t="shared" si="71"/>
        <v>12</v>
      </c>
      <c r="O129" s="224">
        <f t="shared" si="72"/>
        <v>11.5</v>
      </c>
      <c r="P129" s="224">
        <f t="shared" si="73"/>
        <v>11.0625</v>
      </c>
      <c r="Q129" s="225" t="str">
        <f>IFERROR(VLOOKUP($A129,'2001_Inc_11.12.20'!$A$18:$Z$41,14,FALSE),"")</f>
        <v/>
      </c>
    </row>
    <row r="130" spans="1:17">
      <c r="A130" s="221" t="s">
        <v>310</v>
      </c>
      <c r="B130" s="222" t="str">
        <f t="shared" ref="B130:B155" si="75">IF(AND(RIGHT(LEFT(A130,2),1)="_",RIGHT(LEFT(A130,4),1)="_"),RIGHT(LEFT(A130,8),4),IF(AND(RIGHT(LEFT(A130,3),1)="_",RIGHT(LEFT(A130,5),1)="_"),RIGHT(LEFT(A130,9),4),RIGHT(LEFT(A130,10),4)))</f>
        <v>BSpp</v>
      </c>
      <c r="C130" s="222" t="str">
        <f t="shared" si="63"/>
        <v>BSpp_7-18_2001_a</v>
      </c>
      <c r="D130" s="224">
        <v>7.992</v>
      </c>
      <c r="E130" s="222">
        <f t="shared" si="74"/>
        <v>6</v>
      </c>
      <c r="F130" s="222" t="s">
        <v>385</v>
      </c>
      <c r="G130" s="222" t="str">
        <f t="shared" ref="G130:G155" si="76">IF(AND(E130&lt;&gt;E129,L130=L129),"fix meas date","")</f>
        <v/>
      </c>
      <c r="H130" s="223">
        <f>VLOOKUP($A130,'2001_Inc_01.12.20'!$A$18:$Z$41,9,FALSE)</f>
        <v>44165.4375</v>
      </c>
      <c r="I130" s="222">
        <f t="shared" si="36"/>
        <v>2020</v>
      </c>
      <c r="J130" s="222">
        <f t="shared" si="69"/>
        <v>11</v>
      </c>
      <c r="K130" s="224">
        <f t="shared" si="70"/>
        <v>30.4375</v>
      </c>
      <c r="L130" s="223">
        <f>VLOOKUP($A130,'2001_Inc_11.12.20'!$A$18:$Z$41,2,FALSE)</f>
        <v>44176.5</v>
      </c>
      <c r="M130" s="222">
        <f t="shared" si="37"/>
        <v>2020</v>
      </c>
      <c r="N130" s="222">
        <f t="shared" si="71"/>
        <v>12</v>
      </c>
      <c r="O130" s="224">
        <f t="shared" si="72"/>
        <v>11.5</v>
      </c>
      <c r="P130" s="224">
        <f t="shared" si="73"/>
        <v>11.0625</v>
      </c>
      <c r="Q130" s="225" t="str">
        <f>IFERROR(VLOOKUP($A130,'2001_Inc_11.12.20'!$A$18:$Z$41,14,FALSE),"")</f>
        <v/>
      </c>
    </row>
    <row r="131" spans="1:17">
      <c r="A131" s="221" t="s">
        <v>311</v>
      </c>
      <c r="B131" s="222" t="str">
        <f t="shared" si="75"/>
        <v>BSpp</v>
      </c>
      <c r="C131" s="222" t="str">
        <f t="shared" si="63"/>
        <v>BSpp_7-18_2001_b</v>
      </c>
      <c r="D131" s="224">
        <v>8.06</v>
      </c>
      <c r="E131" s="222">
        <f t="shared" si="74"/>
        <v>6</v>
      </c>
      <c r="F131" s="222" t="s">
        <v>385</v>
      </c>
      <c r="G131" s="222" t="str">
        <f t="shared" si="76"/>
        <v/>
      </c>
      <c r="H131" s="223">
        <f>VLOOKUP($A131,'2001_Inc_01.12.20'!$A$18:$Z$41,9,FALSE)</f>
        <v>44165.4375</v>
      </c>
      <c r="I131" s="222">
        <f t="shared" ref="I131:I155" si="77">YEAR(H131)</f>
        <v>2020</v>
      </c>
      <c r="J131" s="222">
        <f t="shared" si="69"/>
        <v>11</v>
      </c>
      <c r="K131" s="224">
        <f t="shared" si="70"/>
        <v>30.4375</v>
      </c>
      <c r="L131" s="223">
        <f>VLOOKUP($A131,'2001_Inc_11.12.20'!$A$18:$Z$41,2,FALSE)</f>
        <v>44176.5</v>
      </c>
      <c r="M131" s="222">
        <f t="shared" ref="M131:M155" si="78">YEAR(L131)</f>
        <v>2020</v>
      </c>
      <c r="N131" s="222">
        <f t="shared" si="71"/>
        <v>12</v>
      </c>
      <c r="O131" s="224">
        <f t="shared" si="72"/>
        <v>11.5</v>
      </c>
      <c r="P131" s="224">
        <f t="shared" si="73"/>
        <v>11.0625</v>
      </c>
      <c r="Q131" s="225" t="str">
        <f>IFERROR(VLOOKUP($A131,'2001_Inc_11.12.20'!$A$18:$Z$41,14,FALSE),"")</f>
        <v/>
      </c>
    </row>
    <row r="132" spans="1:17">
      <c r="A132" s="221" t="s">
        <v>312</v>
      </c>
      <c r="B132" s="222" t="str">
        <f t="shared" si="75"/>
        <v>BSpp</v>
      </c>
      <c r="C132" s="222" t="str">
        <f t="shared" si="63"/>
        <v>BSpp_18-28_2001_a</v>
      </c>
      <c r="D132" s="224">
        <v>7.9939999999999998</v>
      </c>
      <c r="E132" s="222">
        <f t="shared" si="74"/>
        <v>6</v>
      </c>
      <c r="F132" s="222" t="s">
        <v>385</v>
      </c>
      <c r="G132" s="222" t="str">
        <f t="shared" si="76"/>
        <v/>
      </c>
      <c r="H132" s="223">
        <f>VLOOKUP($A132,'2001_Inc_01.12.20'!$A$18:$Z$41,9,FALSE)</f>
        <v>44165.4375</v>
      </c>
      <c r="I132" s="222">
        <f t="shared" si="77"/>
        <v>2020</v>
      </c>
      <c r="J132" s="222">
        <f t="shared" si="69"/>
        <v>11</v>
      </c>
      <c r="K132" s="224">
        <f t="shared" si="70"/>
        <v>30.4375</v>
      </c>
      <c r="L132" s="223">
        <f>VLOOKUP($A132,'2001_Inc_11.12.20'!$A$18:$Z$41,2,FALSE)</f>
        <v>44176.5</v>
      </c>
      <c r="M132" s="222">
        <f t="shared" si="78"/>
        <v>2020</v>
      </c>
      <c r="N132" s="222">
        <f t="shared" si="71"/>
        <v>12</v>
      </c>
      <c r="O132" s="224">
        <f t="shared" si="72"/>
        <v>11.5</v>
      </c>
      <c r="P132" s="224">
        <f t="shared" si="73"/>
        <v>11.0625</v>
      </c>
      <c r="Q132" s="225">
        <f>IFERROR(VLOOKUP($A132,'2001_Inc_11.12.20'!$A$18:$Z$41,14,FALSE),"")</f>
        <v>1.8428858102470238</v>
      </c>
    </row>
    <row r="133" spans="1:17">
      <c r="A133" s="231" t="s">
        <v>313</v>
      </c>
      <c r="B133" s="232" t="str">
        <f t="shared" si="75"/>
        <v>BSpp</v>
      </c>
      <c r="C133" s="232" t="str">
        <f t="shared" si="63"/>
        <v>BSpp_18-28_2001_b</v>
      </c>
      <c r="D133" s="234">
        <v>8.0060000000000002</v>
      </c>
      <c r="E133" s="232">
        <f t="shared" si="74"/>
        <v>6</v>
      </c>
      <c r="F133" s="232" t="s">
        <v>385</v>
      </c>
      <c r="G133" s="232" t="str">
        <f t="shared" si="76"/>
        <v/>
      </c>
      <c r="H133" s="233">
        <f>VLOOKUP($A133,'2001_Inc_01.12.20'!$A$18:$Z$41,9,FALSE)</f>
        <v>44165.4375</v>
      </c>
      <c r="I133" s="232">
        <f t="shared" si="77"/>
        <v>2020</v>
      </c>
      <c r="J133" s="232">
        <f t="shared" si="69"/>
        <v>11</v>
      </c>
      <c r="K133" s="234">
        <f t="shared" si="70"/>
        <v>30.4375</v>
      </c>
      <c r="L133" s="233">
        <f>VLOOKUP($A133,'2001_Inc_11.12.20'!$A$18:$Z$41,2,FALSE)</f>
        <v>44176.5</v>
      </c>
      <c r="M133" s="232">
        <f t="shared" si="78"/>
        <v>2020</v>
      </c>
      <c r="N133" s="232">
        <f t="shared" si="71"/>
        <v>12</v>
      </c>
      <c r="O133" s="234">
        <f t="shared" si="72"/>
        <v>11.5</v>
      </c>
      <c r="P133" s="234">
        <f t="shared" si="73"/>
        <v>11.0625</v>
      </c>
      <c r="Q133" s="235">
        <f>IFERROR(VLOOKUP($A133,'2001_Inc_11.12.20'!$A$18:$Z$41,14,FALSE),"")</f>
        <v>2.6406206117970594</v>
      </c>
    </row>
    <row r="134" spans="1:17">
      <c r="A134" s="226" t="s">
        <v>292</v>
      </c>
      <c r="B134" s="227" t="str">
        <f t="shared" si="75"/>
        <v>ANpp</v>
      </c>
      <c r="C134" s="227" t="str">
        <f t="shared" ref="C134:C155" si="79">B134&amp;"_"&amp;IF(LEFT(RIGHT(A134,11),1)="_",RIGHT(A134,10),IF(LEFT(RIGHT(A134,12),1)="_",RIGHT(A134,11),RIGHT(A134,12)))</f>
        <v>ANpp_0-6_2001_a</v>
      </c>
      <c r="D134" s="229">
        <v>8.08</v>
      </c>
      <c r="E134" s="227">
        <v>7</v>
      </c>
      <c r="F134" s="227" t="s">
        <v>386</v>
      </c>
      <c r="G134" s="227" t="str">
        <f t="shared" si="76"/>
        <v/>
      </c>
      <c r="H134" s="228">
        <f>VLOOKUP($A134,'2001_Inc_01.12.20'!$A$18:$Z$41,9,FALSE)</f>
        <v>44165.4375</v>
      </c>
      <c r="I134" s="227">
        <f t="shared" si="77"/>
        <v>2020</v>
      </c>
      <c r="J134" s="227">
        <f t="shared" ref="J134" si="80">MONTH(H134)</f>
        <v>11</v>
      </c>
      <c r="K134" s="229">
        <f t="shared" ref="K134" si="81">DAY(H134)+H134-ROUNDDOWN(H134,0)</f>
        <v>30.4375</v>
      </c>
      <c r="L134" s="228">
        <f>VLOOKUP($A134,'2001_Inc_14.12.20'!$A$18:$Z$41,2,FALSE)</f>
        <v>44179.65625</v>
      </c>
      <c r="M134" s="227">
        <f t="shared" si="78"/>
        <v>2020</v>
      </c>
      <c r="N134" s="227">
        <f t="shared" ref="N134" si="82">MONTH(L134)</f>
        <v>12</v>
      </c>
      <c r="O134" s="229">
        <f t="shared" ref="O134" si="83">DAY(L134)+L134-ROUNDDOWN(L134,0)</f>
        <v>14.65625</v>
      </c>
      <c r="P134" s="229">
        <f t="shared" ref="P134" si="84">L134-H134</f>
        <v>14.21875</v>
      </c>
      <c r="Q134" s="230">
        <f>IFERROR(VLOOKUP($A134,'2001_Inc_14.12.20'!$A$18:$Z$41,14,FALSE),"")</f>
        <v>18.240977220741879</v>
      </c>
    </row>
    <row r="135" spans="1:17">
      <c r="A135" s="221" t="s">
        <v>293</v>
      </c>
      <c r="B135" s="222" t="str">
        <f t="shared" si="75"/>
        <v>ANpp</v>
      </c>
      <c r="C135" s="222" t="str">
        <f t="shared" si="79"/>
        <v>ANpp_0-6_2001_b</v>
      </c>
      <c r="D135" s="224">
        <v>8.0500000000000007</v>
      </c>
      <c r="E135" s="222">
        <f>E134</f>
        <v>7</v>
      </c>
      <c r="F135" s="222" t="s">
        <v>386</v>
      </c>
      <c r="G135" s="222" t="str">
        <f t="shared" si="76"/>
        <v/>
      </c>
      <c r="H135" s="223">
        <f>VLOOKUP($A135,'2001_Inc_01.12.20'!$A$18:$Z$41,9,FALSE)</f>
        <v>44165.4375</v>
      </c>
      <c r="I135" s="222">
        <f t="shared" si="77"/>
        <v>2020</v>
      </c>
      <c r="J135" s="222">
        <f t="shared" ref="J135:J155" si="85">MONTH(H135)</f>
        <v>11</v>
      </c>
      <c r="K135" s="224">
        <f t="shared" ref="K135:K155" si="86">DAY(H135)+H135-ROUNDDOWN(H135,0)</f>
        <v>30.4375</v>
      </c>
      <c r="L135" s="223">
        <f>VLOOKUP($A135,'2001_Inc_14.12.20'!$A$18:$Z$41,2,FALSE)</f>
        <v>44179.65625</v>
      </c>
      <c r="M135" s="222">
        <f t="shared" si="78"/>
        <v>2020</v>
      </c>
      <c r="N135" s="222">
        <f t="shared" ref="N135:N155" si="87">MONTH(L135)</f>
        <v>12</v>
      </c>
      <c r="O135" s="224">
        <f t="shared" ref="O135:O155" si="88">DAY(L135)+L135-ROUNDDOWN(L135,0)</f>
        <v>14.65625</v>
      </c>
      <c r="P135" s="224">
        <f t="shared" ref="P135:P155" si="89">L135-H135</f>
        <v>14.21875</v>
      </c>
      <c r="Q135" s="225">
        <f>IFERROR(VLOOKUP($A135,'2001_Inc_14.12.20'!$A$18:$Z$41,14,FALSE),"")</f>
        <v>5.840765512254757</v>
      </c>
    </row>
    <row r="136" spans="1:17">
      <c r="A136" s="221" t="s">
        <v>294</v>
      </c>
      <c r="B136" s="222" t="str">
        <f t="shared" si="75"/>
        <v>ANpp</v>
      </c>
      <c r="C136" s="222" t="str">
        <f t="shared" si="79"/>
        <v>ANpp_6-13_2001_a</v>
      </c>
      <c r="D136" s="224">
        <v>7.97</v>
      </c>
      <c r="E136" s="222">
        <f t="shared" ref="E136:E155" si="90">E135</f>
        <v>7</v>
      </c>
      <c r="F136" s="222" t="s">
        <v>386</v>
      </c>
      <c r="G136" s="222" t="str">
        <f t="shared" si="76"/>
        <v/>
      </c>
      <c r="H136" s="223">
        <f>VLOOKUP($A136,'2001_Inc_01.12.20'!$A$18:$Z$41,9,FALSE)</f>
        <v>44165.4375</v>
      </c>
      <c r="I136" s="222">
        <f t="shared" si="77"/>
        <v>2020</v>
      </c>
      <c r="J136" s="222">
        <f t="shared" si="85"/>
        <v>11</v>
      </c>
      <c r="K136" s="224">
        <f t="shared" si="86"/>
        <v>30.4375</v>
      </c>
      <c r="L136" s="223">
        <f>VLOOKUP($A136,'2001_Inc_14.12.20'!$A$18:$Z$41,2,FALSE)</f>
        <v>44179.65625</v>
      </c>
      <c r="M136" s="222">
        <f t="shared" si="78"/>
        <v>2020</v>
      </c>
      <c r="N136" s="222">
        <f t="shared" si="87"/>
        <v>12</v>
      </c>
      <c r="O136" s="224">
        <f t="shared" si="88"/>
        <v>14.65625</v>
      </c>
      <c r="P136" s="224">
        <f t="shared" si="89"/>
        <v>14.21875</v>
      </c>
      <c r="Q136" s="225" t="str">
        <f>IFERROR(VLOOKUP($A136,'2001_Inc_14.12.20'!$A$18:$Z$41,14,FALSE),"")</f>
        <v/>
      </c>
    </row>
    <row r="137" spans="1:17">
      <c r="A137" s="221" t="s">
        <v>295</v>
      </c>
      <c r="B137" s="222" t="str">
        <f t="shared" si="75"/>
        <v>ANpp</v>
      </c>
      <c r="C137" s="222" t="str">
        <f t="shared" si="79"/>
        <v>ANpp_6-13_2001_b</v>
      </c>
      <c r="D137" s="224">
        <v>8.0280000000000005</v>
      </c>
      <c r="E137" s="222">
        <f t="shared" si="90"/>
        <v>7</v>
      </c>
      <c r="F137" s="222" t="s">
        <v>386</v>
      </c>
      <c r="G137" s="222" t="str">
        <f t="shared" si="76"/>
        <v/>
      </c>
      <c r="H137" s="223">
        <f>VLOOKUP($A137,'2001_Inc_01.12.20'!$A$18:$Z$41,9,FALSE)</f>
        <v>44165.4375</v>
      </c>
      <c r="I137" s="222">
        <f t="shared" si="77"/>
        <v>2020</v>
      </c>
      <c r="J137" s="222">
        <f t="shared" si="85"/>
        <v>11</v>
      </c>
      <c r="K137" s="224">
        <f t="shared" si="86"/>
        <v>30.4375</v>
      </c>
      <c r="L137" s="223">
        <f>VLOOKUP($A137,'2001_Inc_14.12.20'!$A$18:$Z$41,2,FALSE)</f>
        <v>44179.65625</v>
      </c>
      <c r="M137" s="222">
        <f t="shared" si="78"/>
        <v>2020</v>
      </c>
      <c r="N137" s="222">
        <f t="shared" si="87"/>
        <v>12</v>
      </c>
      <c r="O137" s="224">
        <f t="shared" si="88"/>
        <v>14.65625</v>
      </c>
      <c r="P137" s="224">
        <f t="shared" si="89"/>
        <v>14.21875</v>
      </c>
      <c r="Q137" s="225" t="str">
        <f>IFERROR(VLOOKUP($A137,'2001_Inc_14.12.20'!$A$18:$Z$41,14,FALSE),"")</f>
        <v/>
      </c>
    </row>
    <row r="138" spans="1:17">
      <c r="A138" s="221" t="s">
        <v>296</v>
      </c>
      <c r="B138" s="222" t="str">
        <f t="shared" si="75"/>
        <v>ANpp</v>
      </c>
      <c r="C138" s="222" t="str">
        <f t="shared" si="79"/>
        <v>ANpp_13-33_2001_a</v>
      </c>
      <c r="D138" s="224">
        <v>8.0180000000000007</v>
      </c>
      <c r="E138" s="222">
        <f t="shared" si="90"/>
        <v>7</v>
      </c>
      <c r="F138" s="222" t="s">
        <v>386</v>
      </c>
      <c r="G138" s="222" t="str">
        <f t="shared" si="76"/>
        <v/>
      </c>
      <c r="H138" s="223">
        <f>VLOOKUP($A138,'2001_Inc_01.12.20'!$A$18:$Z$41,9,FALSE)</f>
        <v>44165.4375</v>
      </c>
      <c r="I138" s="222">
        <f t="shared" si="77"/>
        <v>2020</v>
      </c>
      <c r="J138" s="222">
        <f t="shared" si="85"/>
        <v>11</v>
      </c>
      <c r="K138" s="224">
        <f t="shared" si="86"/>
        <v>30.4375</v>
      </c>
      <c r="L138" s="223">
        <f>VLOOKUP($A138,'2001_Inc_14.12.20'!$A$18:$Z$41,2,FALSE)</f>
        <v>44179.65625</v>
      </c>
      <c r="M138" s="222">
        <f t="shared" si="78"/>
        <v>2020</v>
      </c>
      <c r="N138" s="222">
        <f t="shared" si="87"/>
        <v>12</v>
      </c>
      <c r="O138" s="224">
        <f t="shared" si="88"/>
        <v>14.65625</v>
      </c>
      <c r="P138" s="224">
        <f t="shared" si="89"/>
        <v>14.21875</v>
      </c>
      <c r="Q138" s="225" t="str">
        <f>IFERROR(VLOOKUP($A138,'2001_Inc_14.12.20'!$A$18:$Z$41,14,FALSE),"")</f>
        <v/>
      </c>
    </row>
    <row r="139" spans="1:17">
      <c r="A139" s="221" t="s">
        <v>297</v>
      </c>
      <c r="B139" s="222" t="str">
        <f t="shared" si="75"/>
        <v>ANpp</v>
      </c>
      <c r="C139" s="222" t="str">
        <f t="shared" si="79"/>
        <v>ANpp_13-33_2001_b</v>
      </c>
      <c r="D139" s="224">
        <v>8.0079999999999991</v>
      </c>
      <c r="E139" s="222">
        <f t="shared" si="90"/>
        <v>7</v>
      </c>
      <c r="F139" s="222" t="s">
        <v>386</v>
      </c>
      <c r="G139" s="222" t="str">
        <f t="shared" si="76"/>
        <v/>
      </c>
      <c r="H139" s="223">
        <f>VLOOKUP($A139,'2001_Inc_01.12.20'!$A$18:$Z$41,9,FALSE)</f>
        <v>44165.4375</v>
      </c>
      <c r="I139" s="222">
        <f t="shared" si="77"/>
        <v>2020</v>
      </c>
      <c r="J139" s="222">
        <f t="shared" si="85"/>
        <v>11</v>
      </c>
      <c r="K139" s="224">
        <f t="shared" si="86"/>
        <v>30.4375</v>
      </c>
      <c r="L139" s="223">
        <f>VLOOKUP($A139,'2001_Inc_14.12.20'!$A$18:$Z$41,2,FALSE)</f>
        <v>44179.65625</v>
      </c>
      <c r="M139" s="222">
        <f t="shared" si="78"/>
        <v>2020</v>
      </c>
      <c r="N139" s="222">
        <f t="shared" si="87"/>
        <v>12</v>
      </c>
      <c r="O139" s="224">
        <f t="shared" si="88"/>
        <v>14.65625</v>
      </c>
      <c r="P139" s="224">
        <f t="shared" si="89"/>
        <v>14.21875</v>
      </c>
      <c r="Q139" s="225">
        <f>IFERROR(VLOOKUP($A139,'2001_Inc_14.12.20'!$A$18:$Z$41,14,FALSE),"")</f>
        <v>2.4844766340095568</v>
      </c>
    </row>
    <row r="140" spans="1:17">
      <c r="A140" s="221" t="s">
        <v>298</v>
      </c>
      <c r="B140" s="222" t="str">
        <f t="shared" si="75"/>
        <v>BSrf</v>
      </c>
      <c r="C140" s="222" t="str">
        <f t="shared" si="79"/>
        <v>BSrf_0-8_2001_a</v>
      </c>
      <c r="D140" s="224">
        <v>8.0860000000000003</v>
      </c>
      <c r="E140" s="222">
        <f t="shared" si="90"/>
        <v>7</v>
      </c>
      <c r="F140" s="222" t="s">
        <v>386</v>
      </c>
      <c r="G140" s="222" t="str">
        <f t="shared" si="76"/>
        <v/>
      </c>
      <c r="H140" s="223">
        <f>VLOOKUP($A140,'2001_Inc_01.12.20'!$A$18:$Z$41,9,FALSE)</f>
        <v>44165.4375</v>
      </c>
      <c r="I140" s="222">
        <f t="shared" si="77"/>
        <v>2020</v>
      </c>
      <c r="J140" s="222">
        <f t="shared" si="85"/>
        <v>11</v>
      </c>
      <c r="K140" s="224">
        <f t="shared" si="86"/>
        <v>30.4375</v>
      </c>
      <c r="L140" s="223">
        <f>VLOOKUP($A140,'2001_Inc_14.12.20'!$A$18:$Z$41,2,FALSE)</f>
        <v>44179.65625</v>
      </c>
      <c r="M140" s="222">
        <f t="shared" si="78"/>
        <v>2020</v>
      </c>
      <c r="N140" s="222">
        <f t="shared" si="87"/>
        <v>12</v>
      </c>
      <c r="O140" s="224">
        <f t="shared" si="88"/>
        <v>14.65625</v>
      </c>
      <c r="P140" s="224">
        <f t="shared" si="89"/>
        <v>14.21875</v>
      </c>
      <c r="Q140" s="225" t="str">
        <f>IFERROR(VLOOKUP($A140,'2001_Inc_14.12.20'!$A$18:$Z$41,14,FALSE),"")</f>
        <v/>
      </c>
    </row>
    <row r="141" spans="1:17">
      <c r="A141" s="221" t="s">
        <v>299</v>
      </c>
      <c r="B141" s="222" t="str">
        <f t="shared" si="75"/>
        <v>BSrf</v>
      </c>
      <c r="C141" s="222" t="str">
        <f t="shared" si="79"/>
        <v>BSrf_0-8_2001_b</v>
      </c>
      <c r="D141" s="224">
        <v>8.0169999999999995</v>
      </c>
      <c r="E141" s="222">
        <f t="shared" si="90"/>
        <v>7</v>
      </c>
      <c r="F141" s="222" t="s">
        <v>386</v>
      </c>
      <c r="G141" s="222" t="str">
        <f t="shared" si="76"/>
        <v/>
      </c>
      <c r="H141" s="223">
        <f>VLOOKUP($A141,'2001_Inc_01.12.20'!$A$18:$Z$41,9,FALSE)</f>
        <v>44165.4375</v>
      </c>
      <c r="I141" s="222">
        <f t="shared" si="77"/>
        <v>2020</v>
      </c>
      <c r="J141" s="222">
        <f t="shared" si="85"/>
        <v>11</v>
      </c>
      <c r="K141" s="224">
        <f t="shared" si="86"/>
        <v>30.4375</v>
      </c>
      <c r="L141" s="223">
        <f>VLOOKUP($A141,'2001_Inc_14.12.20'!$A$18:$Z$41,2,FALSE)</f>
        <v>44179.65625</v>
      </c>
      <c r="M141" s="222">
        <f t="shared" si="78"/>
        <v>2020</v>
      </c>
      <c r="N141" s="222">
        <f t="shared" si="87"/>
        <v>12</v>
      </c>
      <c r="O141" s="224">
        <f t="shared" si="88"/>
        <v>14.65625</v>
      </c>
      <c r="P141" s="224">
        <f t="shared" si="89"/>
        <v>14.21875</v>
      </c>
      <c r="Q141" s="225" t="str">
        <f>IFERROR(VLOOKUP($A141,'2001_Inc_14.12.20'!$A$18:$Z$41,14,FALSE),"")</f>
        <v/>
      </c>
    </row>
    <row r="142" spans="1:17">
      <c r="A142" s="221" t="s">
        <v>300</v>
      </c>
      <c r="B142" s="222" t="str">
        <f t="shared" si="75"/>
        <v>BSrf</v>
      </c>
      <c r="C142" s="222" t="str">
        <f t="shared" si="79"/>
        <v>BSrf_8-15_2001_a</v>
      </c>
      <c r="D142" s="224">
        <v>8.0619999999999994</v>
      </c>
      <c r="E142" s="222">
        <f t="shared" si="90"/>
        <v>7</v>
      </c>
      <c r="F142" s="222" t="s">
        <v>386</v>
      </c>
      <c r="G142" s="222" t="str">
        <f t="shared" si="76"/>
        <v/>
      </c>
      <c r="H142" s="223">
        <f>VLOOKUP($A142,'2001_Inc_01.12.20'!$A$18:$Z$41,9,FALSE)</f>
        <v>44165.4375</v>
      </c>
      <c r="I142" s="222">
        <f t="shared" si="77"/>
        <v>2020</v>
      </c>
      <c r="J142" s="222">
        <f t="shared" si="85"/>
        <v>11</v>
      </c>
      <c r="K142" s="224">
        <f t="shared" si="86"/>
        <v>30.4375</v>
      </c>
      <c r="L142" s="223">
        <f>VLOOKUP($A142,'2001_Inc_14.12.20'!$A$18:$Z$41,2,FALSE)</f>
        <v>44179.65625</v>
      </c>
      <c r="M142" s="222">
        <f t="shared" si="78"/>
        <v>2020</v>
      </c>
      <c r="N142" s="222">
        <f t="shared" si="87"/>
        <v>12</v>
      </c>
      <c r="O142" s="224">
        <f t="shared" si="88"/>
        <v>14.65625</v>
      </c>
      <c r="P142" s="224">
        <f t="shared" si="89"/>
        <v>14.21875</v>
      </c>
      <c r="Q142" s="225" t="str">
        <f>IFERROR(VLOOKUP($A142,'2001_Inc_14.12.20'!$A$18:$Z$41,14,FALSE),"")</f>
        <v/>
      </c>
    </row>
    <row r="143" spans="1:17">
      <c r="A143" s="221" t="s">
        <v>301</v>
      </c>
      <c r="B143" s="222" t="str">
        <f t="shared" si="75"/>
        <v>BSrf</v>
      </c>
      <c r="C143" s="222" t="str">
        <f t="shared" si="79"/>
        <v>BSrf_8-15_2001_b</v>
      </c>
      <c r="D143" s="224">
        <v>8.0229999999999997</v>
      </c>
      <c r="E143" s="222">
        <f t="shared" si="90"/>
        <v>7</v>
      </c>
      <c r="F143" s="222" t="s">
        <v>386</v>
      </c>
      <c r="G143" s="222" t="str">
        <f t="shared" si="76"/>
        <v/>
      </c>
      <c r="H143" s="223">
        <f>VLOOKUP($A143,'2001_Inc_01.12.20'!$A$18:$Z$41,9,FALSE)</f>
        <v>44165.4375</v>
      </c>
      <c r="I143" s="222">
        <f t="shared" si="77"/>
        <v>2020</v>
      </c>
      <c r="J143" s="222">
        <f t="shared" si="85"/>
        <v>11</v>
      </c>
      <c r="K143" s="224">
        <f t="shared" si="86"/>
        <v>30.4375</v>
      </c>
      <c r="L143" s="223">
        <f>VLOOKUP($A143,'2001_Inc_14.12.20'!$A$18:$Z$41,2,FALSE)</f>
        <v>44179.65625</v>
      </c>
      <c r="M143" s="222">
        <f t="shared" si="78"/>
        <v>2020</v>
      </c>
      <c r="N143" s="222">
        <f t="shared" si="87"/>
        <v>12</v>
      </c>
      <c r="O143" s="224">
        <f t="shared" si="88"/>
        <v>14.65625</v>
      </c>
      <c r="P143" s="224">
        <f t="shared" si="89"/>
        <v>14.21875</v>
      </c>
      <c r="Q143" s="225">
        <f>IFERROR(VLOOKUP($A143,'2001_Inc_14.12.20'!$A$18:$Z$41,14,FALSE),"")</f>
        <v>2.2957650930641376</v>
      </c>
    </row>
    <row r="144" spans="1:17">
      <c r="A144" s="221" t="s">
        <v>302</v>
      </c>
      <c r="B144" s="222" t="str">
        <f t="shared" si="75"/>
        <v>BSrf</v>
      </c>
      <c r="C144" s="222" t="str">
        <f t="shared" si="79"/>
        <v>BSrf_15-30_2001_a</v>
      </c>
      <c r="D144" s="224">
        <v>8.0549999999999997</v>
      </c>
      <c r="E144" s="222">
        <f t="shared" si="90"/>
        <v>7</v>
      </c>
      <c r="F144" s="222" t="s">
        <v>386</v>
      </c>
      <c r="G144" s="222" t="str">
        <f t="shared" si="76"/>
        <v/>
      </c>
      <c r="H144" s="223">
        <f>VLOOKUP($A144,'2001_Inc_01.12.20'!$A$18:$Z$41,9,FALSE)</f>
        <v>44165.4375</v>
      </c>
      <c r="I144" s="222">
        <f t="shared" si="77"/>
        <v>2020</v>
      </c>
      <c r="J144" s="222">
        <f t="shared" si="85"/>
        <v>11</v>
      </c>
      <c r="K144" s="224">
        <f t="shared" si="86"/>
        <v>30.4375</v>
      </c>
      <c r="L144" s="223">
        <f>VLOOKUP($A144,'2001_Inc_14.12.20'!$A$18:$Z$41,2,FALSE)</f>
        <v>44179.65625</v>
      </c>
      <c r="M144" s="222">
        <f t="shared" si="78"/>
        <v>2020</v>
      </c>
      <c r="N144" s="222">
        <f t="shared" si="87"/>
        <v>12</v>
      </c>
      <c r="O144" s="224">
        <f t="shared" si="88"/>
        <v>14.65625</v>
      </c>
      <c r="P144" s="224">
        <f t="shared" si="89"/>
        <v>14.21875</v>
      </c>
      <c r="Q144" s="225" t="str">
        <f>IFERROR(VLOOKUP($A144,'2001_Inc_14.12.20'!$A$18:$Z$41,14,FALSE),"")</f>
        <v/>
      </c>
    </row>
    <row r="145" spans="1:17">
      <c r="A145" s="221" t="s">
        <v>303</v>
      </c>
      <c r="B145" s="222" t="str">
        <f t="shared" si="75"/>
        <v>BSrf</v>
      </c>
      <c r="C145" s="222" t="str">
        <f t="shared" si="79"/>
        <v>BSrf_15-30_2001_b</v>
      </c>
      <c r="D145" s="224">
        <v>8.0020000000000007</v>
      </c>
      <c r="E145" s="222">
        <f t="shared" si="90"/>
        <v>7</v>
      </c>
      <c r="F145" s="222" t="s">
        <v>386</v>
      </c>
      <c r="G145" s="222" t="str">
        <f t="shared" si="76"/>
        <v/>
      </c>
      <c r="H145" s="223">
        <f>VLOOKUP($A145,'2001_Inc_01.12.20'!$A$18:$Z$41,9,FALSE)</f>
        <v>44165.4375</v>
      </c>
      <c r="I145" s="222">
        <f t="shared" si="77"/>
        <v>2020</v>
      </c>
      <c r="J145" s="222">
        <f t="shared" si="85"/>
        <v>11</v>
      </c>
      <c r="K145" s="224">
        <f t="shared" si="86"/>
        <v>30.4375</v>
      </c>
      <c r="L145" s="223">
        <f>VLOOKUP($A145,'2001_Inc_14.12.20'!$A$18:$Z$41,2,FALSE)</f>
        <v>44179.65625</v>
      </c>
      <c r="M145" s="222">
        <f t="shared" si="78"/>
        <v>2020</v>
      </c>
      <c r="N145" s="222">
        <f t="shared" si="87"/>
        <v>12</v>
      </c>
      <c r="O145" s="224">
        <f t="shared" si="88"/>
        <v>14.65625</v>
      </c>
      <c r="P145" s="224">
        <f t="shared" si="89"/>
        <v>14.21875</v>
      </c>
      <c r="Q145" s="225" t="str">
        <f>IFERROR(VLOOKUP($A145,'2001_Inc_14.12.20'!$A$18:$Z$41,14,FALSE),"")</f>
        <v/>
      </c>
    </row>
    <row r="146" spans="1:17">
      <c r="A146" s="221" t="s">
        <v>304</v>
      </c>
      <c r="B146" s="222" t="str">
        <f t="shared" si="75"/>
        <v>BSwf</v>
      </c>
      <c r="C146" s="222" t="str">
        <f t="shared" si="79"/>
        <v>BSwf_0-10_2001_a</v>
      </c>
      <c r="D146" s="224">
        <v>8.1020000000000003</v>
      </c>
      <c r="E146" s="222">
        <f t="shared" si="90"/>
        <v>7</v>
      </c>
      <c r="F146" s="222" t="s">
        <v>386</v>
      </c>
      <c r="G146" s="222" t="str">
        <f t="shared" si="76"/>
        <v/>
      </c>
      <c r="H146" s="223">
        <f>VLOOKUP($A146,'2001_Inc_01.12.20'!$A$18:$Z$41,9,FALSE)</f>
        <v>44165.4375</v>
      </c>
      <c r="I146" s="222">
        <f t="shared" si="77"/>
        <v>2020</v>
      </c>
      <c r="J146" s="222">
        <f t="shared" si="85"/>
        <v>11</v>
      </c>
      <c r="K146" s="224">
        <f t="shared" si="86"/>
        <v>30.4375</v>
      </c>
      <c r="L146" s="223">
        <f>VLOOKUP($A146,'2001_Inc_14.12.20'!$A$18:$Z$41,2,FALSE)</f>
        <v>44179.65625</v>
      </c>
      <c r="M146" s="222">
        <f t="shared" si="78"/>
        <v>2020</v>
      </c>
      <c r="N146" s="222">
        <f t="shared" si="87"/>
        <v>12</v>
      </c>
      <c r="O146" s="224">
        <f t="shared" si="88"/>
        <v>14.65625</v>
      </c>
      <c r="P146" s="224">
        <f t="shared" si="89"/>
        <v>14.21875</v>
      </c>
      <c r="Q146" s="225" t="str">
        <f>IFERROR(VLOOKUP($A146,'2001_Inc_14.12.20'!$A$18:$Z$41,14,FALSE),"")</f>
        <v/>
      </c>
    </row>
    <row r="147" spans="1:17">
      <c r="A147" s="221" t="s">
        <v>305</v>
      </c>
      <c r="B147" s="222" t="str">
        <f t="shared" si="75"/>
        <v>BSwf</v>
      </c>
      <c r="C147" s="222" t="str">
        <f t="shared" si="79"/>
        <v>BSwf_0-10_2001_b</v>
      </c>
      <c r="D147" s="224">
        <v>7.9859999999999998</v>
      </c>
      <c r="E147" s="222">
        <f t="shared" si="90"/>
        <v>7</v>
      </c>
      <c r="F147" s="222" t="s">
        <v>386</v>
      </c>
      <c r="G147" s="222" t="str">
        <f t="shared" si="76"/>
        <v/>
      </c>
      <c r="H147" s="223">
        <f>VLOOKUP($A147,'2001_Inc_01.12.20'!$A$18:$Z$41,9,FALSE)</f>
        <v>44165.4375</v>
      </c>
      <c r="I147" s="222">
        <f t="shared" si="77"/>
        <v>2020</v>
      </c>
      <c r="J147" s="222">
        <f t="shared" si="85"/>
        <v>11</v>
      </c>
      <c r="K147" s="224">
        <f t="shared" si="86"/>
        <v>30.4375</v>
      </c>
      <c r="L147" s="223">
        <f>VLOOKUP($A147,'2001_Inc_14.12.20'!$A$18:$Z$41,2,FALSE)</f>
        <v>44179.65625</v>
      </c>
      <c r="M147" s="222">
        <f t="shared" si="78"/>
        <v>2020</v>
      </c>
      <c r="N147" s="222">
        <f t="shared" si="87"/>
        <v>12</v>
      </c>
      <c r="O147" s="224">
        <f t="shared" si="88"/>
        <v>14.65625</v>
      </c>
      <c r="P147" s="224">
        <f t="shared" si="89"/>
        <v>14.21875</v>
      </c>
      <c r="Q147" s="225">
        <f>IFERROR(VLOOKUP($A147,'2001_Inc_14.12.20'!$A$18:$Z$41,14,FALSE),"")</f>
        <v>7.4136919079731616</v>
      </c>
    </row>
    <row r="148" spans="1:17">
      <c r="A148" s="221" t="s">
        <v>306</v>
      </c>
      <c r="B148" s="222" t="str">
        <f t="shared" si="75"/>
        <v>BSwf</v>
      </c>
      <c r="C148" s="222" t="str">
        <f t="shared" si="79"/>
        <v>BSwf_10-19_2001_a</v>
      </c>
      <c r="D148" s="224">
        <v>8.0489999999999995</v>
      </c>
      <c r="E148" s="222">
        <f t="shared" si="90"/>
        <v>7</v>
      </c>
      <c r="F148" s="222" t="s">
        <v>386</v>
      </c>
      <c r="G148" s="222" t="str">
        <f t="shared" si="76"/>
        <v/>
      </c>
      <c r="H148" s="223">
        <f>VLOOKUP($A148,'2001_Inc_01.12.20'!$A$18:$Z$41,9,FALSE)</f>
        <v>44165.4375</v>
      </c>
      <c r="I148" s="222">
        <f t="shared" si="77"/>
        <v>2020</v>
      </c>
      <c r="J148" s="222">
        <f t="shared" si="85"/>
        <v>11</v>
      </c>
      <c r="K148" s="224">
        <f t="shared" si="86"/>
        <v>30.4375</v>
      </c>
      <c r="L148" s="223">
        <f>VLOOKUP($A148,'2001_Inc_14.12.20'!$A$18:$Z$41,2,FALSE)</f>
        <v>44179.65625</v>
      </c>
      <c r="M148" s="222">
        <f t="shared" si="78"/>
        <v>2020</v>
      </c>
      <c r="N148" s="222">
        <f t="shared" si="87"/>
        <v>12</v>
      </c>
      <c r="O148" s="224">
        <f t="shared" si="88"/>
        <v>14.65625</v>
      </c>
      <c r="P148" s="224">
        <f t="shared" si="89"/>
        <v>14.21875</v>
      </c>
      <c r="Q148" s="225" t="str">
        <f>IFERROR(VLOOKUP($A148,'2001_Inc_14.12.20'!$A$18:$Z$41,14,FALSE),"")</f>
        <v/>
      </c>
    </row>
    <row r="149" spans="1:17">
      <c r="A149" s="221" t="s">
        <v>307</v>
      </c>
      <c r="B149" s="222" t="str">
        <f t="shared" si="75"/>
        <v>BSwf</v>
      </c>
      <c r="C149" s="222" t="str">
        <f t="shared" si="79"/>
        <v>BSwf_10-19_2001_b</v>
      </c>
      <c r="D149" s="224">
        <v>8.0150000000000006</v>
      </c>
      <c r="E149" s="222">
        <f t="shared" si="90"/>
        <v>7</v>
      </c>
      <c r="F149" s="222" t="s">
        <v>386</v>
      </c>
      <c r="G149" s="222" t="str">
        <f t="shared" si="76"/>
        <v/>
      </c>
      <c r="H149" s="223">
        <f>VLOOKUP($A149,'2001_Inc_01.12.20'!$A$18:$Z$41,9,FALSE)</f>
        <v>44165.4375</v>
      </c>
      <c r="I149" s="222">
        <f t="shared" si="77"/>
        <v>2020</v>
      </c>
      <c r="J149" s="222">
        <f t="shared" si="85"/>
        <v>11</v>
      </c>
      <c r="K149" s="224">
        <f t="shared" si="86"/>
        <v>30.4375</v>
      </c>
      <c r="L149" s="223">
        <f>VLOOKUP($A149,'2001_Inc_14.12.20'!$A$18:$Z$41,2,FALSE)</f>
        <v>44179.65625</v>
      </c>
      <c r="M149" s="222">
        <f t="shared" si="78"/>
        <v>2020</v>
      </c>
      <c r="N149" s="222">
        <f t="shared" si="87"/>
        <v>12</v>
      </c>
      <c r="O149" s="224">
        <f t="shared" si="88"/>
        <v>14.65625</v>
      </c>
      <c r="P149" s="224">
        <f t="shared" si="89"/>
        <v>14.21875</v>
      </c>
      <c r="Q149" s="225" t="str">
        <f>IFERROR(VLOOKUP($A149,'2001_Inc_14.12.20'!$A$18:$Z$41,14,FALSE),"")</f>
        <v/>
      </c>
    </row>
    <row r="150" spans="1:17">
      <c r="A150" s="221" t="s">
        <v>308</v>
      </c>
      <c r="B150" s="222" t="str">
        <f t="shared" si="75"/>
        <v>BSpp</v>
      </c>
      <c r="C150" s="222" t="str">
        <f t="shared" si="79"/>
        <v>BSpp_0-7_2001_a</v>
      </c>
      <c r="D150" s="224">
        <v>8.1419999999999995</v>
      </c>
      <c r="E150" s="222">
        <f t="shared" si="90"/>
        <v>7</v>
      </c>
      <c r="F150" s="222" t="s">
        <v>386</v>
      </c>
      <c r="G150" s="222" t="str">
        <f t="shared" si="76"/>
        <v/>
      </c>
      <c r="H150" s="223">
        <f>VLOOKUP($A150,'2001_Inc_01.12.20'!$A$18:$Z$41,9,FALSE)</f>
        <v>44165.4375</v>
      </c>
      <c r="I150" s="222">
        <f t="shared" si="77"/>
        <v>2020</v>
      </c>
      <c r="J150" s="222">
        <f t="shared" si="85"/>
        <v>11</v>
      </c>
      <c r="K150" s="224">
        <f t="shared" si="86"/>
        <v>30.4375</v>
      </c>
      <c r="L150" s="223">
        <f>VLOOKUP($A150,'2001_Inc_14.12.20'!$A$18:$Z$41,2,FALSE)</f>
        <v>44179.65625</v>
      </c>
      <c r="M150" s="222">
        <f t="shared" si="78"/>
        <v>2020</v>
      </c>
      <c r="N150" s="222">
        <f t="shared" si="87"/>
        <v>12</v>
      </c>
      <c r="O150" s="224">
        <f t="shared" si="88"/>
        <v>14.65625</v>
      </c>
      <c r="P150" s="224">
        <f t="shared" si="89"/>
        <v>14.21875</v>
      </c>
      <c r="Q150" s="225">
        <f>IFERROR(VLOOKUP($A150,'2001_Inc_14.12.20'!$A$18:$Z$41,14,FALSE),"")</f>
        <v>6.4668115487197086</v>
      </c>
    </row>
    <row r="151" spans="1:17">
      <c r="A151" s="221" t="s">
        <v>309</v>
      </c>
      <c r="B151" s="222" t="str">
        <f t="shared" si="75"/>
        <v>BSpp</v>
      </c>
      <c r="C151" s="222" t="str">
        <f t="shared" si="79"/>
        <v>BSpp_0-7_2001_b</v>
      </c>
      <c r="D151" s="224">
        <v>8.0820000000000007</v>
      </c>
      <c r="E151" s="222">
        <f t="shared" si="90"/>
        <v>7</v>
      </c>
      <c r="F151" s="222" t="s">
        <v>386</v>
      </c>
      <c r="G151" s="222" t="str">
        <f t="shared" si="76"/>
        <v/>
      </c>
      <c r="H151" s="223">
        <f>VLOOKUP($A151,'2001_Inc_01.12.20'!$A$18:$Z$41,9,FALSE)</f>
        <v>44165.4375</v>
      </c>
      <c r="I151" s="222">
        <f t="shared" si="77"/>
        <v>2020</v>
      </c>
      <c r="J151" s="222">
        <f t="shared" si="85"/>
        <v>11</v>
      </c>
      <c r="K151" s="224">
        <f t="shared" si="86"/>
        <v>30.4375</v>
      </c>
      <c r="L151" s="223">
        <f>VLOOKUP($A151,'2001_Inc_14.12.20'!$A$18:$Z$41,2,FALSE)</f>
        <v>44179.65625</v>
      </c>
      <c r="M151" s="222">
        <f t="shared" si="78"/>
        <v>2020</v>
      </c>
      <c r="N151" s="222">
        <f t="shared" si="87"/>
        <v>12</v>
      </c>
      <c r="O151" s="224">
        <f t="shared" si="88"/>
        <v>14.65625</v>
      </c>
      <c r="P151" s="224">
        <f t="shared" si="89"/>
        <v>14.21875</v>
      </c>
      <c r="Q151" s="225" t="str">
        <f>IFERROR(VLOOKUP($A151,'2001_Inc_14.12.20'!$A$18:$Z$41,14,FALSE),"")</f>
        <v/>
      </c>
    </row>
    <row r="152" spans="1:17">
      <c r="A152" s="221" t="s">
        <v>310</v>
      </c>
      <c r="B152" s="222" t="str">
        <f t="shared" si="75"/>
        <v>BSpp</v>
      </c>
      <c r="C152" s="222" t="str">
        <f t="shared" si="79"/>
        <v>BSpp_7-18_2001_a</v>
      </c>
      <c r="D152" s="224">
        <v>7.992</v>
      </c>
      <c r="E152" s="222">
        <f t="shared" si="90"/>
        <v>7</v>
      </c>
      <c r="F152" s="222" t="s">
        <v>386</v>
      </c>
      <c r="G152" s="222" t="str">
        <f t="shared" si="76"/>
        <v/>
      </c>
      <c r="H152" s="223">
        <f>VLOOKUP($A152,'2001_Inc_01.12.20'!$A$18:$Z$41,9,FALSE)</f>
        <v>44165.4375</v>
      </c>
      <c r="I152" s="222">
        <f t="shared" si="77"/>
        <v>2020</v>
      </c>
      <c r="J152" s="222">
        <f t="shared" si="85"/>
        <v>11</v>
      </c>
      <c r="K152" s="224">
        <f t="shared" si="86"/>
        <v>30.4375</v>
      </c>
      <c r="L152" s="223">
        <f>VLOOKUP($A152,'2001_Inc_14.12.20'!$A$18:$Z$41,2,FALSE)</f>
        <v>44179.65625</v>
      </c>
      <c r="M152" s="222">
        <f t="shared" si="78"/>
        <v>2020</v>
      </c>
      <c r="N152" s="222">
        <f t="shared" si="87"/>
        <v>12</v>
      </c>
      <c r="O152" s="224">
        <f t="shared" si="88"/>
        <v>14.65625</v>
      </c>
      <c r="P152" s="224">
        <f t="shared" si="89"/>
        <v>14.21875</v>
      </c>
      <c r="Q152" s="225" t="str">
        <f>IFERROR(VLOOKUP($A152,'2001_Inc_14.12.20'!$A$18:$Z$41,14,FALSE),"")</f>
        <v/>
      </c>
    </row>
    <row r="153" spans="1:17">
      <c r="A153" s="221" t="s">
        <v>311</v>
      </c>
      <c r="B153" s="222" t="str">
        <f t="shared" si="75"/>
        <v>BSpp</v>
      </c>
      <c r="C153" s="222" t="str">
        <f t="shared" si="79"/>
        <v>BSpp_7-18_2001_b</v>
      </c>
      <c r="D153" s="224">
        <v>8.06</v>
      </c>
      <c r="E153" s="222">
        <f t="shared" si="90"/>
        <v>7</v>
      </c>
      <c r="F153" s="222" t="s">
        <v>386</v>
      </c>
      <c r="G153" s="222" t="str">
        <f t="shared" si="76"/>
        <v/>
      </c>
      <c r="H153" s="223">
        <f>VLOOKUP($A153,'2001_Inc_01.12.20'!$A$18:$Z$41,9,FALSE)</f>
        <v>44165.4375</v>
      </c>
      <c r="I153" s="222">
        <f t="shared" si="77"/>
        <v>2020</v>
      </c>
      <c r="J153" s="222">
        <f t="shared" si="85"/>
        <v>11</v>
      </c>
      <c r="K153" s="224">
        <f t="shared" si="86"/>
        <v>30.4375</v>
      </c>
      <c r="L153" s="223">
        <f>VLOOKUP($A153,'2001_Inc_14.12.20'!$A$18:$Z$41,2,FALSE)</f>
        <v>44179.65625</v>
      </c>
      <c r="M153" s="222">
        <f t="shared" si="78"/>
        <v>2020</v>
      </c>
      <c r="N153" s="222">
        <f t="shared" si="87"/>
        <v>12</v>
      </c>
      <c r="O153" s="224">
        <f t="shared" si="88"/>
        <v>14.65625</v>
      </c>
      <c r="P153" s="224">
        <f t="shared" si="89"/>
        <v>14.21875</v>
      </c>
      <c r="Q153" s="225" t="str">
        <f>IFERROR(VLOOKUP($A153,'2001_Inc_14.12.20'!$A$18:$Z$41,14,FALSE),"")</f>
        <v/>
      </c>
    </row>
    <row r="154" spans="1:17">
      <c r="A154" s="221" t="s">
        <v>312</v>
      </c>
      <c r="B154" s="222" t="str">
        <f t="shared" si="75"/>
        <v>BSpp</v>
      </c>
      <c r="C154" s="222" t="str">
        <f t="shared" si="79"/>
        <v>BSpp_18-28_2001_a</v>
      </c>
      <c r="D154" s="224">
        <v>7.9939999999999998</v>
      </c>
      <c r="E154" s="222">
        <f t="shared" si="90"/>
        <v>7</v>
      </c>
      <c r="F154" s="222" t="s">
        <v>386</v>
      </c>
      <c r="G154" s="222" t="str">
        <f t="shared" si="76"/>
        <v/>
      </c>
      <c r="H154" s="223">
        <f>VLOOKUP($A154,'2001_Inc_01.12.20'!$A$18:$Z$41,9,FALSE)</f>
        <v>44165.4375</v>
      </c>
      <c r="I154" s="222">
        <f t="shared" si="77"/>
        <v>2020</v>
      </c>
      <c r="J154" s="222">
        <f t="shared" si="85"/>
        <v>11</v>
      </c>
      <c r="K154" s="224">
        <f t="shared" si="86"/>
        <v>30.4375</v>
      </c>
      <c r="L154" s="223">
        <f>VLOOKUP($A154,'2001_Inc_14.12.20'!$A$18:$Z$41,2,FALSE)</f>
        <v>44179.65625</v>
      </c>
      <c r="M154" s="222">
        <f t="shared" si="78"/>
        <v>2020</v>
      </c>
      <c r="N154" s="222">
        <f t="shared" si="87"/>
        <v>12</v>
      </c>
      <c r="O154" s="224">
        <f t="shared" si="88"/>
        <v>14.65625</v>
      </c>
      <c r="P154" s="224">
        <f t="shared" si="89"/>
        <v>14.21875</v>
      </c>
      <c r="Q154" s="225">
        <f>IFERROR(VLOOKUP($A154,'2001_Inc_14.12.20'!$A$18:$Z$41,14,FALSE),"")</f>
        <v>1.3794712650803829</v>
      </c>
    </row>
    <row r="155" spans="1:17">
      <c r="A155" s="231" t="s">
        <v>313</v>
      </c>
      <c r="B155" s="232" t="str">
        <f t="shared" si="75"/>
        <v>BSpp</v>
      </c>
      <c r="C155" s="232" t="str">
        <f t="shared" si="79"/>
        <v>BSpp_18-28_2001_b</v>
      </c>
      <c r="D155" s="234">
        <v>8.0060000000000002</v>
      </c>
      <c r="E155" s="232">
        <f t="shared" si="90"/>
        <v>7</v>
      </c>
      <c r="F155" s="232" t="s">
        <v>386</v>
      </c>
      <c r="G155" s="232" t="str">
        <f t="shared" si="76"/>
        <v/>
      </c>
      <c r="H155" s="233">
        <f>VLOOKUP($A155,'2001_Inc_01.12.20'!$A$18:$Z$41,9,FALSE)</f>
        <v>44165.4375</v>
      </c>
      <c r="I155" s="232">
        <f t="shared" si="77"/>
        <v>2020</v>
      </c>
      <c r="J155" s="232">
        <f t="shared" si="85"/>
        <v>11</v>
      </c>
      <c r="K155" s="234">
        <f t="shared" si="86"/>
        <v>30.4375</v>
      </c>
      <c r="L155" s="233">
        <f>VLOOKUP($A155,'2001_Inc_14.12.20'!$A$18:$Z$41,2,FALSE)</f>
        <v>44179.65625</v>
      </c>
      <c r="M155" s="232">
        <f t="shared" si="78"/>
        <v>2020</v>
      </c>
      <c r="N155" s="232">
        <f t="shared" si="87"/>
        <v>12</v>
      </c>
      <c r="O155" s="234">
        <f t="shared" si="88"/>
        <v>14.65625</v>
      </c>
      <c r="P155" s="234">
        <f t="shared" si="89"/>
        <v>14.21875</v>
      </c>
      <c r="Q155" s="235">
        <f>IFERROR(VLOOKUP($A155,'2001_Inc_14.12.20'!$A$18:$Z$41,14,FALSE),"")</f>
        <v>2.6491032040825657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10" sqref="M10"/>
    </sheetView>
  </sheetViews>
  <sheetFormatPr baseColWidth="10" defaultRowHeight="14" x14ac:dyDescent="0"/>
  <cols>
    <col min="1" max="1" width="30.83203125" bestFit="1" customWidth="1"/>
  </cols>
  <sheetData>
    <row r="1" spans="1:11" ht="135">
      <c r="A1" s="133" t="s">
        <v>154</v>
      </c>
      <c r="B1" s="133" t="s">
        <v>155</v>
      </c>
      <c r="C1" s="134" t="s">
        <v>156</v>
      </c>
      <c r="D1" s="134" t="s">
        <v>162</v>
      </c>
      <c r="E1" s="134" t="s">
        <v>163</v>
      </c>
      <c r="F1" s="134" t="s">
        <v>157</v>
      </c>
      <c r="G1" s="133" t="s">
        <v>164</v>
      </c>
      <c r="H1" s="133" t="s">
        <v>158</v>
      </c>
      <c r="I1" s="133" t="s">
        <v>159</v>
      </c>
      <c r="J1" s="134" t="s">
        <v>160</v>
      </c>
      <c r="K1" s="134" t="s">
        <v>161</v>
      </c>
    </row>
    <row r="2" spans="1:11">
      <c r="A2" s="95" t="s">
        <v>338</v>
      </c>
      <c r="B2" s="95"/>
      <c r="C2" s="95"/>
      <c r="D2" s="95"/>
      <c r="E2" s="95"/>
      <c r="F2" s="95"/>
      <c r="G2" s="95"/>
      <c r="H2" s="95"/>
      <c r="I2" s="95"/>
      <c r="J2" s="95">
        <v>26482</v>
      </c>
      <c r="K2" s="95"/>
    </row>
    <row r="3" spans="1:11">
      <c r="A3" s="95" t="s">
        <v>339</v>
      </c>
      <c r="B3" s="95"/>
      <c r="C3" s="95"/>
      <c r="D3" s="95"/>
      <c r="E3" s="95"/>
      <c r="F3" s="95"/>
      <c r="G3" s="95"/>
      <c r="H3" s="95"/>
      <c r="I3" s="95"/>
      <c r="J3" s="95">
        <v>26483</v>
      </c>
      <c r="K3" s="95"/>
    </row>
    <row r="4" spans="1:11">
      <c r="A4" s="95" t="s">
        <v>340</v>
      </c>
      <c r="B4" s="95"/>
      <c r="C4" s="95"/>
      <c r="D4" s="95"/>
      <c r="E4" s="95"/>
      <c r="F4" s="95"/>
      <c r="G4" s="95"/>
      <c r="H4" s="95"/>
      <c r="I4" s="95"/>
      <c r="J4" s="95">
        <v>26484</v>
      </c>
      <c r="K4" s="95"/>
    </row>
    <row r="5" spans="1:11">
      <c r="A5" s="95" t="s">
        <v>341</v>
      </c>
      <c r="B5" s="95"/>
      <c r="C5" s="95"/>
      <c r="D5" s="95"/>
      <c r="E5" s="95"/>
      <c r="F5" s="95"/>
      <c r="G5" s="95"/>
      <c r="H5" s="95"/>
      <c r="I5" s="95"/>
      <c r="J5" s="95">
        <v>26485</v>
      </c>
      <c r="K5" s="95"/>
    </row>
    <row r="6" spans="1:11">
      <c r="A6" s="215" t="s">
        <v>342</v>
      </c>
      <c r="B6" s="95"/>
      <c r="C6" s="95"/>
      <c r="D6" s="95"/>
      <c r="E6" s="95"/>
      <c r="F6" s="95"/>
      <c r="G6" s="95"/>
      <c r="H6" s="95"/>
      <c r="I6" s="95"/>
      <c r="J6" s="215">
        <v>26486</v>
      </c>
      <c r="K6" s="95"/>
    </row>
    <row r="7" spans="1:11">
      <c r="A7" s="215" t="s">
        <v>343</v>
      </c>
      <c r="B7" s="95"/>
      <c r="C7" s="95"/>
      <c r="D7" s="95"/>
      <c r="E7" s="95"/>
      <c r="F7" s="95"/>
      <c r="G7" s="95"/>
      <c r="H7" s="95"/>
      <c r="I7" s="95"/>
      <c r="J7" s="215">
        <v>26487</v>
      </c>
      <c r="K7" s="95"/>
    </row>
    <row r="8" spans="1:11">
      <c r="A8" s="95" t="s">
        <v>344</v>
      </c>
      <c r="B8" s="95"/>
      <c r="C8" s="95"/>
      <c r="D8" s="95"/>
      <c r="E8" s="95"/>
      <c r="F8" s="95"/>
      <c r="G8" s="95"/>
      <c r="H8" s="95"/>
      <c r="I8" s="95"/>
      <c r="J8" s="95">
        <v>26488</v>
      </c>
      <c r="K8" s="95"/>
    </row>
    <row r="9" spans="1:11">
      <c r="A9" s="95" t="s">
        <v>345</v>
      </c>
      <c r="B9" s="95"/>
      <c r="C9" s="95"/>
      <c r="D9" s="95"/>
      <c r="E9" s="95"/>
      <c r="F9" s="95"/>
      <c r="G9" s="95"/>
      <c r="H9" s="95"/>
      <c r="I9" s="95"/>
      <c r="J9" s="95">
        <v>26489</v>
      </c>
      <c r="K9" s="95"/>
    </row>
    <row r="10" spans="1:11">
      <c r="A10" s="215" t="s">
        <v>346</v>
      </c>
      <c r="B10" s="95"/>
      <c r="C10" s="95"/>
      <c r="D10" s="95"/>
      <c r="E10" s="95"/>
      <c r="F10" s="95"/>
      <c r="G10" s="95"/>
      <c r="H10" s="95"/>
      <c r="I10" s="95"/>
      <c r="J10" s="215">
        <v>26490</v>
      </c>
      <c r="K10" s="95"/>
    </row>
    <row r="11" spans="1:11">
      <c r="A11" s="95" t="s">
        <v>360</v>
      </c>
      <c r="B11" s="95"/>
      <c r="C11" s="95"/>
      <c r="D11" s="95"/>
      <c r="E11" s="95"/>
      <c r="F11" s="95"/>
      <c r="G11" s="95"/>
      <c r="H11" s="95"/>
      <c r="I11" s="95"/>
      <c r="J11" s="95">
        <v>26491</v>
      </c>
      <c r="K11" s="95"/>
    </row>
    <row r="12" spans="1:11">
      <c r="A12" s="215" t="s">
        <v>347</v>
      </c>
      <c r="B12" s="95"/>
      <c r="C12" s="95"/>
      <c r="D12" s="95"/>
      <c r="E12" s="95"/>
      <c r="F12" s="95"/>
      <c r="G12" s="95"/>
      <c r="H12" s="95"/>
      <c r="I12" s="95"/>
      <c r="J12" s="215">
        <v>26492</v>
      </c>
      <c r="K12" s="95"/>
    </row>
    <row r="13" spans="1:11">
      <c r="A13" s="95" t="s">
        <v>348</v>
      </c>
      <c r="B13" s="95"/>
      <c r="C13" s="95"/>
      <c r="D13" s="95"/>
      <c r="E13" s="95"/>
      <c r="F13" s="95"/>
      <c r="G13" s="95"/>
      <c r="H13" s="95"/>
      <c r="I13" s="95"/>
      <c r="J13" s="95">
        <v>26493</v>
      </c>
      <c r="K13" s="95"/>
    </row>
    <row r="14" spans="1:11">
      <c r="A14" s="95" t="s">
        <v>349</v>
      </c>
      <c r="B14" s="95"/>
      <c r="C14" s="95"/>
      <c r="D14" s="95"/>
      <c r="E14" s="95"/>
      <c r="F14" s="95"/>
      <c r="G14" s="95"/>
      <c r="H14" s="95"/>
      <c r="I14" s="95"/>
      <c r="J14" s="95">
        <v>26494</v>
      </c>
      <c r="K14" s="95"/>
    </row>
    <row r="15" spans="1:11">
      <c r="A15" s="95" t="s">
        <v>350</v>
      </c>
      <c r="B15" s="95"/>
      <c r="C15" s="95"/>
      <c r="D15" s="95"/>
      <c r="E15" s="95"/>
      <c r="F15" s="95"/>
      <c r="G15" s="95"/>
      <c r="H15" s="95"/>
      <c r="I15" s="95"/>
      <c r="J15" s="95">
        <v>26495</v>
      </c>
      <c r="K15" s="95"/>
    </row>
    <row r="16" spans="1:11">
      <c r="A16" s="95" t="s">
        <v>351</v>
      </c>
      <c r="B16" s="95"/>
      <c r="C16" s="95"/>
      <c r="D16" s="95"/>
      <c r="E16" s="95"/>
      <c r="F16" s="95"/>
      <c r="G16" s="95"/>
      <c r="H16" s="95"/>
      <c r="I16" s="95"/>
      <c r="J16" s="95">
        <v>26496</v>
      </c>
      <c r="K16" s="95"/>
    </row>
    <row r="17" spans="1:11">
      <c r="A17" s="95" t="s">
        <v>352</v>
      </c>
      <c r="B17" s="95"/>
      <c r="C17" s="95"/>
      <c r="D17" s="95"/>
      <c r="E17" s="95"/>
      <c r="F17" s="95"/>
      <c r="G17" s="95"/>
      <c r="H17" s="95"/>
      <c r="I17" s="95"/>
      <c r="J17" s="95">
        <v>26497</v>
      </c>
      <c r="K17" s="95"/>
    </row>
    <row r="18" spans="1:11">
      <c r="A18" s="95" t="s">
        <v>353</v>
      </c>
      <c r="B18" s="95"/>
      <c r="C18" s="95"/>
      <c r="D18" s="95"/>
      <c r="E18" s="95"/>
      <c r="F18" s="95"/>
      <c r="G18" s="95"/>
      <c r="H18" s="95"/>
      <c r="I18" s="95"/>
      <c r="J18" s="95">
        <v>26498</v>
      </c>
      <c r="K18" s="95"/>
    </row>
    <row r="19" spans="1:11">
      <c r="A19" s="95" t="s">
        <v>354</v>
      </c>
      <c r="B19" s="95"/>
      <c r="C19" s="95"/>
      <c r="D19" s="95"/>
      <c r="E19" s="95"/>
      <c r="F19" s="95"/>
      <c r="G19" s="95"/>
      <c r="H19" s="95"/>
      <c r="I19" s="95"/>
      <c r="J19" s="95">
        <v>26499</v>
      </c>
      <c r="K19" s="95"/>
    </row>
    <row r="20" spans="1:11">
      <c r="A20" s="215" t="s">
        <v>355</v>
      </c>
      <c r="B20" s="95"/>
      <c r="C20" s="95"/>
      <c r="D20" s="95"/>
      <c r="E20" s="95"/>
      <c r="F20" s="95"/>
      <c r="G20" s="95"/>
      <c r="H20" s="95"/>
      <c r="I20" s="95"/>
      <c r="J20" s="215">
        <v>26500</v>
      </c>
      <c r="K20" s="95"/>
    </row>
    <row r="21" spans="1:11">
      <c r="A21" s="95" t="s">
        <v>361</v>
      </c>
      <c r="B21" s="95"/>
      <c r="C21" s="95"/>
      <c r="D21" s="95"/>
      <c r="E21" s="95"/>
      <c r="F21" s="95"/>
      <c r="G21" s="95"/>
      <c r="H21" s="95"/>
      <c r="I21" s="95"/>
      <c r="J21" s="95">
        <v>26501</v>
      </c>
      <c r="K21" s="95"/>
    </row>
    <row r="22" spans="1:11">
      <c r="A22" s="215" t="s">
        <v>356</v>
      </c>
      <c r="B22" s="95"/>
      <c r="C22" s="95"/>
      <c r="D22" s="95"/>
      <c r="E22" s="95"/>
      <c r="F22" s="95"/>
      <c r="G22" s="95"/>
      <c r="H22" s="95"/>
      <c r="I22" s="95"/>
      <c r="J22" s="215">
        <v>26502</v>
      </c>
      <c r="K22" s="95"/>
    </row>
    <row r="23" spans="1:11">
      <c r="A23" s="215" t="s">
        <v>357</v>
      </c>
      <c r="B23" s="95"/>
      <c r="C23" s="95"/>
      <c r="D23" s="95"/>
      <c r="E23" s="95"/>
      <c r="F23" s="95"/>
      <c r="G23" s="95"/>
      <c r="H23" s="95"/>
      <c r="I23" s="95"/>
      <c r="J23" s="215">
        <v>26503</v>
      </c>
      <c r="K23" s="95"/>
    </row>
    <row r="24" spans="1:11">
      <c r="A24" s="215" t="s">
        <v>358</v>
      </c>
      <c r="B24" s="95"/>
      <c r="C24" s="95"/>
      <c r="D24" s="95"/>
      <c r="E24" s="95"/>
      <c r="F24" s="95"/>
      <c r="G24" s="95"/>
      <c r="H24" s="95"/>
      <c r="I24" s="95"/>
      <c r="J24" s="215">
        <v>26504</v>
      </c>
      <c r="K24" s="95"/>
    </row>
    <row r="25" spans="1:11">
      <c r="A25" s="215" t="s">
        <v>359</v>
      </c>
      <c r="B25" s="95"/>
      <c r="C25" s="95"/>
      <c r="D25" s="95"/>
      <c r="E25" s="95"/>
      <c r="F25" s="95"/>
      <c r="G25" s="95"/>
      <c r="H25" s="95"/>
      <c r="I25" s="95"/>
      <c r="J25" s="215">
        <v>26505</v>
      </c>
      <c r="K25" s="95"/>
    </row>
    <row r="26" spans="1:11">
      <c r="A26" s="215" t="s">
        <v>362</v>
      </c>
      <c r="B26" s="95"/>
      <c r="C26" s="95"/>
      <c r="D26" s="95"/>
      <c r="E26" s="95"/>
      <c r="F26" s="95"/>
      <c r="G26" s="95"/>
      <c r="H26" s="95"/>
      <c r="I26" s="95"/>
      <c r="J26" s="215">
        <v>26506</v>
      </c>
      <c r="K26" s="9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W41"/>
  <sheetViews>
    <sheetView topLeftCell="A7" workbookViewId="0">
      <selection activeCell="N47" sqref="N47"/>
    </sheetView>
  </sheetViews>
  <sheetFormatPr baseColWidth="10" defaultRowHeight="14" x14ac:dyDescent="0"/>
  <cols>
    <col min="21" max="21" width="15.1640625" bestFit="1" customWidth="1"/>
  </cols>
  <sheetData>
    <row r="16" spans="1:20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</row>
    <row r="17" spans="1:22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</row>
    <row r="18" spans="1:22">
      <c r="A18" s="161" t="s">
        <v>251</v>
      </c>
      <c r="B18" s="71">
        <f t="shared" ref="B18:B41" si="0">$B$3+H18</f>
        <v>0.45833333333333331</v>
      </c>
      <c r="C18" s="44"/>
      <c r="D18" s="80"/>
      <c r="E18" s="81"/>
      <c r="F18" s="72" t="e">
        <f t="shared" ref="F18:F41" si="1">((I$9*D18)+I$10)/C18/1000</f>
        <v>#DIV/0!</v>
      </c>
      <c r="G18" s="72" t="e">
        <f t="shared" ref="G18:G41" si="2">((I$12*E18)+I$13)/C18/1000</f>
        <v>#DIV/0!</v>
      </c>
      <c r="H18" s="96">
        <v>0.45833333333333331</v>
      </c>
      <c r="I18" s="73">
        <f>jar_information!M3</f>
        <v>44165.4375</v>
      </c>
      <c r="J18" s="74">
        <f t="shared" ref="J18:J41" si="3">B18-I18</f>
        <v>-44164.979166666664</v>
      </c>
      <c r="K18" s="74">
        <f t="shared" ref="K18:K41" si="4">J18*24</f>
        <v>-1059959.5</v>
      </c>
      <c r="L18" s="75">
        <f>jar_information!H3</f>
        <v>371.24882105804681</v>
      </c>
      <c r="M18" s="74" t="e">
        <f t="shared" ref="M18:M41" si="5">F18*L18</f>
        <v>#DIV/0!</v>
      </c>
      <c r="N18" s="74" t="e">
        <f t="shared" ref="N18:N41" si="6">M18*1.83</f>
        <v>#DIV/0!</v>
      </c>
      <c r="O18" s="76" t="e">
        <f t="shared" ref="O18:O41" si="7">N18*(12/(12+(16*2)))</f>
        <v>#DIV/0!</v>
      </c>
      <c r="P18" s="77" t="e">
        <f t="shared" ref="P18:P41" si="8">O18*(400/(400+L18))</f>
        <v>#DIV/0!</v>
      </c>
      <c r="Q18" s="78">
        <f>'2001_Inc_14.12.20'!Q18</f>
        <v>697</v>
      </c>
      <c r="R18" s="78">
        <f>'2001_Inc_14.12.20'!R18</f>
        <v>2.2148077534159518</v>
      </c>
      <c r="S18" s="78">
        <f>'2001_Inc_14.12.20'!S18</f>
        <v>85.840825705365802</v>
      </c>
      <c r="T18" s="79" t="e">
        <f t="shared" ref="T18:T41" si="9">F18*1000000</f>
        <v>#DIV/0!</v>
      </c>
      <c r="U18" s="158">
        <v>44131.652777777781</v>
      </c>
    </row>
    <row r="19" spans="1:22">
      <c r="A19" s="161" t="s">
        <v>252</v>
      </c>
      <c r="B19" s="71">
        <f t="shared" si="0"/>
        <v>0.45833333333333331</v>
      </c>
      <c r="C19" s="44"/>
      <c r="D19" s="80"/>
      <c r="E19" s="81"/>
      <c r="F19" s="72" t="e">
        <f t="shared" si="1"/>
        <v>#DIV/0!</v>
      </c>
      <c r="G19" s="72" t="e">
        <f t="shared" si="2"/>
        <v>#DIV/0!</v>
      </c>
      <c r="H19" s="96">
        <v>0.45833333333333331</v>
      </c>
      <c r="I19" s="73">
        <f>jar_information!M4</f>
        <v>44165.4375</v>
      </c>
      <c r="J19" s="74">
        <f t="shared" si="3"/>
        <v>-44164.979166666664</v>
      </c>
      <c r="K19" s="74">
        <f t="shared" si="4"/>
        <v>-1059959.5</v>
      </c>
      <c r="L19" s="75">
        <f>jar_information!H4</f>
        <v>396.0136460677399</v>
      </c>
      <c r="M19" s="74" t="e">
        <f t="shared" si="5"/>
        <v>#DIV/0!</v>
      </c>
      <c r="N19" s="74" t="e">
        <f t="shared" si="6"/>
        <v>#DIV/0!</v>
      </c>
      <c r="O19" s="76" t="e">
        <f t="shared" si="7"/>
        <v>#DIV/0!</v>
      </c>
      <c r="P19" s="77" t="e">
        <f t="shared" si="8"/>
        <v>#DIV/0!</v>
      </c>
      <c r="Q19" s="78">
        <f>'2001_Inc_07.12.20'!Q19</f>
        <v>0</v>
      </c>
      <c r="R19" s="78">
        <f>'2001_Inc_07.12.20'!R19</f>
        <v>0</v>
      </c>
      <c r="S19" s="78">
        <f>'2001_Inc_07.12.20'!S19</f>
        <v>0</v>
      </c>
      <c r="T19" s="79" t="e">
        <f t="shared" si="9"/>
        <v>#DIV/0!</v>
      </c>
      <c r="U19" s="130">
        <v>44116</v>
      </c>
    </row>
    <row r="20" spans="1:22">
      <c r="A20" s="29" t="s">
        <v>253</v>
      </c>
      <c r="B20" s="71">
        <f t="shared" si="0"/>
        <v>0.45833333333333331</v>
      </c>
      <c r="C20" s="44">
        <v>3</v>
      </c>
      <c r="D20" s="80">
        <v>255.97</v>
      </c>
      <c r="E20" s="81">
        <v>56.868000000000002</v>
      </c>
      <c r="F20" s="72">
        <f t="shared" si="1"/>
        <v>0</v>
      </c>
      <c r="G20" s="72">
        <f t="shared" si="2"/>
        <v>0</v>
      </c>
      <c r="H20" s="96">
        <v>0.45833333333333331</v>
      </c>
      <c r="I20" s="73">
        <f>jar_information!M5</f>
        <v>44165.4375</v>
      </c>
      <c r="J20" s="74">
        <f t="shared" si="3"/>
        <v>-44164.979166666664</v>
      </c>
      <c r="K20" s="74">
        <f t="shared" si="4"/>
        <v>-1059959.5</v>
      </c>
      <c r="L20" s="75">
        <f>jar_information!H5</f>
        <v>356.00450368854933</v>
      </c>
      <c r="M20" s="74">
        <f t="shared" si="5"/>
        <v>0</v>
      </c>
      <c r="N20" s="74">
        <f t="shared" si="6"/>
        <v>0</v>
      </c>
      <c r="O20" s="76">
        <f t="shared" si="7"/>
        <v>0</v>
      </c>
      <c r="P20" s="77">
        <f t="shared" si="8"/>
        <v>0</v>
      </c>
      <c r="Q20" s="78">
        <f>'2001_Inc_14.12.20'!Q20</f>
        <v>0</v>
      </c>
      <c r="R20" s="78">
        <f>'2001_Inc_14.12.20'!R20</f>
        <v>0</v>
      </c>
      <c r="S20" s="78" t="e">
        <f>'2001_Inc_14.12.20'!S20</f>
        <v>#DIV/0!</v>
      </c>
      <c r="T20" s="79">
        <f t="shared" si="9"/>
        <v>0</v>
      </c>
    </row>
    <row r="21" spans="1:22">
      <c r="A21" s="29" t="s">
        <v>254</v>
      </c>
      <c r="B21" s="71">
        <f t="shared" si="0"/>
        <v>0.45833333333333331</v>
      </c>
      <c r="C21" s="44">
        <v>3</v>
      </c>
      <c r="D21" s="80">
        <v>239.77</v>
      </c>
      <c r="E21" s="81">
        <v>50.825000000000003</v>
      </c>
      <c r="F21" s="72">
        <f t="shared" si="1"/>
        <v>0</v>
      </c>
      <c r="G21" s="72">
        <f t="shared" si="2"/>
        <v>0</v>
      </c>
      <c r="H21" s="96">
        <v>0.45833333333333331</v>
      </c>
      <c r="I21" s="73">
        <f>jar_information!M6</f>
        <v>44165.4375</v>
      </c>
      <c r="J21" s="74">
        <f t="shared" si="3"/>
        <v>-44164.979166666664</v>
      </c>
      <c r="K21" s="74">
        <f t="shared" si="4"/>
        <v>-1059959.5</v>
      </c>
      <c r="L21" s="75">
        <f>jar_information!H6</f>
        <v>362.08093473315461</v>
      </c>
      <c r="M21" s="74">
        <f t="shared" si="5"/>
        <v>0</v>
      </c>
      <c r="N21" s="74">
        <f t="shared" si="6"/>
        <v>0</v>
      </c>
      <c r="O21" s="76">
        <f t="shared" si="7"/>
        <v>0</v>
      </c>
      <c r="P21" s="77">
        <f t="shared" si="8"/>
        <v>0</v>
      </c>
      <c r="Q21" s="78">
        <f>'2001_Inc_14.12.20'!Q21</f>
        <v>0</v>
      </c>
      <c r="R21" s="78">
        <f>'2001_Inc_14.12.20'!R21</f>
        <v>0</v>
      </c>
      <c r="S21" s="78" t="e">
        <f>'2001_Inc_14.12.20'!S21</f>
        <v>#DIV/0!</v>
      </c>
      <c r="T21" s="79">
        <f t="shared" si="9"/>
        <v>0</v>
      </c>
    </row>
    <row r="22" spans="1:22" ht="12.75" customHeight="1">
      <c r="A22" s="161" t="s">
        <v>255</v>
      </c>
      <c r="B22" s="71">
        <f t="shared" si="0"/>
        <v>0.45833333333333331</v>
      </c>
      <c r="C22" s="44"/>
      <c r="D22" s="80"/>
      <c r="E22" s="81"/>
      <c r="F22" s="72" t="e">
        <f t="shared" si="1"/>
        <v>#DIV/0!</v>
      </c>
      <c r="G22" s="72" t="e">
        <f t="shared" si="2"/>
        <v>#DIV/0!</v>
      </c>
      <c r="H22" s="96">
        <v>0.45833333333333331</v>
      </c>
      <c r="I22" s="73">
        <f>jar_information!M7</f>
        <v>44165.4375</v>
      </c>
      <c r="J22" s="74">
        <f t="shared" si="3"/>
        <v>-44164.979166666664</v>
      </c>
      <c r="K22" s="74">
        <f t="shared" si="4"/>
        <v>-1059959.5</v>
      </c>
      <c r="L22" s="75">
        <f>jar_information!H7</f>
        <v>368.18572718286885</v>
      </c>
      <c r="M22" s="74" t="e">
        <f t="shared" si="5"/>
        <v>#DIV/0!</v>
      </c>
      <c r="N22" s="74" t="e">
        <f t="shared" si="6"/>
        <v>#DIV/0!</v>
      </c>
      <c r="O22" s="76" t="e">
        <f t="shared" si="7"/>
        <v>#DIV/0!</v>
      </c>
      <c r="P22" s="77" t="e">
        <f t="shared" si="8"/>
        <v>#DIV/0!</v>
      </c>
      <c r="Q22" s="78">
        <f>'2001_Inc_02.12.20'!Q22</f>
        <v>0</v>
      </c>
      <c r="R22" s="78">
        <f>'2001_Inc_02.12.20'!R22</f>
        <v>0</v>
      </c>
      <c r="S22" s="78">
        <f>'2001_Inc_02.12.20'!S22</f>
        <v>0</v>
      </c>
      <c r="T22" s="79" t="e">
        <f t="shared" si="9"/>
        <v>#DIV/0!</v>
      </c>
      <c r="U22" s="130">
        <v>44112</v>
      </c>
    </row>
    <row r="23" spans="1:22">
      <c r="A23" s="161" t="s">
        <v>256</v>
      </c>
      <c r="B23" s="71">
        <f t="shared" si="0"/>
        <v>0.45833333333333331</v>
      </c>
      <c r="C23" s="44"/>
      <c r="D23" s="80"/>
      <c r="E23" s="81"/>
      <c r="F23" s="72" t="e">
        <f t="shared" si="1"/>
        <v>#DIV/0!</v>
      </c>
      <c r="G23" s="72" t="e">
        <f t="shared" si="2"/>
        <v>#DIV/0!</v>
      </c>
      <c r="H23" s="96">
        <v>0.45833333333333331</v>
      </c>
      <c r="I23" s="73">
        <f>jar_information!M8</f>
        <v>44165.4375</v>
      </c>
      <c r="J23" s="74">
        <f t="shared" si="3"/>
        <v>-44164.979166666664</v>
      </c>
      <c r="K23" s="74">
        <f t="shared" si="4"/>
        <v>-1059959.5</v>
      </c>
      <c r="L23" s="75">
        <f>jar_information!H8</f>
        <v>405.42134882290139</v>
      </c>
      <c r="M23" s="74" t="e">
        <f t="shared" si="5"/>
        <v>#DIV/0!</v>
      </c>
      <c r="N23" s="74" t="e">
        <f t="shared" si="6"/>
        <v>#DIV/0!</v>
      </c>
      <c r="O23" s="76" t="e">
        <f t="shared" si="7"/>
        <v>#DIV/0!</v>
      </c>
      <c r="P23" s="77" t="e">
        <f t="shared" si="8"/>
        <v>#DIV/0!</v>
      </c>
      <c r="Q23" s="78">
        <f>'2001_Inc_02.12.20'!Q23</f>
        <v>0</v>
      </c>
      <c r="R23" s="78">
        <f>'2001_Inc_02.12.20'!R23</f>
        <v>0</v>
      </c>
      <c r="S23" s="78">
        <f>'2001_Inc_02.12.20'!S23</f>
        <v>0</v>
      </c>
      <c r="T23" s="79" t="e">
        <f t="shared" si="9"/>
        <v>#DIV/0!</v>
      </c>
      <c r="U23" s="130">
        <v>44112</v>
      </c>
    </row>
    <row r="24" spans="1:22">
      <c r="A24" s="161" t="s">
        <v>257</v>
      </c>
      <c r="B24" s="71">
        <f t="shared" si="0"/>
        <v>0.45833333333333331</v>
      </c>
      <c r="C24" s="44">
        <v>3</v>
      </c>
      <c r="D24" s="80">
        <v>524.36</v>
      </c>
      <c r="E24" s="81">
        <v>98.396000000000001</v>
      </c>
      <c r="F24" s="72">
        <f t="shared" si="1"/>
        <v>0</v>
      </c>
      <c r="G24" s="72">
        <f t="shared" si="2"/>
        <v>0</v>
      </c>
      <c r="H24" s="96">
        <v>0.45833333333333331</v>
      </c>
      <c r="I24" s="73">
        <f>jar_information!M9</f>
        <v>44165.4375</v>
      </c>
      <c r="J24" s="74">
        <f t="shared" si="3"/>
        <v>-44164.979166666664</v>
      </c>
      <c r="K24" s="74">
        <f t="shared" si="4"/>
        <v>-1059959.5</v>
      </c>
      <c r="L24" s="75">
        <f>jar_information!H9</f>
        <v>368.18572718286885</v>
      </c>
      <c r="M24" s="74">
        <f t="shared" si="5"/>
        <v>0</v>
      </c>
      <c r="N24" s="74">
        <f t="shared" si="6"/>
        <v>0</v>
      </c>
      <c r="O24" s="76">
        <f t="shared" si="7"/>
        <v>0</v>
      </c>
      <c r="P24" s="77">
        <f t="shared" si="8"/>
        <v>0</v>
      </c>
      <c r="Q24" s="78" t="e">
        <f>#REF!</f>
        <v>#REF!</v>
      </c>
      <c r="R24" s="78" t="e">
        <f>#REF!</f>
        <v>#REF!</v>
      </c>
      <c r="S24" s="78" t="e">
        <f>#REF!</f>
        <v>#REF!</v>
      </c>
      <c r="T24" s="79">
        <f t="shared" si="9"/>
        <v>0</v>
      </c>
      <c r="U24" s="130">
        <v>44133</v>
      </c>
      <c r="V24" t="s">
        <v>288</v>
      </c>
    </row>
    <row r="25" spans="1:22">
      <c r="A25" s="29" t="s">
        <v>258</v>
      </c>
      <c r="B25" s="71">
        <f t="shared" si="0"/>
        <v>0.45833333333333331</v>
      </c>
      <c r="C25" s="44"/>
      <c r="D25" s="80"/>
      <c r="E25" s="81"/>
      <c r="F25" s="72" t="e">
        <f t="shared" si="1"/>
        <v>#DIV/0!</v>
      </c>
      <c r="G25" s="72" t="e">
        <f t="shared" si="2"/>
        <v>#DIV/0!</v>
      </c>
      <c r="H25" s="96">
        <v>0.45833333333333331</v>
      </c>
      <c r="I25" s="73">
        <f>jar_information!M10</f>
        <v>44165.4375</v>
      </c>
      <c r="J25" s="74">
        <f t="shared" si="3"/>
        <v>-44164.979166666664</v>
      </c>
      <c r="K25" s="74">
        <f t="shared" si="4"/>
        <v>-1059959.5</v>
      </c>
      <c r="L25" s="75">
        <f>jar_information!H10</f>
        <v>365.12977338665411</v>
      </c>
      <c r="M25" s="74" t="e">
        <f t="shared" si="5"/>
        <v>#DIV/0!</v>
      </c>
      <c r="N25" s="74" t="e">
        <f t="shared" si="6"/>
        <v>#DIV/0!</v>
      </c>
      <c r="O25" s="76" t="e">
        <f t="shared" si="7"/>
        <v>#DIV/0!</v>
      </c>
      <c r="P25" s="77" t="e">
        <f t="shared" si="8"/>
        <v>#DIV/0!</v>
      </c>
      <c r="Q25" s="78">
        <f>'2001_Inc_08.12.20'!Q25</f>
        <v>0</v>
      </c>
      <c r="R25" s="78">
        <f>'2001_Inc_08.12.20'!R25</f>
        <v>0</v>
      </c>
      <c r="S25" s="78" t="e">
        <f>'2001_Inc_08.12.20'!S25</f>
        <v>#DIV/0!</v>
      </c>
      <c r="T25" s="79" t="e">
        <f t="shared" si="9"/>
        <v>#DIV/0!</v>
      </c>
      <c r="U25" s="130">
        <v>44119</v>
      </c>
    </row>
    <row r="26" spans="1:22">
      <c r="A26" s="29" t="s">
        <v>259</v>
      </c>
      <c r="B26" s="71">
        <f t="shared" si="0"/>
        <v>0.45833333333333331</v>
      </c>
      <c r="C26" s="44">
        <v>3</v>
      </c>
      <c r="D26" s="80">
        <v>262.83</v>
      </c>
      <c r="E26" s="81">
        <v>54.026000000000003</v>
      </c>
      <c r="F26" s="72">
        <f t="shared" si="1"/>
        <v>0</v>
      </c>
      <c r="G26" s="72">
        <f t="shared" si="2"/>
        <v>0</v>
      </c>
      <c r="H26" s="96">
        <v>0.45833333333333331</v>
      </c>
      <c r="I26" s="73">
        <f>jar_information!M11</f>
        <v>44165.4375</v>
      </c>
      <c r="J26" s="74">
        <f t="shared" si="3"/>
        <v>-44164.979166666664</v>
      </c>
      <c r="K26" s="74">
        <f t="shared" si="4"/>
        <v>-1059959.5</v>
      </c>
      <c r="L26" s="75">
        <f>jar_information!H11</f>
        <v>368.18572718286885</v>
      </c>
      <c r="M26" s="74">
        <f t="shared" si="5"/>
        <v>0</v>
      </c>
      <c r="N26" s="74">
        <f t="shared" si="6"/>
        <v>0</v>
      </c>
      <c r="O26" s="76">
        <f t="shared" si="7"/>
        <v>0</v>
      </c>
      <c r="P26" s="77">
        <f t="shared" si="8"/>
        <v>0</v>
      </c>
      <c r="Q26" s="78">
        <f>'2001_Inc_14.12.20'!Q26</f>
        <v>0</v>
      </c>
      <c r="R26" s="78">
        <f>'2001_Inc_14.12.20'!R26</f>
        <v>0</v>
      </c>
      <c r="S26" s="78" t="e">
        <f>'2001_Inc_14.12.20'!S26</f>
        <v>#DIV/0!</v>
      </c>
      <c r="T26" s="79">
        <f t="shared" si="9"/>
        <v>0</v>
      </c>
    </row>
    <row r="27" spans="1:22">
      <c r="A27" s="29" t="s">
        <v>260</v>
      </c>
      <c r="B27" s="71">
        <f t="shared" si="0"/>
        <v>0.45833333333333331</v>
      </c>
      <c r="C27" s="44">
        <v>3</v>
      </c>
      <c r="D27" s="80">
        <v>286.83</v>
      </c>
      <c r="E27" s="81">
        <v>62.369</v>
      </c>
      <c r="F27" s="72">
        <f t="shared" si="1"/>
        <v>0</v>
      </c>
      <c r="G27" s="72">
        <f t="shared" si="2"/>
        <v>0</v>
      </c>
      <c r="H27" s="96">
        <v>0.45833333333333331</v>
      </c>
      <c r="I27" s="73">
        <f>jar_information!M12</f>
        <v>44165.4375</v>
      </c>
      <c r="J27" s="74">
        <f t="shared" si="3"/>
        <v>-44164.979166666664</v>
      </c>
      <c r="K27" s="74">
        <f t="shared" si="4"/>
        <v>-1059959.5</v>
      </c>
      <c r="L27" s="75">
        <f>jar_information!H12</f>
        <v>374.31908006509644</v>
      </c>
      <c r="M27" s="74">
        <f t="shared" si="5"/>
        <v>0</v>
      </c>
      <c r="N27" s="74">
        <f t="shared" si="6"/>
        <v>0</v>
      </c>
      <c r="O27" s="76">
        <f t="shared" si="7"/>
        <v>0</v>
      </c>
      <c r="P27" s="77">
        <f t="shared" si="8"/>
        <v>0</v>
      </c>
      <c r="Q27" s="78">
        <f>'2001_Inc_14.12.20'!Q27</f>
        <v>175</v>
      </c>
      <c r="R27" s="78">
        <f>'2001_Inc_14.12.20'!R27</f>
        <v>0.55608516047028922</v>
      </c>
      <c r="S27" s="78">
        <f>'2001_Inc_14.12.20'!S27</f>
        <v>88.814788929601974</v>
      </c>
      <c r="T27" s="79">
        <f t="shared" si="9"/>
        <v>0</v>
      </c>
    </row>
    <row r="28" spans="1:22">
      <c r="A28" s="162" t="s">
        <v>261</v>
      </c>
      <c r="B28" s="71">
        <f t="shared" si="0"/>
        <v>0.45833333333333331</v>
      </c>
      <c r="C28" s="44"/>
      <c r="D28" s="80"/>
      <c r="E28" s="81"/>
      <c r="F28" s="72" t="e">
        <f t="shared" si="1"/>
        <v>#DIV/0!</v>
      </c>
      <c r="G28" s="72" t="e">
        <f t="shared" si="2"/>
        <v>#DIV/0!</v>
      </c>
      <c r="H28" s="96">
        <v>0.45833333333333331</v>
      </c>
      <c r="I28" s="73">
        <f>jar_information!M13</f>
        <v>44165.4375</v>
      </c>
      <c r="J28" s="74">
        <f t="shared" si="3"/>
        <v>-44164.979166666664</v>
      </c>
      <c r="K28" s="74">
        <f t="shared" si="4"/>
        <v>-1059959.5</v>
      </c>
      <c r="L28" s="75">
        <f>jar_information!H13</f>
        <v>371.24882105804681</v>
      </c>
      <c r="M28" s="74" t="e">
        <f t="shared" si="5"/>
        <v>#DIV/0!</v>
      </c>
      <c r="N28" s="74" t="e">
        <f t="shared" si="6"/>
        <v>#DIV/0!</v>
      </c>
      <c r="O28" s="76" t="e">
        <f t="shared" si="7"/>
        <v>#DIV/0!</v>
      </c>
      <c r="P28" s="77" t="e">
        <f t="shared" si="8"/>
        <v>#DIV/0!</v>
      </c>
      <c r="Q28" s="78">
        <f>'2001_Inc_02.12.20'!Q28</f>
        <v>0</v>
      </c>
      <c r="R28" s="78">
        <f>'2001_Inc_02.12.20'!R28</f>
        <v>0</v>
      </c>
      <c r="S28" s="78">
        <f>'2001_Inc_02.12.20'!S28</f>
        <v>0</v>
      </c>
      <c r="T28" s="79" t="e">
        <f t="shared" si="9"/>
        <v>#DIV/0!</v>
      </c>
      <c r="U28" s="130">
        <v>44112</v>
      </c>
    </row>
    <row r="29" spans="1:22">
      <c r="A29" s="162" t="s">
        <v>262</v>
      </c>
      <c r="B29" s="71">
        <f t="shared" si="0"/>
        <v>0.45833333333333331</v>
      </c>
      <c r="C29" s="44"/>
      <c r="D29" s="80"/>
      <c r="E29" s="81"/>
      <c r="F29" s="72" t="e">
        <f t="shared" si="1"/>
        <v>#DIV/0!</v>
      </c>
      <c r="G29" s="72" t="e">
        <f t="shared" si="2"/>
        <v>#DIV/0!</v>
      </c>
      <c r="H29" s="96">
        <v>0.45833333333333331</v>
      </c>
      <c r="I29" s="73">
        <f>jar_information!M14</f>
        <v>44165.4375</v>
      </c>
      <c r="J29" s="74">
        <f t="shared" si="3"/>
        <v>-44164.979166666664</v>
      </c>
      <c r="K29" s="74">
        <f t="shared" si="4"/>
        <v>-1059959.5</v>
      </c>
      <c r="L29" s="75">
        <f>jar_information!H14</f>
        <v>368.18572718286885</v>
      </c>
      <c r="M29" s="74" t="e">
        <f t="shared" si="5"/>
        <v>#DIV/0!</v>
      </c>
      <c r="N29" s="74" t="e">
        <f t="shared" si="6"/>
        <v>#DIV/0!</v>
      </c>
      <c r="O29" s="76" t="e">
        <f t="shared" si="7"/>
        <v>#DIV/0!</v>
      </c>
      <c r="P29" s="77" t="e">
        <f t="shared" si="8"/>
        <v>#DIV/0!</v>
      </c>
      <c r="Q29" s="78">
        <f>'2001_Inc_02.12.20'!Q29</f>
        <v>0</v>
      </c>
      <c r="R29" s="78">
        <f>'2001_Inc_02.12.20'!R29</f>
        <v>0</v>
      </c>
      <c r="S29" s="78">
        <f>'2001_Inc_02.12.20'!S29</f>
        <v>0</v>
      </c>
      <c r="T29" s="79" t="e">
        <f t="shared" si="9"/>
        <v>#DIV/0!</v>
      </c>
      <c r="U29" s="130">
        <v>44112</v>
      </c>
    </row>
    <row r="30" spans="1:22">
      <c r="A30" s="162" t="s">
        <v>263</v>
      </c>
      <c r="B30" s="71">
        <f t="shared" si="0"/>
        <v>0.45833333333333331</v>
      </c>
      <c r="C30" s="44"/>
      <c r="D30" s="80"/>
      <c r="E30" s="81"/>
      <c r="F30" s="72" t="e">
        <f t="shared" si="1"/>
        <v>#DIV/0!</v>
      </c>
      <c r="G30" s="72" t="e">
        <f t="shared" si="2"/>
        <v>#DIV/0!</v>
      </c>
      <c r="H30" s="96">
        <v>0.45833333333333331</v>
      </c>
      <c r="I30" s="73">
        <f>jar_information!M15</f>
        <v>44165.4375</v>
      </c>
      <c r="J30" s="74">
        <f t="shared" si="3"/>
        <v>-44164.979166666664</v>
      </c>
      <c r="K30" s="74">
        <f t="shared" si="4"/>
        <v>-1059959.5</v>
      </c>
      <c r="L30" s="75">
        <f>jar_information!H15</f>
        <v>368.18572718286885</v>
      </c>
      <c r="M30" s="74" t="e">
        <f t="shared" si="5"/>
        <v>#DIV/0!</v>
      </c>
      <c r="N30" s="74" t="e">
        <f t="shared" si="6"/>
        <v>#DIV/0!</v>
      </c>
      <c r="O30" s="76" t="e">
        <f t="shared" si="7"/>
        <v>#DIV/0!</v>
      </c>
      <c r="P30" s="77" t="e">
        <f t="shared" si="8"/>
        <v>#DIV/0!</v>
      </c>
      <c r="Q30" s="78">
        <f>'2001_Inc_04.12.20'!Q30</f>
        <v>0</v>
      </c>
      <c r="R30" s="78">
        <f>'2001_Inc_04.12.20'!R30</f>
        <v>0</v>
      </c>
      <c r="S30" s="78">
        <f>'2001_Inc_04.12.20'!S30</f>
        <v>0</v>
      </c>
      <c r="T30" s="79" t="e">
        <f t="shared" si="9"/>
        <v>#DIV/0!</v>
      </c>
      <c r="U30" s="130">
        <v>44113</v>
      </c>
    </row>
    <row r="31" spans="1:22">
      <c r="A31" s="162" t="s">
        <v>264</v>
      </c>
      <c r="B31" s="71">
        <f t="shared" si="0"/>
        <v>0.45833333333333331</v>
      </c>
      <c r="C31" s="44"/>
      <c r="D31" s="80"/>
      <c r="E31" s="81"/>
      <c r="F31" s="72" t="e">
        <f t="shared" si="1"/>
        <v>#DIV/0!</v>
      </c>
      <c r="G31" s="72" t="e">
        <f t="shared" si="2"/>
        <v>#DIV/0!</v>
      </c>
      <c r="H31" s="96">
        <v>0.45833333333333331</v>
      </c>
      <c r="I31" s="73">
        <f>jar_information!M16</f>
        <v>44165.4375</v>
      </c>
      <c r="J31" s="74">
        <f t="shared" si="3"/>
        <v>-44164.979166666664</v>
      </c>
      <c r="K31" s="74">
        <f t="shared" si="4"/>
        <v>-1059959.5</v>
      </c>
      <c r="L31" s="75">
        <f>jar_information!H16</f>
        <v>377.39652937427036</v>
      </c>
      <c r="M31" s="74" t="e">
        <f t="shared" si="5"/>
        <v>#DIV/0!</v>
      </c>
      <c r="N31" s="74" t="e">
        <f t="shared" si="6"/>
        <v>#DIV/0!</v>
      </c>
      <c r="O31" s="76" t="e">
        <f t="shared" si="7"/>
        <v>#DIV/0!</v>
      </c>
      <c r="P31" s="77" t="e">
        <f t="shared" si="8"/>
        <v>#DIV/0!</v>
      </c>
      <c r="Q31" s="78">
        <f>'2001_Inc_04.12.20'!Q31</f>
        <v>0</v>
      </c>
      <c r="R31" s="78">
        <f>'2001_Inc_04.12.20'!R31</f>
        <v>0</v>
      </c>
      <c r="S31" s="78">
        <f>'2001_Inc_04.12.20'!S31</f>
        <v>0</v>
      </c>
      <c r="T31" s="79" t="e">
        <f t="shared" si="9"/>
        <v>#DIV/0!</v>
      </c>
      <c r="U31" s="130">
        <v>44113</v>
      </c>
    </row>
    <row r="32" spans="1:22">
      <c r="A32" t="s">
        <v>265</v>
      </c>
      <c r="B32" s="71">
        <f t="shared" si="0"/>
        <v>0.45833333333333331</v>
      </c>
      <c r="C32" s="44">
        <v>3</v>
      </c>
      <c r="D32" s="80">
        <v>273.39999999999998</v>
      </c>
      <c r="E32" s="81">
        <v>56.981999999999999</v>
      </c>
      <c r="F32" s="72">
        <f t="shared" si="1"/>
        <v>0</v>
      </c>
      <c r="G32" s="72">
        <f t="shared" si="2"/>
        <v>0</v>
      </c>
      <c r="H32" s="96">
        <v>0.45833333333333331</v>
      </c>
      <c r="I32" s="73">
        <f>jar_information!M17</f>
        <v>44165.4375</v>
      </c>
      <c r="J32" s="74">
        <f t="shared" si="3"/>
        <v>-44164.979166666664</v>
      </c>
      <c r="K32" s="74">
        <f t="shared" si="4"/>
        <v>-1059959.5</v>
      </c>
      <c r="L32" s="75">
        <f>jar_information!H17</f>
        <v>371.24882105804681</v>
      </c>
      <c r="M32" s="74">
        <f t="shared" si="5"/>
        <v>0</v>
      </c>
      <c r="N32" s="74">
        <f t="shared" si="6"/>
        <v>0</v>
      </c>
      <c r="O32" s="76">
        <f t="shared" si="7"/>
        <v>0</v>
      </c>
      <c r="P32" s="77">
        <f t="shared" si="8"/>
        <v>0</v>
      </c>
      <c r="Q32" s="78">
        <f>'2001_Inc_14.12.20'!Q32</f>
        <v>0</v>
      </c>
      <c r="R32" s="78">
        <f>'2001_Inc_14.12.20'!R32</f>
        <v>0</v>
      </c>
      <c r="S32" s="78" t="e">
        <f>'2001_Inc_14.12.20'!S32</f>
        <v>#DIV/0!</v>
      </c>
      <c r="T32" s="79">
        <f t="shared" si="9"/>
        <v>0</v>
      </c>
    </row>
    <row r="33" spans="1:23">
      <c r="A33" t="s">
        <v>266</v>
      </c>
      <c r="B33" s="71">
        <f t="shared" si="0"/>
        <v>0.45833333333333331</v>
      </c>
      <c r="C33" s="44">
        <v>3</v>
      </c>
      <c r="D33" s="80">
        <v>245.24</v>
      </c>
      <c r="E33" s="81">
        <v>50.929000000000002</v>
      </c>
      <c r="F33" s="72">
        <f t="shared" si="1"/>
        <v>0</v>
      </c>
      <c r="G33" s="72">
        <f t="shared" si="2"/>
        <v>0</v>
      </c>
      <c r="H33" s="96">
        <v>0.45833333333333331</v>
      </c>
      <c r="I33" s="73">
        <f>jar_information!M18</f>
        <v>44165.4375</v>
      </c>
      <c r="J33" s="74">
        <f t="shared" si="3"/>
        <v>-44164.979166666664</v>
      </c>
      <c r="K33" s="74">
        <f t="shared" si="4"/>
        <v>-1059959.5</v>
      </c>
      <c r="L33" s="75">
        <f>jar_information!H18</f>
        <v>368.18572718286885</v>
      </c>
      <c r="M33" s="74">
        <f t="shared" si="5"/>
        <v>0</v>
      </c>
      <c r="N33" s="74">
        <f t="shared" si="6"/>
        <v>0</v>
      </c>
      <c r="O33" s="76">
        <f t="shared" si="7"/>
        <v>0</v>
      </c>
      <c r="P33" s="77">
        <f t="shared" si="8"/>
        <v>0</v>
      </c>
      <c r="Q33" s="78">
        <f>'2001_Inc_14.12.20'!Q33</f>
        <v>0</v>
      </c>
      <c r="R33" s="78">
        <f>'2001_Inc_14.12.20'!R33</f>
        <v>0</v>
      </c>
      <c r="S33" s="78" t="e">
        <f>'2001_Inc_14.12.20'!S33</f>
        <v>#DIV/0!</v>
      </c>
      <c r="T33" s="79">
        <f t="shared" si="9"/>
        <v>0</v>
      </c>
    </row>
    <row r="34" spans="1:23">
      <c r="A34" t="s">
        <v>267</v>
      </c>
      <c r="B34" s="71">
        <f t="shared" si="0"/>
        <v>0.45833333333333331</v>
      </c>
      <c r="C34" s="44"/>
      <c r="D34" s="80"/>
      <c r="E34" s="81"/>
      <c r="F34" s="72" t="e">
        <f t="shared" si="1"/>
        <v>#DIV/0!</v>
      </c>
      <c r="G34" s="72" t="e">
        <f t="shared" si="2"/>
        <v>#DIV/0!</v>
      </c>
      <c r="H34" s="96">
        <v>0.45833333333333331</v>
      </c>
      <c r="I34" s="73">
        <f>jar_information!M19</f>
        <v>44165.4375</v>
      </c>
      <c r="J34" s="74">
        <f t="shared" si="3"/>
        <v>-44164.979166666664</v>
      </c>
      <c r="K34" s="74">
        <f t="shared" si="4"/>
        <v>-1059959.5</v>
      </c>
      <c r="L34" s="75">
        <f>jar_information!H19</f>
        <v>374.31908006509644</v>
      </c>
      <c r="M34" s="74" t="e">
        <f t="shared" si="5"/>
        <v>#DIV/0!</v>
      </c>
      <c r="N34" s="74" t="e">
        <f t="shared" si="6"/>
        <v>#DIV/0!</v>
      </c>
      <c r="O34" s="76" t="e">
        <f t="shared" si="7"/>
        <v>#DIV/0!</v>
      </c>
      <c r="P34" s="77" t="e">
        <f t="shared" si="8"/>
        <v>#DIV/0!</v>
      </c>
      <c r="Q34" s="78">
        <f>'2001_Inc_07.12.20'!Q34</f>
        <v>0</v>
      </c>
      <c r="R34" s="78">
        <f>'2001_Inc_07.12.20'!R34</f>
        <v>0</v>
      </c>
      <c r="S34" s="78">
        <f>'2001_Inc_07.12.20'!S34</f>
        <v>0</v>
      </c>
      <c r="T34" s="79" t="e">
        <f t="shared" si="9"/>
        <v>#DIV/0!</v>
      </c>
      <c r="U34" s="130">
        <v>44116</v>
      </c>
    </row>
    <row r="35" spans="1:23">
      <c r="A35" t="s">
        <v>268</v>
      </c>
      <c r="B35" s="71">
        <f t="shared" si="0"/>
        <v>0.45833333333333331</v>
      </c>
      <c r="C35" s="44"/>
      <c r="D35" s="80"/>
      <c r="E35" s="81"/>
      <c r="F35" s="72" t="e">
        <f t="shared" si="1"/>
        <v>#DIV/0!</v>
      </c>
      <c r="G35" s="72" t="e">
        <f t="shared" si="2"/>
        <v>#DIV/0!</v>
      </c>
      <c r="H35" s="96">
        <v>0.45833333333333331</v>
      </c>
      <c r="I35" s="73">
        <f>jar_information!M20</f>
        <v>44165.4375</v>
      </c>
      <c r="J35" s="74">
        <f t="shared" si="3"/>
        <v>-44164.979166666664</v>
      </c>
      <c r="K35" s="74">
        <f t="shared" si="4"/>
        <v>-1059959.5</v>
      </c>
      <c r="L35" s="75">
        <f>jar_information!H20</f>
        <v>368.18572718286885</v>
      </c>
      <c r="M35" s="74" t="e">
        <f t="shared" si="5"/>
        <v>#DIV/0!</v>
      </c>
      <c r="N35" s="74" t="e">
        <f t="shared" si="6"/>
        <v>#DIV/0!</v>
      </c>
      <c r="O35" s="76" t="e">
        <f t="shared" si="7"/>
        <v>#DIV/0!</v>
      </c>
      <c r="P35" s="77" t="e">
        <f t="shared" si="8"/>
        <v>#DIV/0!</v>
      </c>
      <c r="Q35" s="78">
        <f>'2001_Inc_07.12.20'!Q35</f>
        <v>554.79999999999995</v>
      </c>
      <c r="R35" s="78">
        <f>'2001_Inc_07.12.20'!R35</f>
        <v>1.7629488401652367</v>
      </c>
      <c r="S35" s="78">
        <f>'2001_Inc_07.12.20'!S35</f>
        <v>92.262107523640154</v>
      </c>
      <c r="T35" s="79" t="e">
        <f t="shared" si="9"/>
        <v>#DIV/0!</v>
      </c>
      <c r="U35" s="130">
        <v>44116</v>
      </c>
    </row>
    <row r="36" spans="1:23">
      <c r="A36" s="162" t="s">
        <v>269</v>
      </c>
      <c r="B36" s="71">
        <f t="shared" si="0"/>
        <v>0.45833333333333331</v>
      </c>
      <c r="C36" s="44">
        <v>3</v>
      </c>
      <c r="D36" s="80">
        <v>290.68</v>
      </c>
      <c r="E36" s="81">
        <v>55.908000000000001</v>
      </c>
      <c r="F36" s="72">
        <f t="shared" si="1"/>
        <v>0</v>
      </c>
      <c r="G36" s="72">
        <f t="shared" si="2"/>
        <v>0</v>
      </c>
      <c r="H36" s="96">
        <v>0.45833333333333331</v>
      </c>
      <c r="I36" s="73">
        <f>jar_information!M21</f>
        <v>44165.4375</v>
      </c>
      <c r="J36" s="74">
        <f t="shared" si="3"/>
        <v>-44164.979166666664</v>
      </c>
      <c r="K36" s="74">
        <f t="shared" si="4"/>
        <v>-1059959.5</v>
      </c>
      <c r="L36" s="75">
        <f>jar_information!H21</f>
        <v>380.48119427385262</v>
      </c>
      <c r="M36" s="74">
        <f t="shared" si="5"/>
        <v>0</v>
      </c>
      <c r="N36" s="74">
        <f t="shared" si="6"/>
        <v>0</v>
      </c>
      <c r="O36" s="76">
        <f t="shared" si="7"/>
        <v>0</v>
      </c>
      <c r="P36" s="77">
        <f t="shared" si="8"/>
        <v>0</v>
      </c>
      <c r="Q36" s="78" t="e">
        <f>#REF!</f>
        <v>#REF!</v>
      </c>
      <c r="R36" s="78" t="e">
        <f>#REF!</f>
        <v>#REF!</v>
      </c>
      <c r="S36" s="78" t="e">
        <f>#REF!</f>
        <v>#REF!</v>
      </c>
      <c r="T36" s="79">
        <f t="shared" si="9"/>
        <v>0</v>
      </c>
      <c r="U36" s="130">
        <v>44113</v>
      </c>
      <c r="V36" s="130">
        <v>44133</v>
      </c>
      <c r="W36" t="s">
        <v>288</v>
      </c>
    </row>
    <row r="37" spans="1:23">
      <c r="A37" s="162" t="s">
        <v>270</v>
      </c>
      <c r="B37" s="71">
        <f t="shared" si="0"/>
        <v>0.45833333333333331</v>
      </c>
      <c r="C37" s="44"/>
      <c r="D37" s="80"/>
      <c r="E37" s="81"/>
      <c r="F37" s="72" t="e">
        <f t="shared" si="1"/>
        <v>#DIV/0!</v>
      </c>
      <c r="G37" s="72" t="e">
        <f t="shared" si="2"/>
        <v>#DIV/0!</v>
      </c>
      <c r="H37" s="96">
        <v>0.45833333333333331</v>
      </c>
      <c r="I37" s="73">
        <f>jar_information!M22</f>
        <v>44165.4375</v>
      </c>
      <c r="J37" s="74">
        <f t="shared" si="3"/>
        <v>-44164.979166666664</v>
      </c>
      <c r="K37" s="74">
        <f t="shared" si="4"/>
        <v>-1059959.5</v>
      </c>
      <c r="L37" s="75">
        <f>jar_information!H22</f>
        <v>368.18572718286885</v>
      </c>
      <c r="M37" s="74" t="e">
        <f t="shared" si="5"/>
        <v>#DIV/0!</v>
      </c>
      <c r="N37" s="74" t="e">
        <f t="shared" si="6"/>
        <v>#DIV/0!</v>
      </c>
      <c r="O37" s="76" t="e">
        <f t="shared" si="7"/>
        <v>#DIV/0!</v>
      </c>
      <c r="P37" s="77" t="e">
        <f t="shared" si="8"/>
        <v>#DIV/0!</v>
      </c>
      <c r="Q37" s="78">
        <f>'2001_Inc_04.12.20'!Q37</f>
        <v>205.5</v>
      </c>
      <c r="R37" s="78">
        <f>'2001_Inc_04.12.20'!R37</f>
        <v>0.65300285986653961</v>
      </c>
      <c r="S37" s="78">
        <f>'2001_Inc_04.12.20'!S37</f>
        <v>91.433915957026699</v>
      </c>
      <c r="T37" s="79" t="e">
        <f t="shared" si="9"/>
        <v>#DIV/0!</v>
      </c>
      <c r="U37" s="130">
        <v>44113</v>
      </c>
    </row>
    <row r="38" spans="1:23">
      <c r="A38" s="162" t="s">
        <v>271</v>
      </c>
      <c r="B38" s="71">
        <f t="shared" si="0"/>
        <v>0.45833333333333331</v>
      </c>
      <c r="C38" s="44">
        <v>3</v>
      </c>
      <c r="D38" s="80">
        <v>818.51</v>
      </c>
      <c r="E38" s="81">
        <v>152.26</v>
      </c>
      <c r="F38" s="72">
        <f t="shared" si="1"/>
        <v>0</v>
      </c>
      <c r="G38" s="72">
        <f t="shared" si="2"/>
        <v>0</v>
      </c>
      <c r="H38" s="96">
        <v>0.45833333333333331</v>
      </c>
      <c r="I38" s="73">
        <f>jar_information!M23</f>
        <v>44165.4375</v>
      </c>
      <c r="J38" s="74">
        <f t="shared" si="3"/>
        <v>-44164.979166666664</v>
      </c>
      <c r="K38" s="74">
        <f t="shared" si="4"/>
        <v>-1059959.5</v>
      </c>
      <c r="L38" s="75">
        <f>jar_information!H23</f>
        <v>389.7787371829466</v>
      </c>
      <c r="M38" s="74">
        <f t="shared" si="5"/>
        <v>0</v>
      </c>
      <c r="N38" s="74">
        <f t="shared" si="6"/>
        <v>0</v>
      </c>
      <c r="O38" s="76">
        <f t="shared" si="7"/>
        <v>0</v>
      </c>
      <c r="P38" s="77">
        <f t="shared" si="8"/>
        <v>0</v>
      </c>
      <c r="Q38" s="78" t="e">
        <f>#REF!</f>
        <v>#REF!</v>
      </c>
      <c r="R38" s="78" t="e">
        <f>#REF!</f>
        <v>#REF!</v>
      </c>
      <c r="S38" s="78" t="e">
        <f>#REF!</f>
        <v>#REF!</v>
      </c>
      <c r="T38" s="79">
        <f t="shared" si="9"/>
        <v>0</v>
      </c>
      <c r="U38" s="130">
        <v>44133</v>
      </c>
      <c r="V38" t="s">
        <v>288</v>
      </c>
    </row>
    <row r="39" spans="1:23">
      <c r="A39" t="s">
        <v>272</v>
      </c>
      <c r="B39" s="71">
        <f t="shared" si="0"/>
        <v>0.45833333333333331</v>
      </c>
      <c r="C39" s="44"/>
      <c r="D39" s="80"/>
      <c r="E39" s="81"/>
      <c r="F39" s="72" t="e">
        <f t="shared" si="1"/>
        <v>#DIV/0!</v>
      </c>
      <c r="G39" s="72" t="e">
        <f t="shared" si="2"/>
        <v>#DIV/0!</v>
      </c>
      <c r="H39" s="96">
        <v>0.45833333333333331</v>
      </c>
      <c r="I39" s="73">
        <f>jar_information!M24</f>
        <v>44165.4375</v>
      </c>
      <c r="J39" s="74">
        <f t="shared" si="3"/>
        <v>-44164.979166666664</v>
      </c>
      <c r="K39" s="74">
        <f t="shared" si="4"/>
        <v>-1059959.5</v>
      </c>
      <c r="L39" s="75">
        <f>jar_information!H24</f>
        <v>380.48119427385262</v>
      </c>
      <c r="M39" s="74" t="e">
        <f t="shared" si="5"/>
        <v>#DIV/0!</v>
      </c>
      <c r="N39" s="74" t="e">
        <f t="shared" si="6"/>
        <v>#DIV/0!</v>
      </c>
      <c r="O39" s="76" t="e">
        <f t="shared" si="7"/>
        <v>#DIV/0!</v>
      </c>
      <c r="P39" s="77" t="e">
        <f t="shared" si="8"/>
        <v>#DIV/0!</v>
      </c>
      <c r="Q39" s="78">
        <f>'2001_Inc_08.12.20'!Q39</f>
        <v>0</v>
      </c>
      <c r="R39" s="78">
        <f>'2001_Inc_08.12.20'!R39</f>
        <v>0</v>
      </c>
      <c r="S39" s="78">
        <f>'2001_Inc_08.12.20'!S39</f>
        <v>0</v>
      </c>
      <c r="T39" s="79" t="e">
        <f t="shared" si="9"/>
        <v>#DIV/0!</v>
      </c>
      <c r="U39" s="130">
        <v>44119</v>
      </c>
    </row>
    <row r="40" spans="1:23">
      <c r="A40" t="s">
        <v>273</v>
      </c>
      <c r="B40" s="71">
        <f t="shared" si="0"/>
        <v>0.45833333333333331</v>
      </c>
      <c r="C40" s="44"/>
      <c r="D40" s="80"/>
      <c r="E40" s="81"/>
      <c r="F40" s="72" t="e">
        <f t="shared" si="1"/>
        <v>#DIV/0!</v>
      </c>
      <c r="G40" s="72" t="e">
        <f t="shared" si="2"/>
        <v>#DIV/0!</v>
      </c>
      <c r="H40" s="96">
        <v>0.45833333333333331</v>
      </c>
      <c r="I40" s="73" t="e">
        <f>jar_information!#REF!</f>
        <v>#REF!</v>
      </c>
      <c r="J40" s="74" t="e">
        <f t="shared" si="3"/>
        <v>#REF!</v>
      </c>
      <c r="K40" s="74" t="e">
        <f t="shared" si="4"/>
        <v>#REF!</v>
      </c>
      <c r="L40" s="75" t="e">
        <f>jar_information!#REF!</f>
        <v>#REF!</v>
      </c>
      <c r="M40" s="74" t="e">
        <f t="shared" si="5"/>
        <v>#DIV/0!</v>
      </c>
      <c r="N40" s="74" t="e">
        <f t="shared" si="6"/>
        <v>#DIV/0!</v>
      </c>
      <c r="O40" s="76" t="e">
        <f t="shared" si="7"/>
        <v>#DIV/0!</v>
      </c>
      <c r="P40" s="77" t="e">
        <f t="shared" si="8"/>
        <v>#DIV/0!</v>
      </c>
      <c r="Q40" s="78" t="e">
        <f>'2001_Inc_08.12.20'!#REF!</f>
        <v>#REF!</v>
      </c>
      <c r="R40" s="78" t="e">
        <f>'2001_Inc_08.12.20'!#REF!</f>
        <v>#REF!</v>
      </c>
      <c r="S40" s="78" t="e">
        <f>'2001_Inc_08.12.20'!#REF!</f>
        <v>#REF!</v>
      </c>
      <c r="T40" s="79" t="e">
        <f t="shared" si="9"/>
        <v>#DIV/0!</v>
      </c>
      <c r="U40" s="130">
        <v>44119</v>
      </c>
    </row>
    <row r="41" spans="1:23">
      <c r="A41" t="s">
        <v>274</v>
      </c>
      <c r="B41" s="71">
        <f t="shared" si="0"/>
        <v>0.45833333333333331</v>
      </c>
      <c r="C41" s="44"/>
      <c r="D41" s="80"/>
      <c r="E41" s="81"/>
      <c r="F41" s="72" t="e">
        <f t="shared" si="1"/>
        <v>#DIV/0!</v>
      </c>
      <c r="G41" s="72" t="e">
        <f t="shared" si="2"/>
        <v>#DIV/0!</v>
      </c>
      <c r="H41" s="96">
        <v>0.45833333333333331</v>
      </c>
      <c r="I41" s="73" t="e">
        <f>jar_information!#REF!</f>
        <v>#REF!</v>
      </c>
      <c r="J41" s="74" t="e">
        <f t="shared" si="3"/>
        <v>#REF!</v>
      </c>
      <c r="K41" s="74" t="e">
        <f t="shared" si="4"/>
        <v>#REF!</v>
      </c>
      <c r="L41" s="75" t="e">
        <f>jar_information!#REF!</f>
        <v>#REF!</v>
      </c>
      <c r="M41" s="74" t="e">
        <f t="shared" si="5"/>
        <v>#DIV/0!</v>
      </c>
      <c r="N41" s="74" t="e">
        <f t="shared" si="6"/>
        <v>#DIV/0!</v>
      </c>
      <c r="O41" s="76" t="e">
        <f t="shared" si="7"/>
        <v>#DIV/0!</v>
      </c>
      <c r="P41" s="77" t="e">
        <f t="shared" si="8"/>
        <v>#DIV/0!</v>
      </c>
      <c r="Q41" s="78" t="e">
        <f>'2001_Inc_08.12.20'!#REF!</f>
        <v>#REF!</v>
      </c>
      <c r="R41" s="78" t="e">
        <f>'2001_Inc_08.12.20'!#REF!</f>
        <v>#REF!</v>
      </c>
      <c r="S41" s="78" t="e">
        <f>'2001_Inc_08.12.20'!#REF!</f>
        <v>#REF!</v>
      </c>
      <c r="T41" s="79" t="e">
        <f t="shared" si="9"/>
        <v>#DIV/0!</v>
      </c>
      <c r="U41" s="130">
        <v>44119</v>
      </c>
    </row>
  </sheetData>
  <conditionalFormatting sqref="O18:O41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0" workbookViewId="0">
      <selection activeCell="H25" sqref="H25:H46"/>
    </sheetView>
  </sheetViews>
  <sheetFormatPr baseColWidth="10" defaultRowHeight="14" x14ac:dyDescent="0"/>
  <cols>
    <col min="1" max="1" width="28.1640625" bestFit="1" customWidth="1"/>
    <col min="2" max="2" width="14.1640625" bestFit="1" customWidth="1"/>
    <col min="3" max="3" width="11.5" bestFit="1" customWidth="1"/>
    <col min="7" max="7" width="13.33203125" bestFit="1" customWidth="1"/>
    <col min="8" max="8" width="31.1640625" bestFit="1" customWidth="1"/>
  </cols>
  <sheetData>
    <row r="1" spans="1:8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/>
      <c r="G1" s="150" t="s">
        <v>250</v>
      </c>
    </row>
    <row r="2" spans="1:8">
      <c r="A2" s="120" t="s">
        <v>220</v>
      </c>
      <c r="B2" s="120"/>
      <c r="C2" s="120"/>
      <c r="D2" s="120"/>
      <c r="E2" s="120"/>
      <c r="F2" s="121"/>
      <c r="G2">
        <v>27</v>
      </c>
      <c r="H2" t="str">
        <f t="shared" ref="H2:H5" si="0">CONCATENATE(G2,"_",A2,I2)</f>
        <v>27_16_ANpp_comp_0-6_2001_a</v>
      </c>
    </row>
    <row r="3" spans="1:8">
      <c r="A3" s="120" t="s">
        <v>221</v>
      </c>
      <c r="B3" s="120"/>
      <c r="C3" s="120"/>
      <c r="D3" s="120"/>
      <c r="E3" s="120"/>
      <c r="F3" s="121"/>
      <c r="G3">
        <v>28</v>
      </c>
      <c r="H3" t="str">
        <f t="shared" si="0"/>
        <v>28_16_ANpp_comp_0-6_2001_b</v>
      </c>
    </row>
    <row r="4" spans="1:8">
      <c r="A4" s="120" t="s">
        <v>228</v>
      </c>
      <c r="B4" s="120"/>
      <c r="C4" s="120"/>
      <c r="D4" s="120"/>
      <c r="E4" s="120"/>
      <c r="F4" s="121"/>
      <c r="G4">
        <v>29</v>
      </c>
      <c r="H4" t="str">
        <f t="shared" si="0"/>
        <v>29_17_ANpp_comp_6-13_2001_a</v>
      </c>
    </row>
    <row r="5" spans="1:8">
      <c r="A5" s="120" t="s">
        <v>229</v>
      </c>
      <c r="B5" s="120"/>
      <c r="C5" s="120"/>
      <c r="D5" s="120"/>
      <c r="E5" s="120"/>
      <c r="F5" s="121"/>
      <c r="G5">
        <v>30</v>
      </c>
      <c r="H5" t="str">
        <f t="shared" si="0"/>
        <v>30_17_ANpp_comp_6-13_2001_b</v>
      </c>
    </row>
    <row r="6" spans="1:8">
      <c r="A6" s="120" t="s">
        <v>230</v>
      </c>
      <c r="B6" s="120"/>
      <c r="C6" s="120"/>
      <c r="D6" s="120"/>
      <c r="E6" s="120"/>
      <c r="F6" s="121"/>
      <c r="G6">
        <v>31</v>
      </c>
      <c r="H6" t="str">
        <f t="shared" ref="H6:H23" si="1">CONCATENATE(G6,"_",A6,I6)</f>
        <v>31_18_ANpp_comp_13-33_2001_a</v>
      </c>
    </row>
    <row r="7" spans="1:8">
      <c r="A7" s="120" t="s">
        <v>231</v>
      </c>
      <c r="B7" s="120"/>
      <c r="C7" s="120"/>
      <c r="D7" s="120"/>
      <c r="E7" s="120"/>
      <c r="F7" s="121"/>
      <c r="G7">
        <v>32</v>
      </c>
      <c r="H7" t="str">
        <f t="shared" si="1"/>
        <v>32_18_ANpp_comp_13-33_2001_b</v>
      </c>
    </row>
    <row r="8" spans="1:8">
      <c r="A8" s="120" t="s">
        <v>232</v>
      </c>
      <c r="B8" s="120"/>
      <c r="C8" s="120"/>
      <c r="D8" s="120"/>
      <c r="E8" s="120"/>
      <c r="F8" s="121"/>
      <c r="G8">
        <v>33</v>
      </c>
      <c r="H8" t="str">
        <f t="shared" si="1"/>
        <v>33_19_BSrf_comp_0-8_2001_a</v>
      </c>
    </row>
    <row r="9" spans="1:8">
      <c r="A9" s="120" t="s">
        <v>233</v>
      </c>
      <c r="B9" s="120"/>
      <c r="C9" s="120"/>
      <c r="D9" s="120"/>
      <c r="E9" s="120"/>
      <c r="F9" s="121"/>
      <c r="G9">
        <v>34</v>
      </c>
      <c r="H9" t="str">
        <f t="shared" si="1"/>
        <v>34_19_BSrf_comp_0-8_2001_b</v>
      </c>
    </row>
    <row r="10" spans="1:8">
      <c r="A10" s="120" t="s">
        <v>234</v>
      </c>
      <c r="B10" s="120"/>
      <c r="C10" s="120"/>
      <c r="D10" s="120"/>
      <c r="E10" s="120"/>
      <c r="F10" s="121"/>
      <c r="G10">
        <v>35</v>
      </c>
      <c r="H10" t="str">
        <f t="shared" si="1"/>
        <v>35_20_BSrf_comp_8-15_2001_a</v>
      </c>
    </row>
    <row r="11" spans="1:8">
      <c r="A11" s="120" t="s">
        <v>235</v>
      </c>
      <c r="B11" s="120"/>
      <c r="C11" s="120"/>
      <c r="D11" s="120"/>
      <c r="E11" s="120"/>
      <c r="F11" s="121"/>
      <c r="G11">
        <v>36</v>
      </c>
      <c r="H11" t="str">
        <f t="shared" si="1"/>
        <v>36_20_BSrf_comp_8-15_2001_b</v>
      </c>
    </row>
    <row r="12" spans="1:8">
      <c r="A12" s="120" t="s">
        <v>236</v>
      </c>
      <c r="B12" s="120"/>
      <c r="C12" s="120"/>
      <c r="D12" s="120"/>
      <c r="E12" s="120"/>
      <c r="F12" s="121"/>
      <c r="G12">
        <v>37</v>
      </c>
      <c r="H12" t="str">
        <f t="shared" si="1"/>
        <v>37_21_BSrf_comp_15-30_2001_a</v>
      </c>
    </row>
    <row r="13" spans="1:8">
      <c r="A13" s="120" t="s">
        <v>237</v>
      </c>
      <c r="B13" s="120"/>
      <c r="C13" s="120"/>
      <c r="D13" s="120"/>
      <c r="E13" s="120"/>
      <c r="F13" s="121"/>
      <c r="G13">
        <v>38</v>
      </c>
      <c r="H13" t="str">
        <f t="shared" si="1"/>
        <v>38_21_BSrf_comp_15-30_2001_b</v>
      </c>
    </row>
    <row r="14" spans="1:8">
      <c r="A14" s="120" t="s">
        <v>195</v>
      </c>
      <c r="B14" s="120"/>
      <c r="C14" s="120"/>
      <c r="D14" s="120"/>
      <c r="E14" s="120"/>
      <c r="F14" s="121"/>
      <c r="G14">
        <v>39</v>
      </c>
      <c r="H14" t="str">
        <f t="shared" si="1"/>
        <v>39_22_BSwf_comp_0-10_2001_a</v>
      </c>
    </row>
    <row r="15" spans="1:8">
      <c r="A15" s="120" t="s">
        <v>196</v>
      </c>
      <c r="B15" s="120"/>
      <c r="C15" s="120"/>
      <c r="D15" s="120"/>
      <c r="E15" s="120"/>
      <c r="F15" s="121"/>
      <c r="G15">
        <v>40</v>
      </c>
      <c r="H15" t="str">
        <f t="shared" si="1"/>
        <v>40_22_BSwf_comp_0-10_2001_b</v>
      </c>
    </row>
    <row r="16" spans="1:8">
      <c r="A16" s="120" t="s">
        <v>238</v>
      </c>
      <c r="B16" s="120"/>
      <c r="C16" s="120"/>
      <c r="D16" s="120"/>
      <c r="E16" s="120"/>
      <c r="F16" s="121"/>
      <c r="G16">
        <v>41</v>
      </c>
      <c r="H16" t="str">
        <f t="shared" si="1"/>
        <v>41_23_BSwf_comp_10-19_2001_a</v>
      </c>
    </row>
    <row r="17" spans="1:8">
      <c r="A17" s="120" t="s">
        <v>239</v>
      </c>
      <c r="B17" s="120"/>
      <c r="C17" s="120"/>
      <c r="D17" s="120"/>
      <c r="E17" s="120"/>
      <c r="F17" s="121"/>
      <c r="G17">
        <v>42</v>
      </c>
      <c r="H17" t="str">
        <f t="shared" si="1"/>
        <v>42_23_BSwf_comp_10-19_2001_b</v>
      </c>
    </row>
    <row r="18" spans="1:8">
      <c r="A18" s="120" t="s">
        <v>242</v>
      </c>
      <c r="B18" s="120"/>
      <c r="C18" s="120"/>
      <c r="D18" s="120"/>
      <c r="E18" s="120"/>
      <c r="F18" s="121"/>
      <c r="G18">
        <v>43</v>
      </c>
      <c r="H18" t="str">
        <f t="shared" si="1"/>
        <v>43_25_BSpp_comp_0-7_2001_a</v>
      </c>
    </row>
    <row r="19" spans="1:8">
      <c r="A19" s="120" t="s">
        <v>243</v>
      </c>
      <c r="B19" s="120"/>
      <c r="C19" s="120"/>
      <c r="D19" s="120"/>
      <c r="E19" s="120"/>
      <c r="F19" s="121"/>
      <c r="G19">
        <v>44</v>
      </c>
      <c r="H19" t="str">
        <f t="shared" si="1"/>
        <v>44_25_BSpp_comp_0-7_2001_b</v>
      </c>
    </row>
    <row r="20" spans="1:8">
      <c r="A20" s="120" t="s">
        <v>244</v>
      </c>
      <c r="B20" s="120"/>
      <c r="C20" s="120"/>
      <c r="D20" s="120"/>
      <c r="E20" s="120"/>
      <c r="F20" s="121"/>
      <c r="G20">
        <v>45</v>
      </c>
      <c r="H20" t="str">
        <f t="shared" si="1"/>
        <v>45_26_BSpp_comp_7-18_2001_a</v>
      </c>
    </row>
    <row r="21" spans="1:8">
      <c r="A21" s="120" t="s">
        <v>245</v>
      </c>
      <c r="B21" s="120"/>
      <c r="C21" s="120"/>
      <c r="D21" s="120"/>
      <c r="E21" s="120"/>
      <c r="F21" s="121"/>
      <c r="G21">
        <v>46</v>
      </c>
      <c r="H21" t="str">
        <f t="shared" si="1"/>
        <v>46_26_BSpp_comp_7-18_2001_b</v>
      </c>
    </row>
    <row r="22" spans="1:8">
      <c r="A22" s="120" t="s">
        <v>283</v>
      </c>
      <c r="B22" s="120"/>
      <c r="C22" s="120"/>
      <c r="D22" s="120"/>
      <c r="E22" s="120"/>
      <c r="F22" s="121"/>
      <c r="G22">
        <v>47</v>
      </c>
      <c r="H22" t="str">
        <f t="shared" si="1"/>
        <v>47_27_BSpp_comp_18-28_2001_a</v>
      </c>
    </row>
    <row r="23" spans="1:8">
      <c r="A23" s="120" t="s">
        <v>284</v>
      </c>
      <c r="B23" s="120"/>
      <c r="C23" s="120"/>
      <c r="D23" s="120"/>
      <c r="E23" s="120"/>
      <c r="F23" s="121"/>
      <c r="G23">
        <v>48</v>
      </c>
      <c r="H23" t="str">
        <f t="shared" si="1"/>
        <v>48_27_BSpp_comp_18-28_2001_b</v>
      </c>
    </row>
    <row r="25" spans="1:8">
      <c r="A25" s="120" t="s">
        <v>316</v>
      </c>
      <c r="F25">
        <v>16</v>
      </c>
      <c r="G25">
        <v>27</v>
      </c>
      <c r="H25" t="str">
        <f>CONCATENATE(A25,"_",G25,"-",F25)</f>
        <v>ANpp_comp_0-6_2001_a_27-16</v>
      </c>
    </row>
    <row r="26" spans="1:8">
      <c r="A26" s="120" t="s">
        <v>317</v>
      </c>
      <c r="F26">
        <v>16</v>
      </c>
      <c r="G26">
        <v>28</v>
      </c>
      <c r="H26" t="str">
        <f t="shared" ref="H26:H46" si="2">CONCATENATE(A26,"_",G26,"-",F26)</f>
        <v>ANpp_comp_0-6_2001_b_28-16</v>
      </c>
    </row>
    <row r="27" spans="1:8">
      <c r="A27" s="120" t="s">
        <v>318</v>
      </c>
      <c r="F27">
        <v>17</v>
      </c>
      <c r="G27">
        <v>29</v>
      </c>
      <c r="H27" t="str">
        <f t="shared" si="2"/>
        <v>ANpp_comp_6-13_2001_a_29-17</v>
      </c>
    </row>
    <row r="28" spans="1:8">
      <c r="A28" s="120" t="s">
        <v>319</v>
      </c>
      <c r="F28">
        <v>17</v>
      </c>
      <c r="G28">
        <v>30</v>
      </c>
      <c r="H28" t="str">
        <f t="shared" si="2"/>
        <v>ANpp_comp_6-13_2001_b_30-17</v>
      </c>
    </row>
    <row r="29" spans="1:8">
      <c r="A29" s="120" t="s">
        <v>320</v>
      </c>
      <c r="F29">
        <v>18</v>
      </c>
      <c r="G29">
        <v>31</v>
      </c>
      <c r="H29" t="str">
        <f t="shared" si="2"/>
        <v>ANpp_comp_13-33_2001_a_31-18</v>
      </c>
    </row>
    <row r="30" spans="1:8">
      <c r="A30" s="120" t="s">
        <v>321</v>
      </c>
      <c r="F30">
        <v>18</v>
      </c>
      <c r="G30">
        <v>32</v>
      </c>
      <c r="H30" t="str">
        <f t="shared" si="2"/>
        <v>ANpp_comp_13-33_2001_b_32-18</v>
      </c>
    </row>
    <row r="31" spans="1:8">
      <c r="A31" s="120" t="s">
        <v>322</v>
      </c>
      <c r="F31">
        <v>19</v>
      </c>
      <c r="G31">
        <v>33</v>
      </c>
      <c r="H31" t="str">
        <f t="shared" si="2"/>
        <v>BSrf_comp_0-8_2001_a_33-19</v>
      </c>
    </row>
    <row r="32" spans="1:8">
      <c r="A32" s="120" t="s">
        <v>323</v>
      </c>
      <c r="F32">
        <v>19</v>
      </c>
      <c r="G32">
        <v>34</v>
      </c>
      <c r="H32" t="str">
        <f t="shared" si="2"/>
        <v>BSrf_comp_0-8_2001_b_34-19</v>
      </c>
    </row>
    <row r="33" spans="1:8">
      <c r="A33" s="120" t="s">
        <v>324</v>
      </c>
      <c r="F33">
        <v>20</v>
      </c>
      <c r="G33">
        <v>35</v>
      </c>
      <c r="H33" t="str">
        <f t="shared" si="2"/>
        <v>BSrf_comp_8-15_2001_a_35-20</v>
      </c>
    </row>
    <row r="34" spans="1:8">
      <c r="A34" s="120" t="s">
        <v>325</v>
      </c>
      <c r="F34">
        <v>20</v>
      </c>
      <c r="G34">
        <v>36</v>
      </c>
      <c r="H34" t="str">
        <f t="shared" si="2"/>
        <v>BSrf_comp_8-15_2001_b_36-20</v>
      </c>
    </row>
    <row r="35" spans="1:8">
      <c r="A35" s="120" t="s">
        <v>326</v>
      </c>
      <c r="F35">
        <v>21</v>
      </c>
      <c r="G35">
        <v>37</v>
      </c>
      <c r="H35" t="str">
        <f t="shared" si="2"/>
        <v>BSrf_comp_15-30_2001_a_37-21</v>
      </c>
    </row>
    <row r="36" spans="1:8">
      <c r="A36" s="120" t="s">
        <v>327</v>
      </c>
      <c r="F36">
        <v>21</v>
      </c>
      <c r="G36">
        <v>38</v>
      </c>
      <c r="H36" t="str">
        <f t="shared" si="2"/>
        <v>BSrf_comp_15-30_2001_b_38-21</v>
      </c>
    </row>
    <row r="37" spans="1:8">
      <c r="A37" s="120" t="s">
        <v>328</v>
      </c>
      <c r="F37">
        <v>22</v>
      </c>
      <c r="G37">
        <v>39</v>
      </c>
      <c r="H37" t="str">
        <f t="shared" si="2"/>
        <v>BSwf_comp_0-10_2001_a_39-22</v>
      </c>
    </row>
    <row r="38" spans="1:8">
      <c r="A38" s="120" t="s">
        <v>329</v>
      </c>
      <c r="F38">
        <v>22</v>
      </c>
      <c r="G38">
        <v>40</v>
      </c>
      <c r="H38" t="str">
        <f t="shared" si="2"/>
        <v>BSwf_comp_0-10_2001_b_40-22</v>
      </c>
    </row>
    <row r="39" spans="1:8">
      <c r="A39" s="120" t="s">
        <v>330</v>
      </c>
      <c r="F39">
        <v>23</v>
      </c>
      <c r="G39">
        <v>41</v>
      </c>
      <c r="H39" t="str">
        <f t="shared" si="2"/>
        <v>BSwf_comp_10-19_2001_a_41-23</v>
      </c>
    </row>
    <row r="40" spans="1:8">
      <c r="A40" s="120" t="s">
        <v>331</v>
      </c>
      <c r="F40">
        <v>23</v>
      </c>
      <c r="G40">
        <v>42</v>
      </c>
      <c r="H40" t="str">
        <f t="shared" si="2"/>
        <v>BSwf_comp_10-19_2001_b_42-23</v>
      </c>
    </row>
    <row r="41" spans="1:8">
      <c r="A41" s="120" t="s">
        <v>332</v>
      </c>
      <c r="F41">
        <v>25</v>
      </c>
      <c r="G41">
        <v>43</v>
      </c>
      <c r="H41" t="str">
        <f t="shared" si="2"/>
        <v>BSpp_comp_0-7_2001_a_43-25</v>
      </c>
    </row>
    <row r="42" spans="1:8">
      <c r="A42" s="120" t="s">
        <v>333</v>
      </c>
      <c r="F42">
        <v>25</v>
      </c>
      <c r="G42">
        <v>44</v>
      </c>
      <c r="H42" t="str">
        <f t="shared" si="2"/>
        <v>BSpp_comp_0-7_2001_b_44-25</v>
      </c>
    </row>
    <row r="43" spans="1:8">
      <c r="A43" s="120" t="s">
        <v>334</v>
      </c>
      <c r="F43">
        <v>26</v>
      </c>
      <c r="G43">
        <v>45</v>
      </c>
      <c r="H43" t="str">
        <f t="shared" si="2"/>
        <v>BSpp_comp_7-18_2001_a_45-26</v>
      </c>
    </row>
    <row r="44" spans="1:8">
      <c r="A44" s="120" t="s">
        <v>335</v>
      </c>
      <c r="F44">
        <v>26</v>
      </c>
      <c r="G44">
        <v>46</v>
      </c>
      <c r="H44" t="str">
        <f t="shared" si="2"/>
        <v>BSpp_comp_7-18_2001_b_46-26</v>
      </c>
    </row>
    <row r="45" spans="1:8">
      <c r="A45" s="120" t="s">
        <v>336</v>
      </c>
      <c r="F45">
        <v>27</v>
      </c>
      <c r="G45">
        <v>47</v>
      </c>
      <c r="H45" t="str">
        <f t="shared" si="2"/>
        <v>BSpp_comp_18-28_2001_a_47-27</v>
      </c>
    </row>
    <row r="46" spans="1:8">
      <c r="A46" s="120" t="s">
        <v>337</v>
      </c>
      <c r="F46">
        <v>27</v>
      </c>
      <c r="G46">
        <v>48</v>
      </c>
      <c r="H46" t="str">
        <f t="shared" si="2"/>
        <v>BSpp_comp_18-28_2001_b_48-27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G29" sqref="G29"/>
    </sheetView>
  </sheetViews>
  <sheetFormatPr baseColWidth="10" defaultColWidth="9.1640625" defaultRowHeight="14" x14ac:dyDescent="0"/>
  <cols>
    <col min="2" max="2" width="30" bestFit="1" customWidth="1"/>
    <col min="8" max="8" width="11.5" customWidth="1"/>
    <col min="9" max="9" width="10.33203125" customWidth="1"/>
  </cols>
  <sheetData>
    <row r="1" spans="1:19">
      <c r="A1" s="237" t="s">
        <v>0</v>
      </c>
      <c r="B1" s="238" t="s">
        <v>1</v>
      </c>
      <c r="C1" s="237" t="s">
        <v>2</v>
      </c>
      <c r="D1" s="237" t="s">
        <v>3</v>
      </c>
      <c r="E1" s="237" t="s">
        <v>43</v>
      </c>
      <c r="F1" s="237" t="s">
        <v>4</v>
      </c>
      <c r="G1" s="237" t="s">
        <v>5</v>
      </c>
      <c r="H1" s="239" t="s">
        <v>45</v>
      </c>
      <c r="I1" s="239" t="s">
        <v>44</v>
      </c>
      <c r="J1" s="237" t="s">
        <v>6</v>
      </c>
      <c r="K1" s="237" t="s">
        <v>7</v>
      </c>
      <c r="L1" s="237" t="s">
        <v>8</v>
      </c>
      <c r="M1" s="237" t="s">
        <v>9</v>
      </c>
      <c r="N1" s="237" t="s">
        <v>10</v>
      </c>
      <c r="O1" s="237" t="s">
        <v>11</v>
      </c>
      <c r="P1" s="237" t="s">
        <v>12</v>
      </c>
      <c r="Q1" s="237" t="s">
        <v>13</v>
      </c>
      <c r="R1" s="237" t="s">
        <v>14</v>
      </c>
      <c r="S1" s="237" t="s">
        <v>15</v>
      </c>
    </row>
    <row r="2" spans="1:19">
      <c r="A2" s="237"/>
      <c r="B2" s="238"/>
      <c r="C2" s="237"/>
      <c r="D2" s="237"/>
      <c r="E2" s="237"/>
      <c r="F2" s="237"/>
      <c r="G2" s="237"/>
      <c r="H2" s="239"/>
      <c r="I2" s="239"/>
      <c r="J2" s="237"/>
      <c r="K2" s="237"/>
      <c r="L2" s="237"/>
      <c r="M2" s="237"/>
      <c r="N2" s="237"/>
      <c r="O2" s="237"/>
      <c r="P2" s="237"/>
      <c r="Q2" s="237"/>
      <c r="R2" s="237"/>
      <c r="S2" s="237"/>
    </row>
    <row r="3" spans="1:19">
      <c r="A3" s="3"/>
      <c r="B3" s="4"/>
      <c r="H3" s="5"/>
      <c r="I3" s="30"/>
      <c r="J3" s="6"/>
      <c r="K3" s="7"/>
      <c r="L3" s="7"/>
      <c r="M3" s="7"/>
      <c r="N3" s="7"/>
      <c r="O3" s="7"/>
      <c r="P3" s="8"/>
      <c r="Q3" s="7"/>
      <c r="R3" s="7"/>
      <c r="S3" s="7"/>
    </row>
    <row r="4" spans="1:19">
      <c r="A4" s="3"/>
      <c r="B4" s="4"/>
      <c r="H4" s="5"/>
      <c r="I4" s="30"/>
      <c r="J4" s="6"/>
      <c r="K4" s="7"/>
      <c r="L4" s="7"/>
      <c r="M4" s="7"/>
      <c r="N4" s="7"/>
      <c r="O4" s="7"/>
      <c r="P4" s="8"/>
      <c r="Q4" s="7"/>
      <c r="R4" s="7"/>
      <c r="S4" s="7"/>
    </row>
    <row r="5" spans="1:19">
      <c r="A5" s="3">
        <v>3</v>
      </c>
      <c r="B5" s="4" t="s">
        <v>251</v>
      </c>
      <c r="E5">
        <f t="shared" ref="E5:E20" si="0">D5-C5</f>
        <v>0</v>
      </c>
      <c r="G5">
        <f t="shared" ref="G5:G14" si="1">D5-F5</f>
        <v>0</v>
      </c>
      <c r="H5" s="5" t="e">
        <f t="shared" ref="H5:H14" si="2">G5/(F5-C5)*100</f>
        <v>#DIV/0!</v>
      </c>
      <c r="I5" s="30" t="e">
        <f t="shared" ref="I5:I20" si="3">(F5-C5)/E5</f>
        <v>#DIV/0!</v>
      </c>
      <c r="J5" s="6"/>
      <c r="K5" s="7"/>
      <c r="L5" s="7">
        <f t="shared" ref="L5:L20" si="4">K5*(F5/100+1)</f>
        <v>0</v>
      </c>
      <c r="M5" s="7">
        <f t="shared" ref="M5:M14" si="5">J5-K5</f>
        <v>0</v>
      </c>
      <c r="N5" s="7" t="e">
        <f t="shared" ref="N5:N20" si="6">M5*(H5/100+1)</f>
        <v>#DIV/0!</v>
      </c>
      <c r="O5" s="7" t="e">
        <f t="shared" ref="O5:O14" si="7">N5*10</f>
        <v>#DIV/0!</v>
      </c>
      <c r="P5" s="8"/>
      <c r="Q5" s="7" t="e">
        <f t="shared" ref="Q5:Q20" si="8">P5*(H5/100+1)</f>
        <v>#DIV/0!</v>
      </c>
      <c r="R5" s="7" t="e">
        <f t="shared" ref="R5:R14" si="9">Q5*10</f>
        <v>#DIV/0!</v>
      </c>
      <c r="S5" s="7" t="e">
        <f t="shared" ref="S5:S14" si="10">O5/R5</f>
        <v>#DIV/0!</v>
      </c>
    </row>
    <row r="6" spans="1:19">
      <c r="A6" s="3">
        <v>4</v>
      </c>
      <c r="B6" s="4" t="s">
        <v>252</v>
      </c>
      <c r="E6">
        <f t="shared" si="0"/>
        <v>0</v>
      </c>
      <c r="G6">
        <f t="shared" si="1"/>
        <v>0</v>
      </c>
      <c r="H6" s="5" t="e">
        <f t="shared" si="2"/>
        <v>#DIV/0!</v>
      </c>
      <c r="I6" s="30" t="e">
        <f t="shared" si="3"/>
        <v>#DIV/0!</v>
      </c>
      <c r="J6" s="6"/>
      <c r="K6" s="7"/>
      <c r="L6" s="7">
        <f t="shared" si="4"/>
        <v>0</v>
      </c>
      <c r="M6" s="7">
        <f t="shared" si="5"/>
        <v>0</v>
      </c>
      <c r="N6" s="7" t="e">
        <f t="shared" si="6"/>
        <v>#DIV/0!</v>
      </c>
      <c r="O6" s="7" t="e">
        <f t="shared" si="7"/>
        <v>#DIV/0!</v>
      </c>
      <c r="P6" s="8"/>
      <c r="Q6" s="7" t="e">
        <f t="shared" si="8"/>
        <v>#DIV/0!</v>
      </c>
      <c r="R6" s="7" t="e">
        <f t="shared" si="9"/>
        <v>#DIV/0!</v>
      </c>
      <c r="S6" s="7" t="e">
        <f t="shared" si="10"/>
        <v>#DIV/0!</v>
      </c>
    </row>
    <row r="7" spans="1:19">
      <c r="A7" s="3">
        <v>5</v>
      </c>
      <c r="B7" s="4" t="s">
        <v>253</v>
      </c>
      <c r="E7">
        <f t="shared" si="0"/>
        <v>0</v>
      </c>
      <c r="G7">
        <f t="shared" si="1"/>
        <v>0</v>
      </c>
      <c r="H7" s="5" t="e">
        <f t="shared" si="2"/>
        <v>#DIV/0!</v>
      </c>
      <c r="I7" s="30" t="e">
        <f t="shared" si="3"/>
        <v>#DIV/0!</v>
      </c>
      <c r="J7" s="6"/>
      <c r="K7" s="7"/>
      <c r="L7" s="7">
        <f t="shared" si="4"/>
        <v>0</v>
      </c>
      <c r="M7" s="7">
        <f t="shared" si="5"/>
        <v>0</v>
      </c>
      <c r="N7" s="7" t="e">
        <f t="shared" si="6"/>
        <v>#DIV/0!</v>
      </c>
      <c r="O7" s="7" t="e">
        <f t="shared" si="7"/>
        <v>#DIV/0!</v>
      </c>
      <c r="P7" s="8"/>
      <c r="Q7" s="7" t="e">
        <f t="shared" si="8"/>
        <v>#DIV/0!</v>
      </c>
      <c r="R7" s="7" t="e">
        <f t="shared" si="9"/>
        <v>#DIV/0!</v>
      </c>
      <c r="S7" s="7" t="e">
        <f t="shared" si="10"/>
        <v>#DIV/0!</v>
      </c>
    </row>
    <row r="8" spans="1:19">
      <c r="A8" s="3">
        <v>6</v>
      </c>
      <c r="B8" s="4" t="s">
        <v>254</v>
      </c>
      <c r="E8">
        <f t="shared" si="0"/>
        <v>0</v>
      </c>
      <c r="G8">
        <f t="shared" si="1"/>
        <v>0</v>
      </c>
      <c r="H8" s="5" t="e">
        <f t="shared" si="2"/>
        <v>#DIV/0!</v>
      </c>
      <c r="I8" s="30" t="e">
        <f t="shared" si="3"/>
        <v>#DIV/0!</v>
      </c>
      <c r="J8" s="6"/>
      <c r="K8" s="7"/>
      <c r="L8" s="7">
        <f t="shared" si="4"/>
        <v>0</v>
      </c>
      <c r="M8" s="7">
        <f t="shared" si="5"/>
        <v>0</v>
      </c>
      <c r="N8" s="7" t="e">
        <f t="shared" si="6"/>
        <v>#DIV/0!</v>
      </c>
      <c r="O8" s="7" t="e">
        <f t="shared" si="7"/>
        <v>#DIV/0!</v>
      </c>
      <c r="P8" s="8"/>
      <c r="Q8" s="7" t="e">
        <f t="shared" si="8"/>
        <v>#DIV/0!</v>
      </c>
      <c r="R8" s="7" t="e">
        <f t="shared" si="9"/>
        <v>#DIV/0!</v>
      </c>
      <c r="S8" s="7" t="e">
        <f t="shared" si="10"/>
        <v>#DIV/0!</v>
      </c>
    </row>
    <row r="9" spans="1:19">
      <c r="A9" s="3">
        <v>7</v>
      </c>
      <c r="B9" s="4" t="s">
        <v>255</v>
      </c>
      <c r="E9">
        <f t="shared" si="0"/>
        <v>0</v>
      </c>
      <c r="G9">
        <f t="shared" si="1"/>
        <v>0</v>
      </c>
      <c r="H9" s="5" t="e">
        <f t="shared" si="2"/>
        <v>#DIV/0!</v>
      </c>
      <c r="I9" s="30" t="e">
        <f t="shared" si="3"/>
        <v>#DIV/0!</v>
      </c>
      <c r="J9" s="6"/>
      <c r="K9" s="7"/>
      <c r="L9" s="7">
        <f t="shared" si="4"/>
        <v>0</v>
      </c>
      <c r="M9" s="7">
        <f t="shared" si="5"/>
        <v>0</v>
      </c>
      <c r="N9" s="7" t="e">
        <f t="shared" si="6"/>
        <v>#DIV/0!</v>
      </c>
      <c r="O9" s="7" t="e">
        <f t="shared" si="7"/>
        <v>#DIV/0!</v>
      </c>
      <c r="P9" s="8"/>
      <c r="Q9" s="7" t="e">
        <f t="shared" si="8"/>
        <v>#DIV/0!</v>
      </c>
      <c r="R9" s="7" t="e">
        <f t="shared" si="9"/>
        <v>#DIV/0!</v>
      </c>
      <c r="S9" s="7" t="e">
        <f t="shared" si="10"/>
        <v>#DIV/0!</v>
      </c>
    </row>
    <row r="10" spans="1:19">
      <c r="A10" s="3">
        <v>8</v>
      </c>
      <c r="B10" s="4" t="s">
        <v>256</v>
      </c>
      <c r="E10">
        <f t="shared" si="0"/>
        <v>0</v>
      </c>
      <c r="G10">
        <f t="shared" si="1"/>
        <v>0</v>
      </c>
      <c r="H10" s="5" t="e">
        <f t="shared" si="2"/>
        <v>#DIV/0!</v>
      </c>
      <c r="I10" s="30" t="e">
        <f t="shared" si="3"/>
        <v>#DIV/0!</v>
      </c>
      <c r="J10" s="6"/>
      <c r="K10" s="7"/>
      <c r="L10" s="7">
        <f t="shared" si="4"/>
        <v>0</v>
      </c>
      <c r="M10" s="7">
        <f t="shared" si="5"/>
        <v>0</v>
      </c>
      <c r="N10" s="7" t="e">
        <f t="shared" si="6"/>
        <v>#DIV/0!</v>
      </c>
      <c r="O10" s="7" t="e">
        <f t="shared" si="7"/>
        <v>#DIV/0!</v>
      </c>
      <c r="P10" s="8"/>
      <c r="Q10" s="7" t="e">
        <f t="shared" si="8"/>
        <v>#DIV/0!</v>
      </c>
      <c r="R10" s="7" t="e">
        <f t="shared" si="9"/>
        <v>#DIV/0!</v>
      </c>
      <c r="S10" s="7" t="e">
        <f t="shared" si="10"/>
        <v>#DIV/0!</v>
      </c>
    </row>
    <row r="11" spans="1:19">
      <c r="A11" s="3">
        <v>9</v>
      </c>
      <c r="B11" s="4" t="s">
        <v>257</v>
      </c>
      <c r="E11">
        <f t="shared" si="0"/>
        <v>0</v>
      </c>
      <c r="G11">
        <f t="shared" si="1"/>
        <v>0</v>
      </c>
      <c r="H11" s="5" t="e">
        <f t="shared" si="2"/>
        <v>#DIV/0!</v>
      </c>
      <c r="I11" s="30" t="e">
        <f t="shared" si="3"/>
        <v>#DIV/0!</v>
      </c>
      <c r="J11" s="6"/>
      <c r="K11" s="7"/>
      <c r="L11" s="7">
        <f t="shared" si="4"/>
        <v>0</v>
      </c>
      <c r="M11" s="7">
        <f t="shared" si="5"/>
        <v>0</v>
      </c>
      <c r="N11" s="7" t="e">
        <f t="shared" si="6"/>
        <v>#DIV/0!</v>
      </c>
      <c r="O11" s="7" t="e">
        <f t="shared" si="7"/>
        <v>#DIV/0!</v>
      </c>
      <c r="P11" s="8"/>
      <c r="Q11" s="7" t="e">
        <f t="shared" si="8"/>
        <v>#DIV/0!</v>
      </c>
      <c r="R11" s="7" t="e">
        <f t="shared" si="9"/>
        <v>#DIV/0!</v>
      </c>
      <c r="S11" s="7" t="e">
        <f t="shared" si="10"/>
        <v>#DIV/0!</v>
      </c>
    </row>
    <row r="12" spans="1:19">
      <c r="A12" s="3">
        <v>10</v>
      </c>
      <c r="B12" s="4" t="s">
        <v>258</v>
      </c>
      <c r="E12">
        <f t="shared" si="0"/>
        <v>0</v>
      </c>
      <c r="G12">
        <f t="shared" si="1"/>
        <v>0</v>
      </c>
      <c r="H12" s="5" t="e">
        <f t="shared" si="2"/>
        <v>#DIV/0!</v>
      </c>
      <c r="I12" s="30" t="e">
        <f t="shared" si="3"/>
        <v>#DIV/0!</v>
      </c>
      <c r="J12" s="6"/>
      <c r="K12" s="7"/>
      <c r="L12" s="7">
        <f t="shared" si="4"/>
        <v>0</v>
      </c>
      <c r="M12" s="7">
        <f t="shared" si="5"/>
        <v>0</v>
      </c>
      <c r="N12" s="7" t="e">
        <f t="shared" si="6"/>
        <v>#DIV/0!</v>
      </c>
      <c r="O12" s="7" t="e">
        <f t="shared" si="7"/>
        <v>#DIV/0!</v>
      </c>
      <c r="P12" s="8"/>
      <c r="Q12" s="7" t="e">
        <f t="shared" si="8"/>
        <v>#DIV/0!</v>
      </c>
      <c r="R12" s="7" t="e">
        <f t="shared" si="9"/>
        <v>#DIV/0!</v>
      </c>
      <c r="S12" s="7" t="e">
        <f t="shared" si="10"/>
        <v>#DIV/0!</v>
      </c>
    </row>
    <row r="13" spans="1:19">
      <c r="A13" s="3">
        <v>11</v>
      </c>
      <c r="B13" s="4" t="s">
        <v>259</v>
      </c>
      <c r="E13">
        <f t="shared" si="0"/>
        <v>0</v>
      </c>
      <c r="G13">
        <f t="shared" si="1"/>
        <v>0</v>
      </c>
      <c r="H13" s="5" t="e">
        <f t="shared" si="2"/>
        <v>#DIV/0!</v>
      </c>
      <c r="I13" s="30" t="e">
        <f t="shared" si="3"/>
        <v>#DIV/0!</v>
      </c>
      <c r="J13" s="6"/>
      <c r="K13" s="7"/>
      <c r="L13" s="7">
        <f t="shared" si="4"/>
        <v>0</v>
      </c>
      <c r="M13" s="7">
        <f t="shared" si="5"/>
        <v>0</v>
      </c>
      <c r="N13" s="7" t="e">
        <f t="shared" si="6"/>
        <v>#DIV/0!</v>
      </c>
      <c r="O13" s="7" t="e">
        <f t="shared" si="7"/>
        <v>#DIV/0!</v>
      </c>
      <c r="P13" s="8"/>
      <c r="Q13" s="7" t="e">
        <f t="shared" si="8"/>
        <v>#DIV/0!</v>
      </c>
      <c r="R13" s="7" t="e">
        <f t="shared" si="9"/>
        <v>#DIV/0!</v>
      </c>
      <c r="S13" s="7" t="e">
        <f t="shared" si="10"/>
        <v>#DIV/0!</v>
      </c>
    </row>
    <row r="14" spans="1:19">
      <c r="A14" s="3">
        <v>12</v>
      </c>
      <c r="B14" s="4" t="s">
        <v>260</v>
      </c>
      <c r="E14">
        <f t="shared" si="0"/>
        <v>0</v>
      </c>
      <c r="G14">
        <f t="shared" si="1"/>
        <v>0</v>
      </c>
      <c r="H14" s="5" t="e">
        <f t="shared" si="2"/>
        <v>#DIV/0!</v>
      </c>
      <c r="I14" s="30" t="e">
        <f t="shared" si="3"/>
        <v>#DIV/0!</v>
      </c>
      <c r="J14" s="6"/>
      <c r="K14" s="7"/>
      <c r="L14" s="7">
        <f t="shared" si="4"/>
        <v>0</v>
      </c>
      <c r="M14" s="7">
        <f t="shared" si="5"/>
        <v>0</v>
      </c>
      <c r="N14" s="7" t="e">
        <f t="shared" si="6"/>
        <v>#DIV/0!</v>
      </c>
      <c r="O14" s="7" t="e">
        <f t="shared" si="7"/>
        <v>#DIV/0!</v>
      </c>
      <c r="P14" s="8"/>
      <c r="Q14" s="7" t="e">
        <f t="shared" si="8"/>
        <v>#DIV/0!</v>
      </c>
      <c r="R14" s="7" t="e">
        <f t="shared" si="9"/>
        <v>#DIV/0!</v>
      </c>
      <c r="S14" s="7" t="e">
        <f t="shared" si="10"/>
        <v>#DIV/0!</v>
      </c>
    </row>
    <row r="15" spans="1:19">
      <c r="A15" s="3">
        <v>13</v>
      </c>
      <c r="B15" t="s">
        <v>261</v>
      </c>
      <c r="E15">
        <f t="shared" si="0"/>
        <v>0</v>
      </c>
      <c r="G15">
        <f t="shared" ref="G15:G20" si="11">D15-F15</f>
        <v>0</v>
      </c>
      <c r="H15" s="5" t="e">
        <f t="shared" ref="H15:H20" si="12">G15/(F15-C15)*100</f>
        <v>#DIV/0!</v>
      </c>
      <c r="I15" s="30" t="e">
        <f t="shared" si="3"/>
        <v>#DIV/0!</v>
      </c>
      <c r="J15" s="6"/>
      <c r="K15" s="7"/>
      <c r="L15" s="7">
        <f t="shared" si="4"/>
        <v>0</v>
      </c>
      <c r="M15" s="7">
        <f t="shared" ref="M15:M20" si="13">J15-K15</f>
        <v>0</v>
      </c>
      <c r="N15" s="7" t="e">
        <f t="shared" si="6"/>
        <v>#DIV/0!</v>
      </c>
      <c r="O15" s="7" t="e">
        <f t="shared" ref="O15:O20" si="14">N15*10</f>
        <v>#DIV/0!</v>
      </c>
      <c r="P15" s="8"/>
      <c r="Q15" s="7" t="e">
        <f t="shared" si="8"/>
        <v>#DIV/0!</v>
      </c>
      <c r="R15" s="7" t="e">
        <f t="shared" ref="R15:R20" si="15">Q15*10</f>
        <v>#DIV/0!</v>
      </c>
      <c r="S15" s="7" t="e">
        <f t="shared" ref="S15:S20" si="16">O15/R15</f>
        <v>#DIV/0!</v>
      </c>
    </row>
    <row r="16" spans="1:19">
      <c r="A16" s="3">
        <v>14</v>
      </c>
      <c r="B16" t="s">
        <v>262</v>
      </c>
      <c r="E16">
        <f t="shared" si="0"/>
        <v>0</v>
      </c>
      <c r="G16">
        <f t="shared" si="11"/>
        <v>0</v>
      </c>
      <c r="H16" s="5" t="e">
        <f t="shared" si="12"/>
        <v>#DIV/0!</v>
      </c>
      <c r="I16" s="30" t="e">
        <f t="shared" si="3"/>
        <v>#DIV/0!</v>
      </c>
      <c r="J16" s="6"/>
      <c r="K16" s="7"/>
      <c r="L16" s="7">
        <f t="shared" si="4"/>
        <v>0</v>
      </c>
      <c r="M16" s="7">
        <f t="shared" si="13"/>
        <v>0</v>
      </c>
      <c r="N16" s="7" t="e">
        <f t="shared" si="6"/>
        <v>#DIV/0!</v>
      </c>
      <c r="O16" s="7" t="e">
        <f t="shared" si="14"/>
        <v>#DIV/0!</v>
      </c>
      <c r="P16" s="8"/>
      <c r="Q16" s="7" t="e">
        <f t="shared" si="8"/>
        <v>#DIV/0!</v>
      </c>
      <c r="R16" s="7" t="e">
        <f t="shared" si="15"/>
        <v>#DIV/0!</v>
      </c>
      <c r="S16" s="7" t="e">
        <f t="shared" si="16"/>
        <v>#DIV/0!</v>
      </c>
    </row>
    <row r="17" spans="1:19">
      <c r="A17" s="3">
        <v>15</v>
      </c>
      <c r="B17" t="s">
        <v>263</v>
      </c>
      <c r="E17">
        <f t="shared" si="0"/>
        <v>0</v>
      </c>
      <c r="G17">
        <f t="shared" si="11"/>
        <v>0</v>
      </c>
      <c r="H17" s="5" t="e">
        <f t="shared" si="12"/>
        <v>#DIV/0!</v>
      </c>
      <c r="I17" s="30" t="e">
        <f t="shared" si="3"/>
        <v>#DIV/0!</v>
      </c>
      <c r="J17" s="6"/>
      <c r="K17" s="7"/>
      <c r="L17" s="7">
        <f t="shared" si="4"/>
        <v>0</v>
      </c>
      <c r="M17" s="7">
        <f t="shared" si="13"/>
        <v>0</v>
      </c>
      <c r="N17" s="7" t="e">
        <f t="shared" si="6"/>
        <v>#DIV/0!</v>
      </c>
      <c r="O17" s="7" t="e">
        <f t="shared" si="14"/>
        <v>#DIV/0!</v>
      </c>
      <c r="P17" s="8"/>
      <c r="Q17" s="7" t="e">
        <f t="shared" si="8"/>
        <v>#DIV/0!</v>
      </c>
      <c r="R17" s="7" t="e">
        <f t="shared" si="15"/>
        <v>#DIV/0!</v>
      </c>
      <c r="S17" s="7" t="e">
        <f t="shared" si="16"/>
        <v>#DIV/0!</v>
      </c>
    </row>
    <row r="18" spans="1:19">
      <c r="A18" s="3">
        <v>16</v>
      </c>
      <c r="B18" t="s">
        <v>264</v>
      </c>
      <c r="E18">
        <f t="shared" si="0"/>
        <v>0</v>
      </c>
      <c r="G18">
        <f t="shared" si="11"/>
        <v>0</v>
      </c>
      <c r="H18" s="5" t="e">
        <f t="shared" si="12"/>
        <v>#DIV/0!</v>
      </c>
      <c r="I18" s="30" t="e">
        <f t="shared" si="3"/>
        <v>#DIV/0!</v>
      </c>
      <c r="J18" s="6"/>
      <c r="K18" s="7"/>
      <c r="L18" s="7">
        <f t="shared" si="4"/>
        <v>0</v>
      </c>
      <c r="M18" s="7">
        <f t="shared" si="13"/>
        <v>0</v>
      </c>
      <c r="N18" s="7" t="e">
        <f t="shared" si="6"/>
        <v>#DIV/0!</v>
      </c>
      <c r="O18" s="7" t="e">
        <f t="shared" si="14"/>
        <v>#DIV/0!</v>
      </c>
      <c r="P18" s="8"/>
      <c r="Q18" s="7" t="e">
        <f t="shared" si="8"/>
        <v>#DIV/0!</v>
      </c>
      <c r="R18" s="7" t="e">
        <f t="shared" si="15"/>
        <v>#DIV/0!</v>
      </c>
      <c r="S18" s="7" t="e">
        <f t="shared" si="16"/>
        <v>#DIV/0!</v>
      </c>
    </row>
    <row r="19" spans="1:19">
      <c r="A19" s="3">
        <v>17</v>
      </c>
      <c r="B19" t="s">
        <v>265</v>
      </c>
      <c r="E19">
        <f t="shared" si="0"/>
        <v>0</v>
      </c>
      <c r="G19">
        <f t="shared" si="11"/>
        <v>0</v>
      </c>
      <c r="H19" s="5" t="e">
        <f t="shared" si="12"/>
        <v>#DIV/0!</v>
      </c>
      <c r="I19" s="30" t="e">
        <f t="shared" si="3"/>
        <v>#DIV/0!</v>
      </c>
      <c r="J19" s="6"/>
      <c r="K19" s="7"/>
      <c r="L19" s="7">
        <f t="shared" si="4"/>
        <v>0</v>
      </c>
      <c r="M19" s="7">
        <f t="shared" si="13"/>
        <v>0</v>
      </c>
      <c r="N19" s="7" t="e">
        <f t="shared" si="6"/>
        <v>#DIV/0!</v>
      </c>
      <c r="O19" s="7" t="e">
        <f t="shared" si="14"/>
        <v>#DIV/0!</v>
      </c>
      <c r="P19" s="8"/>
      <c r="Q19" s="7" t="e">
        <f t="shared" si="8"/>
        <v>#DIV/0!</v>
      </c>
      <c r="R19" s="7" t="e">
        <f t="shared" si="15"/>
        <v>#DIV/0!</v>
      </c>
      <c r="S19" s="7" t="e">
        <f t="shared" si="16"/>
        <v>#DIV/0!</v>
      </c>
    </row>
    <row r="20" spans="1:19">
      <c r="A20" s="3">
        <v>18</v>
      </c>
      <c r="B20" t="s">
        <v>266</v>
      </c>
      <c r="E20">
        <f t="shared" si="0"/>
        <v>0</v>
      </c>
      <c r="G20">
        <f t="shared" si="11"/>
        <v>0</v>
      </c>
      <c r="H20" s="5" t="e">
        <f t="shared" si="12"/>
        <v>#DIV/0!</v>
      </c>
      <c r="I20" s="30" t="e">
        <f t="shared" si="3"/>
        <v>#DIV/0!</v>
      </c>
      <c r="J20" s="6"/>
      <c r="K20" s="7"/>
      <c r="L20" s="7">
        <f t="shared" si="4"/>
        <v>0</v>
      </c>
      <c r="M20" s="7">
        <f t="shared" si="13"/>
        <v>0</v>
      </c>
      <c r="N20" s="7" t="e">
        <f t="shared" si="6"/>
        <v>#DIV/0!</v>
      </c>
      <c r="O20" s="7" t="e">
        <f t="shared" si="14"/>
        <v>#DIV/0!</v>
      </c>
      <c r="P20" s="8"/>
      <c r="Q20" s="7" t="e">
        <f t="shared" si="8"/>
        <v>#DIV/0!</v>
      </c>
      <c r="R20" s="7" t="e">
        <f t="shared" si="15"/>
        <v>#DIV/0!</v>
      </c>
      <c r="S20" s="7" t="e">
        <f t="shared" si="16"/>
        <v>#DIV/0!</v>
      </c>
    </row>
    <row r="21" spans="1:19">
      <c r="A21" s="3">
        <v>19</v>
      </c>
      <c r="B21" t="s">
        <v>267</v>
      </c>
      <c r="E21">
        <f t="shared" ref="E21:E28" si="17">D21-C21</f>
        <v>0</v>
      </c>
      <c r="G21">
        <f t="shared" ref="G21:G28" si="18">D21-F21</f>
        <v>0</v>
      </c>
      <c r="H21" s="5" t="e">
        <f t="shared" ref="H21:H28" si="19">G21/(F21-C21)*100</f>
        <v>#DIV/0!</v>
      </c>
      <c r="I21" s="30" t="e">
        <f t="shared" ref="I21:I28" si="20">(F21-C21)/E21</f>
        <v>#DIV/0!</v>
      </c>
      <c r="J21" s="6"/>
      <c r="K21" s="7"/>
      <c r="L21" s="7">
        <f t="shared" ref="L21:L28" si="21">K21*(F21/100+1)</f>
        <v>0</v>
      </c>
      <c r="M21" s="7">
        <f t="shared" ref="M21:M28" si="22">J21-K21</f>
        <v>0</v>
      </c>
      <c r="N21" s="7" t="e">
        <f t="shared" ref="N21:N28" si="23">M21*(H21/100+1)</f>
        <v>#DIV/0!</v>
      </c>
      <c r="O21" s="7" t="e">
        <f t="shared" ref="O21:O28" si="24">N21*10</f>
        <v>#DIV/0!</v>
      </c>
      <c r="P21" s="8"/>
      <c r="Q21" s="7" t="e">
        <f t="shared" ref="Q21:Q28" si="25">P21*(H21/100+1)</f>
        <v>#DIV/0!</v>
      </c>
      <c r="R21" s="7" t="e">
        <f t="shared" ref="R21:R28" si="26">Q21*10</f>
        <v>#DIV/0!</v>
      </c>
      <c r="S21" s="7" t="e">
        <f t="shared" ref="S21:S28" si="27">O21/R21</f>
        <v>#DIV/0!</v>
      </c>
    </row>
    <row r="22" spans="1:19">
      <c r="A22" s="3">
        <v>20</v>
      </c>
      <c r="B22" t="s">
        <v>268</v>
      </c>
      <c r="E22">
        <f t="shared" si="17"/>
        <v>0</v>
      </c>
      <c r="G22">
        <f t="shared" si="18"/>
        <v>0</v>
      </c>
      <c r="H22" s="5" t="e">
        <f t="shared" si="19"/>
        <v>#DIV/0!</v>
      </c>
      <c r="I22" s="30" t="e">
        <f t="shared" si="20"/>
        <v>#DIV/0!</v>
      </c>
      <c r="J22" s="6"/>
      <c r="K22" s="7"/>
      <c r="L22" s="7">
        <f t="shared" si="21"/>
        <v>0</v>
      </c>
      <c r="M22" s="7">
        <f t="shared" si="22"/>
        <v>0</v>
      </c>
      <c r="N22" s="7" t="e">
        <f t="shared" si="23"/>
        <v>#DIV/0!</v>
      </c>
      <c r="O22" s="7" t="e">
        <f t="shared" si="24"/>
        <v>#DIV/0!</v>
      </c>
      <c r="P22" s="8"/>
      <c r="Q22" s="7" t="e">
        <f t="shared" si="25"/>
        <v>#DIV/0!</v>
      </c>
      <c r="R22" s="7" t="e">
        <f t="shared" si="26"/>
        <v>#DIV/0!</v>
      </c>
      <c r="S22" s="7" t="e">
        <f t="shared" si="27"/>
        <v>#DIV/0!</v>
      </c>
    </row>
    <row r="23" spans="1:19">
      <c r="A23" s="3">
        <v>21</v>
      </c>
      <c r="B23" t="s">
        <v>269</v>
      </c>
      <c r="E23">
        <f t="shared" si="17"/>
        <v>0</v>
      </c>
      <c r="G23">
        <f t="shared" si="18"/>
        <v>0</v>
      </c>
      <c r="H23" s="5" t="e">
        <f t="shared" si="19"/>
        <v>#DIV/0!</v>
      </c>
      <c r="I23" s="30" t="e">
        <f t="shared" si="20"/>
        <v>#DIV/0!</v>
      </c>
      <c r="J23" s="6"/>
      <c r="K23" s="7"/>
      <c r="L23" s="7">
        <f t="shared" si="21"/>
        <v>0</v>
      </c>
      <c r="M23" s="7">
        <f t="shared" si="22"/>
        <v>0</v>
      </c>
      <c r="N23" s="7" t="e">
        <f t="shared" si="23"/>
        <v>#DIV/0!</v>
      </c>
      <c r="O23" s="7" t="e">
        <f t="shared" si="24"/>
        <v>#DIV/0!</v>
      </c>
      <c r="P23" s="8"/>
      <c r="Q23" s="7" t="e">
        <f t="shared" si="25"/>
        <v>#DIV/0!</v>
      </c>
      <c r="R23" s="7" t="e">
        <f t="shared" si="26"/>
        <v>#DIV/0!</v>
      </c>
      <c r="S23" s="7" t="e">
        <f t="shared" si="27"/>
        <v>#DIV/0!</v>
      </c>
    </row>
    <row r="24" spans="1:19">
      <c r="A24" s="3">
        <v>22</v>
      </c>
      <c r="B24" t="s">
        <v>270</v>
      </c>
      <c r="E24">
        <f t="shared" si="17"/>
        <v>0</v>
      </c>
      <c r="G24">
        <f t="shared" si="18"/>
        <v>0</v>
      </c>
      <c r="H24" s="5" t="e">
        <f t="shared" si="19"/>
        <v>#DIV/0!</v>
      </c>
      <c r="I24" s="30" t="e">
        <f t="shared" si="20"/>
        <v>#DIV/0!</v>
      </c>
      <c r="J24" s="6"/>
      <c r="K24" s="7"/>
      <c r="L24" s="7">
        <f t="shared" si="21"/>
        <v>0</v>
      </c>
      <c r="M24" s="7">
        <f t="shared" si="22"/>
        <v>0</v>
      </c>
      <c r="N24" s="7" t="e">
        <f t="shared" si="23"/>
        <v>#DIV/0!</v>
      </c>
      <c r="O24" s="7" t="e">
        <f t="shared" si="24"/>
        <v>#DIV/0!</v>
      </c>
      <c r="P24" s="8"/>
      <c r="Q24" s="7" t="e">
        <f t="shared" si="25"/>
        <v>#DIV/0!</v>
      </c>
      <c r="R24" s="7" t="e">
        <f t="shared" si="26"/>
        <v>#DIV/0!</v>
      </c>
      <c r="S24" s="7" t="e">
        <f t="shared" si="27"/>
        <v>#DIV/0!</v>
      </c>
    </row>
    <row r="25" spans="1:19">
      <c r="A25" s="3">
        <v>23</v>
      </c>
      <c r="B25" t="s">
        <v>271</v>
      </c>
      <c r="E25">
        <f t="shared" si="17"/>
        <v>0</v>
      </c>
      <c r="G25">
        <f t="shared" si="18"/>
        <v>0</v>
      </c>
      <c r="H25" s="5" t="e">
        <f t="shared" si="19"/>
        <v>#DIV/0!</v>
      </c>
      <c r="I25" s="30" t="e">
        <f t="shared" si="20"/>
        <v>#DIV/0!</v>
      </c>
      <c r="J25" s="6"/>
      <c r="K25" s="7"/>
      <c r="L25" s="7">
        <f t="shared" si="21"/>
        <v>0</v>
      </c>
      <c r="M25" s="7">
        <f t="shared" si="22"/>
        <v>0</v>
      </c>
      <c r="N25" s="7" t="e">
        <f t="shared" si="23"/>
        <v>#DIV/0!</v>
      </c>
      <c r="O25" s="7" t="e">
        <f t="shared" si="24"/>
        <v>#DIV/0!</v>
      </c>
      <c r="P25" s="8"/>
      <c r="Q25" s="7" t="e">
        <f t="shared" si="25"/>
        <v>#DIV/0!</v>
      </c>
      <c r="R25" s="7" t="e">
        <f t="shared" si="26"/>
        <v>#DIV/0!</v>
      </c>
      <c r="S25" s="7" t="e">
        <f t="shared" si="27"/>
        <v>#DIV/0!</v>
      </c>
    </row>
    <row r="26" spans="1:19">
      <c r="A26" s="3">
        <v>24</v>
      </c>
      <c r="B26" t="s">
        <v>272</v>
      </c>
      <c r="E26">
        <f t="shared" si="17"/>
        <v>0</v>
      </c>
      <c r="G26">
        <f t="shared" si="18"/>
        <v>0</v>
      </c>
      <c r="H26" s="5" t="e">
        <f t="shared" si="19"/>
        <v>#DIV/0!</v>
      </c>
      <c r="I26" s="30" t="e">
        <f t="shared" si="20"/>
        <v>#DIV/0!</v>
      </c>
      <c r="J26" s="6"/>
      <c r="K26" s="7"/>
      <c r="L26" s="7">
        <f t="shared" si="21"/>
        <v>0</v>
      </c>
      <c r="M26" s="7">
        <f t="shared" si="22"/>
        <v>0</v>
      </c>
      <c r="N26" s="7" t="e">
        <f t="shared" si="23"/>
        <v>#DIV/0!</v>
      </c>
      <c r="O26" s="7" t="e">
        <f t="shared" si="24"/>
        <v>#DIV/0!</v>
      </c>
      <c r="P26" s="8"/>
      <c r="Q26" s="7" t="e">
        <f t="shared" si="25"/>
        <v>#DIV/0!</v>
      </c>
      <c r="R26" s="7" t="e">
        <f t="shared" si="26"/>
        <v>#DIV/0!</v>
      </c>
      <c r="S26" s="7" t="e">
        <f t="shared" si="27"/>
        <v>#DIV/0!</v>
      </c>
    </row>
    <row r="27" spans="1:19">
      <c r="A27" s="3">
        <v>25</v>
      </c>
      <c r="B27" t="s">
        <v>273</v>
      </c>
      <c r="E27">
        <f t="shared" si="17"/>
        <v>0</v>
      </c>
      <c r="G27">
        <f t="shared" si="18"/>
        <v>0</v>
      </c>
      <c r="H27" s="5" t="e">
        <f t="shared" si="19"/>
        <v>#DIV/0!</v>
      </c>
      <c r="I27" s="30" t="e">
        <f t="shared" si="20"/>
        <v>#DIV/0!</v>
      </c>
      <c r="J27" s="6"/>
      <c r="K27" s="7"/>
      <c r="L27" s="7">
        <f t="shared" si="21"/>
        <v>0</v>
      </c>
      <c r="M27" s="7">
        <f t="shared" si="22"/>
        <v>0</v>
      </c>
      <c r="N27" s="7" t="e">
        <f t="shared" si="23"/>
        <v>#DIV/0!</v>
      </c>
      <c r="O27" s="7" t="e">
        <f t="shared" si="24"/>
        <v>#DIV/0!</v>
      </c>
      <c r="P27" s="8"/>
      <c r="Q27" s="7" t="e">
        <f t="shared" si="25"/>
        <v>#DIV/0!</v>
      </c>
      <c r="R27" s="7" t="e">
        <f t="shared" si="26"/>
        <v>#DIV/0!</v>
      </c>
      <c r="S27" s="7" t="e">
        <f t="shared" si="27"/>
        <v>#DIV/0!</v>
      </c>
    </row>
    <row r="28" spans="1:19">
      <c r="A28" s="3">
        <v>26</v>
      </c>
      <c r="B28" t="s">
        <v>274</v>
      </c>
      <c r="E28">
        <f t="shared" si="17"/>
        <v>0</v>
      </c>
      <c r="G28">
        <f t="shared" si="18"/>
        <v>0</v>
      </c>
      <c r="H28" s="5" t="e">
        <f t="shared" si="19"/>
        <v>#DIV/0!</v>
      </c>
      <c r="I28" s="30" t="e">
        <f t="shared" si="20"/>
        <v>#DIV/0!</v>
      </c>
      <c r="J28" s="6"/>
      <c r="K28" s="7"/>
      <c r="L28" s="7">
        <f t="shared" si="21"/>
        <v>0</v>
      </c>
      <c r="M28" s="7">
        <f t="shared" si="22"/>
        <v>0</v>
      </c>
      <c r="N28" s="7" t="e">
        <f t="shared" si="23"/>
        <v>#DIV/0!</v>
      </c>
      <c r="O28" s="7" t="e">
        <f t="shared" si="24"/>
        <v>#DIV/0!</v>
      </c>
      <c r="P28" s="8"/>
      <c r="Q28" s="7" t="e">
        <f t="shared" si="25"/>
        <v>#DIV/0!</v>
      </c>
      <c r="R28" s="7" t="e">
        <f t="shared" si="26"/>
        <v>#DIV/0!</v>
      </c>
      <c r="S28" s="7" t="e">
        <f t="shared" si="27"/>
        <v>#DIV/0!</v>
      </c>
    </row>
    <row r="29" spans="1:19">
      <c r="A29" s="3"/>
      <c r="H29" s="5"/>
      <c r="I29" s="30"/>
      <c r="J29" s="6"/>
      <c r="K29" s="7"/>
      <c r="L29" s="7"/>
      <c r="M29" s="7"/>
      <c r="N29" s="7"/>
      <c r="O29" s="7"/>
      <c r="P29" s="8"/>
      <c r="Q29" s="7"/>
      <c r="R29" s="7"/>
      <c r="S29" s="7"/>
    </row>
  </sheetData>
  <mergeCells count="19"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  <mergeCell ref="O1:O2"/>
    <mergeCell ref="P1:P2"/>
    <mergeCell ref="Q1:Q2"/>
    <mergeCell ref="R1:R2"/>
    <mergeCell ref="S1:S2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topLeftCell="A53" workbookViewId="0">
      <selection activeCell="S34" sqref="S34:W88"/>
    </sheetView>
  </sheetViews>
  <sheetFormatPr baseColWidth="10" defaultRowHeight="14" x14ac:dyDescent="0"/>
  <cols>
    <col min="2" max="2" width="30.33203125" bestFit="1" customWidth="1"/>
    <col min="3" max="3" width="28.5" bestFit="1" customWidth="1"/>
    <col min="4" max="4" width="9" customWidth="1"/>
    <col min="5" max="5" width="12.1640625" bestFit="1" customWidth="1"/>
    <col min="6" max="6" width="10.5" bestFit="1" customWidth="1"/>
    <col min="7" max="7" width="7.1640625" bestFit="1" customWidth="1"/>
    <col min="8" max="8" width="3.6640625" customWidth="1"/>
    <col min="9" max="9" width="5.6640625" customWidth="1"/>
    <col min="10" max="10" width="2.5" customWidth="1"/>
    <col min="11" max="11" width="4.33203125" customWidth="1"/>
    <col min="12" max="12" width="4.5" customWidth="1"/>
    <col min="13" max="13" width="5.1640625" customWidth="1"/>
    <col min="14" max="14" width="23.6640625" bestFit="1" customWidth="1"/>
    <col min="18" max="18" width="2.33203125" customWidth="1"/>
    <col min="19" max="19" width="16.1640625" bestFit="1" customWidth="1"/>
    <col min="20" max="20" width="7.5" customWidth="1"/>
    <col min="21" max="21" width="6.1640625" customWidth="1"/>
  </cols>
  <sheetData>
    <row r="1" spans="1:24">
      <c r="A1" s="240" t="s">
        <v>1</v>
      </c>
      <c r="B1" s="241"/>
      <c r="C1" s="9" t="s">
        <v>16</v>
      </c>
      <c r="D1" s="9" t="s">
        <v>18</v>
      </c>
      <c r="E1" s="9" t="s">
        <v>17</v>
      </c>
      <c r="F1" s="9" t="s">
        <v>18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24</v>
      </c>
      <c r="M1" s="11" t="s">
        <v>25</v>
      </c>
      <c r="N1" s="11" t="s">
        <v>26</v>
      </c>
      <c r="O1" s="11" t="s">
        <v>27</v>
      </c>
      <c r="P1" s="11" t="s">
        <v>28</v>
      </c>
      <c r="Q1" s="11" t="s">
        <v>29</v>
      </c>
      <c r="R1" s="12" t="s">
        <v>30</v>
      </c>
      <c r="S1" s="12" t="s">
        <v>31</v>
      </c>
      <c r="T1" s="12" t="s">
        <v>32</v>
      </c>
    </row>
    <row r="2" spans="1:24">
      <c r="A2" s="10"/>
      <c r="B2" s="10"/>
      <c r="C2" s="13"/>
      <c r="D2" s="13"/>
      <c r="E2" s="13"/>
      <c r="F2" s="13" t="s">
        <v>33</v>
      </c>
      <c r="G2" s="13" t="s">
        <v>34</v>
      </c>
      <c r="H2" s="13" t="s">
        <v>35</v>
      </c>
      <c r="I2" s="13"/>
      <c r="J2" s="14"/>
      <c r="K2" s="14" t="s">
        <v>36</v>
      </c>
      <c r="L2" s="14" t="s">
        <v>37</v>
      </c>
      <c r="M2" s="14" t="s">
        <v>37</v>
      </c>
      <c r="N2" s="14" t="s">
        <v>36</v>
      </c>
      <c r="O2" s="14" t="s">
        <v>38</v>
      </c>
      <c r="P2" s="14"/>
      <c r="Q2" s="15"/>
      <c r="R2" s="16"/>
      <c r="S2" s="16"/>
      <c r="T2" s="16"/>
    </row>
    <row r="3" spans="1:24" ht="15" thickBot="1">
      <c r="A3" s="10"/>
      <c r="B3" s="10"/>
      <c r="C3" s="17" t="s">
        <v>39</v>
      </c>
      <c r="D3" s="17" t="s">
        <v>40</v>
      </c>
      <c r="E3" s="17" t="s">
        <v>39</v>
      </c>
      <c r="F3" s="17" t="s">
        <v>40</v>
      </c>
      <c r="G3" s="18" t="s">
        <v>39</v>
      </c>
      <c r="H3" s="18" t="s">
        <v>41</v>
      </c>
      <c r="I3" s="18" t="s">
        <v>42</v>
      </c>
      <c r="J3" s="18" t="s">
        <v>39</v>
      </c>
      <c r="K3" s="18" t="s">
        <v>39</v>
      </c>
      <c r="L3" s="18" t="s">
        <v>39</v>
      </c>
      <c r="M3" s="18" t="s">
        <v>39</v>
      </c>
      <c r="N3" s="18" t="s">
        <v>39</v>
      </c>
      <c r="O3" s="18" t="s">
        <v>39</v>
      </c>
      <c r="P3" s="18"/>
      <c r="Q3" s="18"/>
      <c r="R3" s="12" t="s">
        <v>42</v>
      </c>
      <c r="S3" s="12" t="s">
        <v>39</v>
      </c>
      <c r="T3" s="12" t="s">
        <v>39</v>
      </c>
      <c r="U3" s="12" t="s">
        <v>129</v>
      </c>
      <c r="X3" t="s">
        <v>123</v>
      </c>
    </row>
    <row r="4" spans="1:24" ht="15" thickTop="1">
      <c r="A4" s="10"/>
      <c r="B4" s="19"/>
      <c r="C4" s="20"/>
      <c r="D4" s="20"/>
      <c r="E4" s="20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  <c r="W4">
        <v>15.6</v>
      </c>
      <c r="X4" s="7">
        <f t="shared" ref="X4:X9" si="0">W4*I5</f>
        <v>15.46826666666667</v>
      </c>
    </row>
    <row r="5" spans="1:24">
      <c r="A5" s="10">
        <v>1</v>
      </c>
      <c r="B5" s="29" t="s">
        <v>165</v>
      </c>
      <c r="C5">
        <v>13.519</v>
      </c>
      <c r="D5">
        <f>F5-C5</f>
        <v>4.4620000000000015</v>
      </c>
      <c r="E5" s="26">
        <v>4.5</v>
      </c>
      <c r="F5">
        <v>17.981000000000002</v>
      </c>
      <c r="G5" s="26">
        <f>E5-(F5-C5)</f>
        <v>3.7999999999998479E-2</v>
      </c>
      <c r="H5" s="93">
        <f>G5/E5</f>
        <v>8.4444444444441071E-3</v>
      </c>
      <c r="I5" s="92">
        <f>D5/E5</f>
        <v>0.99155555555555586</v>
      </c>
      <c r="J5" s="23">
        <v>10.441000000000001</v>
      </c>
      <c r="K5" s="25">
        <v>25.553000000000001</v>
      </c>
      <c r="L5" s="23">
        <v>15.112</v>
      </c>
      <c r="M5" s="25">
        <f>I5*L5</f>
        <v>14.984387555555561</v>
      </c>
      <c r="N5" s="10">
        <v>31.21</v>
      </c>
      <c r="O5" s="23">
        <f t="shared" ref="O5:O12" si="1">N5-J5</f>
        <v>20.768999999999998</v>
      </c>
      <c r="P5" s="24">
        <f t="shared" ref="P5:P12" si="2">(L5-M5)/(O5-M5)</f>
        <v>2.2060673151405152E-2</v>
      </c>
      <c r="Q5" s="26">
        <f>(((O5-M5)*0.6)+M5)/L5</f>
        <v>1.2212251867537203</v>
      </c>
      <c r="R5" s="10"/>
      <c r="S5" s="236">
        <v>15.61</v>
      </c>
      <c r="T5" s="138">
        <f t="shared" ref="T5:T12" si="3">S5*(Q5-1)</f>
        <v>3.4533251652255732</v>
      </c>
      <c r="U5">
        <v>1</v>
      </c>
      <c r="V5" s="7"/>
      <c r="W5">
        <v>15.8</v>
      </c>
      <c r="X5" s="7">
        <f t="shared" si="0"/>
        <v>15.705695100721215</v>
      </c>
    </row>
    <row r="6" spans="1:24">
      <c r="A6" s="101">
        <v>2</v>
      </c>
      <c r="B6" s="29" t="s">
        <v>166</v>
      </c>
      <c r="C6">
        <v>13.622</v>
      </c>
      <c r="D6">
        <f t="shared" ref="D6:D16" si="4">F6-C6</f>
        <v>3.9969999999999999</v>
      </c>
      <c r="E6" s="26">
        <v>4.0209999999999999</v>
      </c>
      <c r="F6">
        <v>17.619</v>
      </c>
      <c r="G6" s="26">
        <f t="shared" ref="G6:G16" si="5">E6-(F6-C6)</f>
        <v>2.4000000000000021E-2</v>
      </c>
      <c r="H6" s="93">
        <f t="shared" ref="H6:H16" si="6">G6/E6</f>
        <v>5.9686645113155986E-3</v>
      </c>
      <c r="I6" s="92">
        <f t="shared" ref="I6:I16" si="7">D6/E6</f>
        <v>0.99403133548868439</v>
      </c>
      <c r="J6" s="23">
        <v>10.571</v>
      </c>
      <c r="K6" s="25">
        <v>21.492999999999999</v>
      </c>
      <c r="L6" s="23">
        <v>10.923</v>
      </c>
      <c r="M6" s="25">
        <f t="shared" ref="M6:M11" si="8">I6*L6</f>
        <v>10.8578042775429</v>
      </c>
      <c r="N6" s="10">
        <v>25.045000000000002</v>
      </c>
      <c r="O6" s="23">
        <f t="shared" si="1"/>
        <v>14.474000000000002</v>
      </c>
      <c r="P6" s="24">
        <f t="shared" si="2"/>
        <v>1.8028814660728861E-2</v>
      </c>
      <c r="Q6" s="26">
        <f t="shared" ref="Q6:Q12" si="9">(((O6-M6)*0.6)+M6)/L6</f>
        <v>1.1926688374088767</v>
      </c>
      <c r="R6" s="10"/>
      <c r="S6" s="236">
        <v>15.8</v>
      </c>
      <c r="T6" s="138">
        <f t="shared" si="3"/>
        <v>3.0441676310602528</v>
      </c>
      <c r="U6">
        <v>2</v>
      </c>
      <c r="V6" s="7"/>
      <c r="W6">
        <v>15.5</v>
      </c>
      <c r="X6" s="7">
        <f t="shared" si="0"/>
        <v>15.389799072642974</v>
      </c>
    </row>
    <row r="7" spans="1:24">
      <c r="A7" s="101">
        <v>3</v>
      </c>
      <c r="B7" s="29" t="s">
        <v>167</v>
      </c>
      <c r="C7">
        <v>13.615</v>
      </c>
      <c r="D7">
        <f t="shared" si="4"/>
        <v>3.2120000000000015</v>
      </c>
      <c r="E7" s="26">
        <v>3.2349999999999999</v>
      </c>
      <c r="F7">
        <v>16.827000000000002</v>
      </c>
      <c r="G7" s="26">
        <f t="shared" si="5"/>
        <v>2.2999999999998355E-2</v>
      </c>
      <c r="H7" s="93">
        <f t="shared" si="6"/>
        <v>7.1097372488402952E-3</v>
      </c>
      <c r="I7" s="92">
        <f t="shared" si="7"/>
        <v>0.99289026275115966</v>
      </c>
      <c r="J7" s="23">
        <v>10.59</v>
      </c>
      <c r="K7" s="25">
        <v>21.39</v>
      </c>
      <c r="L7" s="23">
        <v>10.801</v>
      </c>
      <c r="M7" s="25">
        <f t="shared" si="8"/>
        <v>10.724207727975276</v>
      </c>
      <c r="N7" s="10">
        <v>24.725000000000001</v>
      </c>
      <c r="O7" s="23">
        <f t="shared" si="1"/>
        <v>14.135000000000002</v>
      </c>
      <c r="P7" s="24">
        <f t="shared" si="2"/>
        <v>2.2514496896974073E-2</v>
      </c>
      <c r="Q7" s="26">
        <f t="shared" si="9"/>
        <v>1.1823611787047599</v>
      </c>
      <c r="R7" s="19"/>
      <c r="S7" s="236">
        <v>15.54</v>
      </c>
      <c r="T7" s="138">
        <f t="shared" si="3"/>
        <v>2.8338927170719681</v>
      </c>
      <c r="U7">
        <v>3</v>
      </c>
      <c r="V7" s="7"/>
      <c r="W7">
        <v>15.4</v>
      </c>
      <c r="X7" s="7">
        <f t="shared" si="0"/>
        <v>15.173960315303081</v>
      </c>
    </row>
    <row r="8" spans="1:24">
      <c r="A8" s="101">
        <v>4</v>
      </c>
      <c r="B8" s="29" t="s">
        <v>168</v>
      </c>
      <c r="C8">
        <v>13.712999999999999</v>
      </c>
      <c r="D8">
        <f t="shared" si="4"/>
        <v>3.6250000000000018</v>
      </c>
      <c r="E8" s="26">
        <v>3.6789999999999998</v>
      </c>
      <c r="F8">
        <v>17.338000000000001</v>
      </c>
      <c r="G8" s="26">
        <f t="shared" si="5"/>
        <v>5.399999999999805E-2</v>
      </c>
      <c r="H8" s="93">
        <f t="shared" si="6"/>
        <v>1.4677901603696128E-2</v>
      </c>
      <c r="I8" s="92">
        <f t="shared" si="7"/>
        <v>0.98532209839630391</v>
      </c>
      <c r="J8" s="23">
        <v>10.593999999999999</v>
      </c>
      <c r="K8" s="25">
        <v>21.02</v>
      </c>
      <c r="L8" s="23">
        <v>10.426</v>
      </c>
      <c r="M8" s="25">
        <f t="shared" si="8"/>
        <v>10.272968197879864</v>
      </c>
      <c r="N8" s="10">
        <v>25.975999999999999</v>
      </c>
      <c r="O8" s="23">
        <f t="shared" si="1"/>
        <v>15.382</v>
      </c>
      <c r="P8" s="24">
        <f t="shared" si="2"/>
        <v>2.9953190359204886E-2</v>
      </c>
      <c r="Q8" s="26">
        <f t="shared" si="9"/>
        <v>1.2793388911521144</v>
      </c>
      <c r="R8" s="10"/>
      <c r="S8" s="236">
        <v>15.46</v>
      </c>
      <c r="T8" s="138">
        <f t="shared" si="3"/>
        <v>4.318579257211689</v>
      </c>
      <c r="U8">
        <v>4</v>
      </c>
      <c r="V8" s="7"/>
      <c r="W8">
        <v>15.3</v>
      </c>
      <c r="X8" s="7">
        <f t="shared" si="0"/>
        <v>15.115135135135132</v>
      </c>
    </row>
    <row r="9" spans="1:24">
      <c r="A9" s="101">
        <v>5</v>
      </c>
      <c r="B9" s="29" t="s">
        <v>169</v>
      </c>
      <c r="C9">
        <v>13.741</v>
      </c>
      <c r="D9">
        <f t="shared" si="4"/>
        <v>3.1069999999999993</v>
      </c>
      <c r="E9" s="26">
        <v>3.145</v>
      </c>
      <c r="F9">
        <v>16.847999999999999</v>
      </c>
      <c r="G9" s="26">
        <f t="shared" si="5"/>
        <v>3.80000000000007E-2</v>
      </c>
      <c r="H9" s="93">
        <f t="shared" si="6"/>
        <v>1.208267090620054E-2</v>
      </c>
      <c r="I9" s="92">
        <f t="shared" si="7"/>
        <v>0.98791732909379948</v>
      </c>
      <c r="J9" s="23">
        <v>10.689</v>
      </c>
      <c r="K9" s="25">
        <v>21.114000000000001</v>
      </c>
      <c r="L9" s="23">
        <v>10.425000000000001</v>
      </c>
      <c r="M9" s="25">
        <f t="shared" si="8"/>
        <v>10.29903815580286</v>
      </c>
      <c r="N9" s="10">
        <v>25.524000000000001</v>
      </c>
      <c r="O9" s="23">
        <f t="shared" si="1"/>
        <v>14.835000000000001</v>
      </c>
      <c r="P9" s="24">
        <f t="shared" si="2"/>
        <v>2.7769599596232035E-2</v>
      </c>
      <c r="Q9" s="26">
        <f t="shared" si="9"/>
        <v>1.2489798812778075</v>
      </c>
      <c r="R9" s="10"/>
      <c r="S9" s="236">
        <v>15.31</v>
      </c>
      <c r="T9" s="138">
        <f t="shared" si="3"/>
        <v>3.8118819823632322</v>
      </c>
      <c r="U9">
        <v>5</v>
      </c>
      <c r="V9" s="7"/>
      <c r="W9">
        <v>15.3</v>
      </c>
      <c r="X9" s="7">
        <f t="shared" si="0"/>
        <v>15.153926701570688</v>
      </c>
    </row>
    <row r="10" spans="1:24">
      <c r="A10" s="101">
        <v>6</v>
      </c>
      <c r="B10" s="29" t="s">
        <v>170</v>
      </c>
      <c r="C10">
        <v>13.667999999999999</v>
      </c>
      <c r="D10">
        <f t="shared" si="4"/>
        <v>3.2160000000000011</v>
      </c>
      <c r="E10" s="26">
        <v>3.2469999999999999</v>
      </c>
      <c r="F10">
        <v>16.884</v>
      </c>
      <c r="G10" s="26">
        <f t="shared" si="5"/>
        <v>3.0999999999998806E-2</v>
      </c>
      <c r="H10" s="93">
        <f t="shared" si="6"/>
        <v>9.5472744071446892E-3</v>
      </c>
      <c r="I10" s="92">
        <f t="shared" si="7"/>
        <v>0.99045272559285535</v>
      </c>
      <c r="J10" s="23">
        <v>10.622999999999999</v>
      </c>
      <c r="K10" s="25">
        <v>20.8</v>
      </c>
      <c r="L10" s="23">
        <v>10.175000000000001</v>
      </c>
      <c r="M10" s="25">
        <f t="shared" si="8"/>
        <v>10.077856482907304</v>
      </c>
      <c r="N10" s="10">
        <v>25.132000000000001</v>
      </c>
      <c r="O10" s="23">
        <f t="shared" si="1"/>
        <v>14.509000000000002</v>
      </c>
      <c r="P10" s="24">
        <f t="shared" si="2"/>
        <v>2.1922900199006223E-2</v>
      </c>
      <c r="Q10" s="26">
        <f t="shared" si="9"/>
        <v>1.2517486578047099</v>
      </c>
      <c r="R10" s="10"/>
      <c r="S10" s="236">
        <v>15.31</v>
      </c>
      <c r="T10" s="138">
        <f t="shared" si="3"/>
        <v>3.8542719509901087</v>
      </c>
      <c r="U10">
        <v>6</v>
      </c>
      <c r="V10" s="7"/>
      <c r="X10" s="29"/>
    </row>
    <row r="11" spans="1:24">
      <c r="A11" s="101">
        <v>7</v>
      </c>
      <c r="B11" s="29" t="s">
        <v>171</v>
      </c>
      <c r="C11">
        <v>13.819000000000001</v>
      </c>
      <c r="D11">
        <f t="shared" si="4"/>
        <v>2.900999999999998</v>
      </c>
      <c r="E11" s="26">
        <v>2.9369999999999998</v>
      </c>
      <c r="F11">
        <v>16.72</v>
      </c>
      <c r="G11" s="26">
        <f t="shared" si="5"/>
        <v>3.6000000000001808E-2</v>
      </c>
      <c r="H11" s="93">
        <f t="shared" si="6"/>
        <v>1.2257405515833099E-2</v>
      </c>
      <c r="I11" s="92">
        <f t="shared" si="7"/>
        <v>0.9877425944841669</v>
      </c>
      <c r="J11" s="10">
        <v>10.673</v>
      </c>
      <c r="K11" s="23">
        <v>21.379000000000001</v>
      </c>
      <c r="L11" s="10">
        <v>10.706</v>
      </c>
      <c r="M11" s="25">
        <f t="shared" si="8"/>
        <v>10.57477221654749</v>
      </c>
      <c r="N11" s="19">
        <v>28.050999999999998</v>
      </c>
      <c r="O11" s="23">
        <f t="shared" si="1"/>
        <v>17.378</v>
      </c>
      <c r="P11" s="24">
        <f t="shared" si="2"/>
        <v>1.9289047438878115E-2</v>
      </c>
      <c r="Q11" s="26">
        <f t="shared" si="9"/>
        <v>1.3690182034951426</v>
      </c>
      <c r="R11" s="10"/>
      <c r="S11" s="236">
        <v>15.46</v>
      </c>
      <c r="T11" s="138">
        <f t="shared" si="3"/>
        <v>5.7050214260349046</v>
      </c>
      <c r="U11">
        <v>7</v>
      </c>
      <c r="V11" s="7"/>
      <c r="W11" s="4"/>
      <c r="X11" s="29"/>
    </row>
    <row r="12" spans="1:24">
      <c r="A12" s="101">
        <v>8</v>
      </c>
      <c r="B12" s="29" t="s">
        <v>172</v>
      </c>
      <c r="C12">
        <v>13.821</v>
      </c>
      <c r="D12">
        <f t="shared" si="4"/>
        <v>3.288000000000002</v>
      </c>
      <c r="E12" s="26">
        <v>3.34</v>
      </c>
      <c r="F12">
        <v>17.109000000000002</v>
      </c>
      <c r="G12" s="26">
        <f t="shared" si="5"/>
        <v>5.1999999999997826E-2</v>
      </c>
      <c r="H12" s="93">
        <f t="shared" si="6"/>
        <v>1.5568862275448452E-2</v>
      </c>
      <c r="I12" s="92">
        <f t="shared" si="7"/>
        <v>0.9844311377245516</v>
      </c>
      <c r="J12" s="19">
        <v>10.634</v>
      </c>
      <c r="K12" s="23">
        <v>21.286000000000001</v>
      </c>
      <c r="L12" s="19">
        <v>10.651</v>
      </c>
      <c r="M12" s="25">
        <f>I12*L12</f>
        <v>10.485176047904199</v>
      </c>
      <c r="N12" s="19">
        <v>28.597999999999999</v>
      </c>
      <c r="O12" s="23">
        <f t="shared" si="1"/>
        <v>17.963999999999999</v>
      </c>
      <c r="P12" s="24">
        <f t="shared" si="2"/>
        <v>2.2172463633046459E-2</v>
      </c>
      <c r="Q12" s="26">
        <f t="shared" si="9"/>
        <v>1.4057337732759063</v>
      </c>
      <c r="R12" s="19"/>
      <c r="S12" s="236">
        <v>15.53</v>
      </c>
      <c r="T12" s="138">
        <f t="shared" si="3"/>
        <v>6.3010454989748252</v>
      </c>
      <c r="U12">
        <v>8</v>
      </c>
      <c r="V12" s="7"/>
      <c r="W12" s="4"/>
      <c r="X12" s="29"/>
    </row>
    <row r="13" spans="1:24">
      <c r="A13" s="101">
        <v>9</v>
      </c>
      <c r="B13" s="29" t="s">
        <v>173</v>
      </c>
      <c r="C13">
        <v>13.762</v>
      </c>
      <c r="D13">
        <f t="shared" si="4"/>
        <v>3.4450000000000003</v>
      </c>
      <c r="E13" s="26">
        <v>3.476</v>
      </c>
      <c r="F13">
        <v>17.207000000000001</v>
      </c>
      <c r="G13" s="26">
        <f t="shared" si="5"/>
        <v>3.0999999999999694E-2</v>
      </c>
      <c r="H13" s="93">
        <f t="shared" si="6"/>
        <v>8.9182968929803503E-3</v>
      </c>
      <c r="I13" s="92">
        <f t="shared" si="7"/>
        <v>0.9910817031070196</v>
      </c>
      <c r="J13" s="23">
        <v>10.689</v>
      </c>
      <c r="K13" s="23">
        <v>22.774999999999999</v>
      </c>
      <c r="L13" s="23">
        <v>12.09</v>
      </c>
      <c r="M13" s="23">
        <f>I13*L13</f>
        <v>11.982177790563867</v>
      </c>
      <c r="N13" s="19">
        <v>28.166</v>
      </c>
      <c r="O13" s="23">
        <f>N13-J13</f>
        <v>17.477</v>
      </c>
      <c r="P13" s="24">
        <f>(L13-M13)/(O13-M13)</f>
        <v>1.9622511034291943E-2</v>
      </c>
      <c r="Q13" s="26">
        <f>(((O13-M13)*0.6)+M13)/L13</f>
        <v>1.2637775943941727</v>
      </c>
      <c r="R13" s="27"/>
      <c r="S13" s="236">
        <v>15.42</v>
      </c>
      <c r="T13" s="138">
        <f>S13*(Q13-1)</f>
        <v>4.0674505055581429</v>
      </c>
      <c r="U13">
        <v>9</v>
      </c>
      <c r="V13" s="7"/>
      <c r="W13" s="4"/>
      <c r="X13" s="29"/>
    </row>
    <row r="14" spans="1:24">
      <c r="A14" s="101">
        <v>10</v>
      </c>
      <c r="B14" s="29" t="s">
        <v>174</v>
      </c>
      <c r="C14">
        <v>13.648999999999999</v>
      </c>
      <c r="D14">
        <f t="shared" si="4"/>
        <v>3.0400000000000009</v>
      </c>
      <c r="E14" s="26">
        <v>3.1480000000000001</v>
      </c>
      <c r="F14">
        <v>16.689</v>
      </c>
      <c r="G14" s="26">
        <f t="shared" si="5"/>
        <v>0.10799999999999921</v>
      </c>
      <c r="H14" s="93">
        <f t="shared" si="6"/>
        <v>3.430749682337967E-2</v>
      </c>
      <c r="I14" s="92">
        <f t="shared" si="7"/>
        <v>0.96569250317662036</v>
      </c>
      <c r="J14" s="25">
        <v>10.507999999999999</v>
      </c>
      <c r="K14" s="23">
        <v>21.895</v>
      </c>
      <c r="L14" s="23">
        <v>11.385</v>
      </c>
      <c r="M14" s="23">
        <f>I14*L14</f>
        <v>10.994409148665822</v>
      </c>
      <c r="N14" s="19">
        <v>28.456</v>
      </c>
      <c r="O14" s="23">
        <f>N14-J14</f>
        <v>17.948</v>
      </c>
      <c r="P14" s="24">
        <f>(L14-M14)/(O14-M14)</f>
        <v>5.6171100613323484E-2</v>
      </c>
      <c r="Q14" s="26">
        <f>(((O14-M14)*0.6)+M14)/L14</f>
        <v>1.3321531541033227</v>
      </c>
      <c r="R14" s="27"/>
      <c r="S14" s="236">
        <v>15.36</v>
      </c>
      <c r="T14" s="138">
        <f>S14*(Q14-1)</f>
        <v>5.101872447027036</v>
      </c>
      <c r="U14">
        <v>10</v>
      </c>
      <c r="V14" s="7"/>
      <c r="X14" s="29"/>
    </row>
    <row r="15" spans="1:24">
      <c r="A15" s="101">
        <v>11</v>
      </c>
      <c r="B15" s="29" t="s">
        <v>175</v>
      </c>
      <c r="C15">
        <v>13.534000000000001</v>
      </c>
      <c r="D15">
        <f t="shared" si="4"/>
        <v>3.7829999999999995</v>
      </c>
      <c r="E15" s="26">
        <v>3.9119999999999999</v>
      </c>
      <c r="F15">
        <v>17.317</v>
      </c>
      <c r="G15" s="26">
        <f t="shared" si="5"/>
        <v>0.12900000000000045</v>
      </c>
      <c r="H15" s="93">
        <f t="shared" si="6"/>
        <v>3.2975460122699501E-2</v>
      </c>
      <c r="I15" s="92">
        <f t="shared" si="7"/>
        <v>0.96702453987730053</v>
      </c>
      <c r="J15" s="28">
        <v>10.371</v>
      </c>
      <c r="K15" s="23">
        <v>21.901</v>
      </c>
      <c r="L15" s="23">
        <v>11.529</v>
      </c>
      <c r="M15" s="23">
        <f>I15*L15</f>
        <v>11.148825920245399</v>
      </c>
      <c r="N15" s="19">
        <v>31.03</v>
      </c>
      <c r="O15" s="23">
        <f>N15-J15</f>
        <v>20.658999999999999</v>
      </c>
      <c r="P15" s="24">
        <f t="shared" ref="P15" si="10">(L15-M15)/(O15-M15)</f>
        <v>3.9975512179521673E-2</v>
      </c>
      <c r="Q15" s="26">
        <f>(((O15-M15)*0.6)+M15)/L15</f>
        <v>1.4619594386415264</v>
      </c>
      <c r="R15" s="27"/>
      <c r="S15" s="236">
        <v>15.43</v>
      </c>
      <c r="T15" s="138">
        <f>S15*(Q15-1)</f>
        <v>7.1280341382387533</v>
      </c>
      <c r="U15">
        <v>11</v>
      </c>
      <c r="V15" s="7"/>
      <c r="X15" s="29"/>
    </row>
    <row r="16" spans="1:24">
      <c r="A16" s="101">
        <v>12</v>
      </c>
      <c r="B16" s="29" t="s">
        <v>176</v>
      </c>
      <c r="C16">
        <v>13.595000000000001</v>
      </c>
      <c r="D16">
        <f t="shared" si="4"/>
        <v>2.8729999999999993</v>
      </c>
      <c r="E16" s="26">
        <v>2.9670000000000001</v>
      </c>
      <c r="F16">
        <v>16.468</v>
      </c>
      <c r="G16" s="26">
        <f t="shared" si="5"/>
        <v>9.400000000000075E-2</v>
      </c>
      <c r="H16" s="93">
        <f t="shared" si="6"/>
        <v>3.1681833501853975E-2</v>
      </c>
      <c r="I16" s="92">
        <f t="shared" si="7"/>
        <v>0.96831816649814606</v>
      </c>
      <c r="J16" s="28">
        <v>10.426</v>
      </c>
      <c r="K16" s="23">
        <v>26.603000000000002</v>
      </c>
      <c r="L16" s="23">
        <v>16.18</v>
      </c>
      <c r="M16" s="23">
        <f t="shared" ref="M16" si="11">I16*L16</f>
        <v>15.667387933940002</v>
      </c>
      <c r="N16" s="19">
        <v>36.6</v>
      </c>
      <c r="O16" s="23">
        <f t="shared" ref="O16" si="12">N16-J16</f>
        <v>26.173999999999999</v>
      </c>
      <c r="P16" s="24">
        <f>(L16-M16)/(O16-M16)</f>
        <v>4.8789473032502285E-2</v>
      </c>
      <c r="Q16" s="26">
        <f t="shared" ref="Q16" si="13">(((O16-M16)*0.6)+M16)/L16</f>
        <v>1.3579329526313968</v>
      </c>
      <c r="R16" s="27"/>
      <c r="S16" s="236">
        <v>15.83</v>
      </c>
      <c r="T16" s="138">
        <f t="shared" ref="T16" si="14">S16*(Q16-1)</f>
        <v>5.6660786401550114</v>
      </c>
      <c r="U16">
        <v>12</v>
      </c>
      <c r="V16" s="7"/>
      <c r="X16" s="29"/>
    </row>
    <row r="17" spans="1:22">
      <c r="A17" s="101">
        <v>13</v>
      </c>
      <c r="B17" t="s">
        <v>177</v>
      </c>
      <c r="C17">
        <v>13.618</v>
      </c>
      <c r="D17">
        <f t="shared" ref="D17:D31" si="15">F17-C17</f>
        <v>3.0789999999999988</v>
      </c>
      <c r="E17" s="26">
        <v>3.1850000000000001</v>
      </c>
      <c r="F17">
        <v>16.696999999999999</v>
      </c>
      <c r="G17" s="26">
        <f t="shared" ref="G17:G31" si="16">E17-(F17-C17)</f>
        <v>0.1060000000000012</v>
      </c>
      <c r="H17" s="93">
        <f t="shared" ref="H17:H31" si="17">G17/E17</f>
        <v>3.3281004709576519E-2</v>
      </c>
      <c r="I17" s="92">
        <f t="shared" ref="I17:I31" si="18">D17/E17</f>
        <v>0.96671899529042349</v>
      </c>
      <c r="J17" s="28">
        <v>10.551</v>
      </c>
      <c r="K17" s="23">
        <v>22.698</v>
      </c>
      <c r="L17" s="23">
        <v>12.146000000000001</v>
      </c>
      <c r="M17" s="23">
        <f t="shared" ref="M17:M31" si="19">I17*L17</f>
        <v>11.741768916797485</v>
      </c>
      <c r="N17" s="19">
        <v>32.162999999999997</v>
      </c>
      <c r="O17" s="23">
        <f t="shared" ref="O17:O31" si="20">N17-J17</f>
        <v>21.611999999999995</v>
      </c>
      <c r="P17" s="24">
        <f t="shared" ref="P17:P31" si="21">(L17-M17)/(O17-M17)</f>
        <v>4.0954571356535942E-2</v>
      </c>
      <c r="Q17" s="26">
        <f t="shared" ref="Q17:Q31" si="22">(((O17-M17)*0.6)+M17)/L17</f>
        <v>1.4542983341609574</v>
      </c>
      <c r="R17" s="27"/>
      <c r="S17" s="236">
        <v>15.01</v>
      </c>
      <c r="T17" s="138">
        <f t="shared" ref="T17:T31" si="23">S17*(Q17-1)</f>
        <v>6.8190179957559707</v>
      </c>
      <c r="U17">
        <v>13</v>
      </c>
      <c r="V17" s="7"/>
    </row>
    <row r="18" spans="1:22">
      <c r="A18" s="101">
        <v>14</v>
      </c>
      <c r="B18" t="s">
        <v>178</v>
      </c>
      <c r="C18">
        <v>13.688000000000001</v>
      </c>
      <c r="D18">
        <f t="shared" si="15"/>
        <v>3.4990000000000006</v>
      </c>
      <c r="E18" s="26">
        <v>3.6360000000000001</v>
      </c>
      <c r="F18">
        <v>17.187000000000001</v>
      </c>
      <c r="G18" s="26">
        <f t="shared" si="16"/>
        <v>0.13699999999999957</v>
      </c>
      <c r="H18" s="93">
        <f t="shared" si="17"/>
        <v>3.7678767876787561E-2</v>
      </c>
      <c r="I18" s="92">
        <f t="shared" si="18"/>
        <v>0.96232123212321241</v>
      </c>
      <c r="J18" s="28">
        <v>10.503</v>
      </c>
      <c r="K18" s="23">
        <v>22.635999999999999</v>
      </c>
      <c r="L18" s="23">
        <v>12.132999999999999</v>
      </c>
      <c r="M18" s="23">
        <f t="shared" si="19"/>
        <v>11.675843509350935</v>
      </c>
      <c r="N18" s="19">
        <v>31.744</v>
      </c>
      <c r="O18" s="23">
        <f t="shared" si="20"/>
        <v>21.241</v>
      </c>
      <c r="P18" s="24">
        <f t="shared" si="21"/>
        <v>4.7793937411895138E-2</v>
      </c>
      <c r="Q18" s="26">
        <f t="shared" si="22"/>
        <v>1.4353364710904455</v>
      </c>
      <c r="R18" s="27"/>
      <c r="S18" s="236">
        <v>14.92</v>
      </c>
      <c r="T18" s="138">
        <f t="shared" si="23"/>
        <v>6.4952201486694463</v>
      </c>
      <c r="U18">
        <v>14</v>
      </c>
      <c r="V18" s="7"/>
    </row>
    <row r="19" spans="1:22">
      <c r="A19" s="101">
        <v>15</v>
      </c>
      <c r="B19" t="s">
        <v>179</v>
      </c>
      <c r="C19">
        <v>13.763</v>
      </c>
      <c r="D19">
        <f t="shared" si="15"/>
        <v>3.5029999999999983</v>
      </c>
      <c r="E19" s="26">
        <v>3.657</v>
      </c>
      <c r="F19">
        <v>17.265999999999998</v>
      </c>
      <c r="G19" s="26">
        <f t="shared" si="16"/>
        <v>0.15400000000000169</v>
      </c>
      <c r="H19" s="93">
        <f t="shared" si="17"/>
        <v>4.2111019961717719E-2</v>
      </c>
      <c r="I19" s="92">
        <f t="shared" si="18"/>
        <v>0.95788898003828227</v>
      </c>
      <c r="J19" s="28">
        <v>10.403</v>
      </c>
      <c r="K19" s="23">
        <v>24.148</v>
      </c>
      <c r="L19" s="23">
        <v>13.744999999999999</v>
      </c>
      <c r="M19" s="23">
        <f t="shared" si="19"/>
        <v>13.166184030626189</v>
      </c>
      <c r="N19" s="19">
        <v>34.186</v>
      </c>
      <c r="O19" s="23">
        <f t="shared" si="20"/>
        <v>23.783000000000001</v>
      </c>
      <c r="P19" s="24">
        <f t="shared" si="21"/>
        <v>5.4518790854387315E-2</v>
      </c>
      <c r="Q19" s="26">
        <f t="shared" si="22"/>
        <v>1.4213367487995983</v>
      </c>
      <c r="R19" s="27"/>
      <c r="S19" s="236">
        <v>15.6</v>
      </c>
      <c r="T19" s="138">
        <f t="shared" si="23"/>
        <v>6.5728532812737326</v>
      </c>
      <c r="U19">
        <v>15</v>
      </c>
      <c r="V19" s="7"/>
    </row>
    <row r="20" spans="1:22">
      <c r="A20" s="101">
        <v>16</v>
      </c>
      <c r="B20" t="s">
        <v>180</v>
      </c>
      <c r="C20">
        <v>13.488</v>
      </c>
      <c r="D20">
        <f t="shared" si="15"/>
        <v>2.963000000000001</v>
      </c>
      <c r="E20" s="26">
        <v>3.0510000000000002</v>
      </c>
      <c r="F20">
        <v>16.451000000000001</v>
      </c>
      <c r="G20" s="26">
        <f t="shared" si="16"/>
        <v>8.799999999999919E-2</v>
      </c>
      <c r="H20" s="93">
        <f t="shared" si="17"/>
        <v>2.884300229432946E-2</v>
      </c>
      <c r="I20" s="92">
        <f t="shared" si="18"/>
        <v>0.97115699770567054</v>
      </c>
      <c r="J20" s="28">
        <v>10.417999999999999</v>
      </c>
      <c r="K20" s="23">
        <v>20.864999999999998</v>
      </c>
      <c r="L20" s="23">
        <v>10.547000000000001</v>
      </c>
      <c r="M20" s="23">
        <f t="shared" si="19"/>
        <v>10.242792854801708</v>
      </c>
      <c r="N20" s="19">
        <v>28.393999999999998</v>
      </c>
      <c r="O20" s="23">
        <f t="shared" si="20"/>
        <v>17.975999999999999</v>
      </c>
      <c r="P20" s="24">
        <f t="shared" si="21"/>
        <v>3.9337772736009136E-2</v>
      </c>
      <c r="Q20" s="26">
        <f t="shared" si="22"/>
        <v>1.411085345778011</v>
      </c>
      <c r="R20" s="27"/>
      <c r="S20" s="236">
        <v>15.6</v>
      </c>
      <c r="T20" s="138">
        <f t="shared" si="23"/>
        <v>6.4129313941369723</v>
      </c>
      <c r="U20">
        <v>16</v>
      </c>
      <c r="V20" s="7"/>
    </row>
    <row r="21" spans="1:22">
      <c r="A21" s="101">
        <v>17</v>
      </c>
      <c r="B21" t="s">
        <v>181</v>
      </c>
      <c r="C21">
        <v>13.555</v>
      </c>
      <c r="D21">
        <f t="shared" si="15"/>
        <v>2.9319999999999986</v>
      </c>
      <c r="E21" s="26">
        <v>3.0150000000000001</v>
      </c>
      <c r="F21">
        <v>16.486999999999998</v>
      </c>
      <c r="G21" s="26">
        <f t="shared" si="16"/>
        <v>8.3000000000001517E-2</v>
      </c>
      <c r="H21" s="93">
        <f t="shared" si="17"/>
        <v>2.7529021558872806E-2</v>
      </c>
      <c r="I21" s="92">
        <f t="shared" si="18"/>
        <v>0.97247097844112718</v>
      </c>
      <c r="J21" s="28">
        <v>10.362</v>
      </c>
      <c r="K21" s="23">
        <v>20.701000000000001</v>
      </c>
      <c r="L21" s="23">
        <v>10.34</v>
      </c>
      <c r="M21" s="23">
        <f t="shared" si="19"/>
        <v>10.055349917081255</v>
      </c>
      <c r="N21" s="19">
        <v>27.475999999999999</v>
      </c>
      <c r="O21" s="23">
        <f t="shared" si="20"/>
        <v>17.113999999999997</v>
      </c>
      <c r="P21" s="24">
        <f t="shared" si="21"/>
        <v>4.0326419297589323E-2</v>
      </c>
      <c r="Q21" s="26">
        <f t="shared" si="22"/>
        <v>1.3820638265795455</v>
      </c>
      <c r="R21" s="27"/>
      <c r="S21" s="236">
        <v>15.5</v>
      </c>
      <c r="T21" s="138">
        <f t="shared" si="23"/>
        <v>5.9219893119829559</v>
      </c>
      <c r="U21">
        <v>17</v>
      </c>
      <c r="V21" s="7"/>
    </row>
    <row r="22" spans="1:22">
      <c r="A22" s="101">
        <v>18</v>
      </c>
      <c r="B22" t="s">
        <v>182</v>
      </c>
      <c r="C22">
        <v>13.617000000000001</v>
      </c>
      <c r="D22">
        <f t="shared" si="15"/>
        <v>3.0399999999999991</v>
      </c>
      <c r="E22" s="26">
        <v>3.177</v>
      </c>
      <c r="F22">
        <v>16.657</v>
      </c>
      <c r="G22" s="26">
        <f t="shared" si="16"/>
        <v>0.1370000000000009</v>
      </c>
      <c r="H22" s="93">
        <f t="shared" si="17"/>
        <v>4.3122442555870603E-2</v>
      </c>
      <c r="I22" s="92">
        <f t="shared" si="18"/>
        <v>0.95687755744412939</v>
      </c>
      <c r="J22" s="28">
        <v>10.349</v>
      </c>
      <c r="K22" s="23">
        <v>21.925999999999998</v>
      </c>
      <c r="L22" s="23">
        <v>11.577999999999999</v>
      </c>
      <c r="M22" s="23">
        <f t="shared" si="19"/>
        <v>11.07872836008813</v>
      </c>
      <c r="N22" s="19">
        <v>29.100999999999999</v>
      </c>
      <c r="O22" s="23">
        <f t="shared" si="20"/>
        <v>18.751999999999999</v>
      </c>
      <c r="P22" s="24">
        <f t="shared" si="21"/>
        <v>6.5066331982169198E-2</v>
      </c>
      <c r="Q22" s="26">
        <f t="shared" si="22"/>
        <v>1.3545250772184534</v>
      </c>
      <c r="R22" s="27"/>
      <c r="S22" s="236">
        <v>15.82</v>
      </c>
      <c r="T22" s="138">
        <f t="shared" si="23"/>
        <v>5.6085867215959331</v>
      </c>
      <c r="U22">
        <v>18</v>
      </c>
      <c r="V22" s="7"/>
    </row>
    <row r="23" spans="1:22">
      <c r="A23" s="101">
        <v>19</v>
      </c>
      <c r="B23" t="s">
        <v>183</v>
      </c>
      <c r="C23">
        <v>13.842000000000001</v>
      </c>
      <c r="D23">
        <f t="shared" si="15"/>
        <v>3.5589999999999993</v>
      </c>
      <c r="E23" s="26">
        <v>3.5870000000000002</v>
      </c>
      <c r="F23">
        <v>17.401</v>
      </c>
      <c r="G23" s="26">
        <f t="shared" si="16"/>
        <v>2.8000000000000913E-2</v>
      </c>
      <c r="H23" s="93">
        <f t="shared" si="17"/>
        <v>7.8059659882913053E-3</v>
      </c>
      <c r="I23" s="92">
        <f t="shared" si="18"/>
        <v>0.99219403401170869</v>
      </c>
      <c r="J23" s="28">
        <v>10.388999999999999</v>
      </c>
      <c r="K23" s="23">
        <v>24.207999999999998</v>
      </c>
      <c r="L23" s="23">
        <v>13.82</v>
      </c>
      <c r="M23" s="23">
        <f t="shared" si="19"/>
        <v>13.712121550041815</v>
      </c>
      <c r="N23" s="19">
        <v>29.379000000000001</v>
      </c>
      <c r="O23" s="23">
        <f t="shared" si="20"/>
        <v>18.990000000000002</v>
      </c>
      <c r="P23" s="24">
        <f t="shared" si="21"/>
        <v>2.0439737478046768E-2</v>
      </c>
      <c r="Q23" s="26">
        <f t="shared" si="22"/>
        <v>1.221334921853598</v>
      </c>
      <c r="R23" s="27"/>
      <c r="S23" s="236">
        <v>15.86</v>
      </c>
      <c r="T23" s="138">
        <f t="shared" si="23"/>
        <v>3.5103718605980649</v>
      </c>
      <c r="U23">
        <v>19</v>
      </c>
      <c r="V23" s="7"/>
    </row>
    <row r="24" spans="1:22">
      <c r="A24" s="101">
        <v>20</v>
      </c>
      <c r="B24" t="s">
        <v>184</v>
      </c>
      <c r="C24">
        <v>13.590999999999999</v>
      </c>
      <c r="D24">
        <f t="shared" si="15"/>
        <v>3.8310000000000013</v>
      </c>
      <c r="E24" s="26">
        <v>3.8879999999999999</v>
      </c>
      <c r="F24">
        <v>17.422000000000001</v>
      </c>
      <c r="G24" s="26">
        <f t="shared" si="16"/>
        <v>5.6999999999998607E-2</v>
      </c>
      <c r="H24" s="93">
        <f t="shared" si="17"/>
        <v>1.4660493827160136E-2</v>
      </c>
      <c r="I24" s="92">
        <f t="shared" si="18"/>
        <v>0.98533950617283983</v>
      </c>
      <c r="J24" s="28">
        <v>10.521000000000001</v>
      </c>
      <c r="K24" s="23">
        <v>22.456</v>
      </c>
      <c r="L24" s="23">
        <v>11.938000000000001</v>
      </c>
      <c r="M24" s="23">
        <f t="shared" si="19"/>
        <v>11.762983024691362</v>
      </c>
      <c r="N24" s="19">
        <v>26.756</v>
      </c>
      <c r="O24" s="23">
        <f t="shared" si="20"/>
        <v>16.234999999999999</v>
      </c>
      <c r="P24" s="24">
        <f t="shared" si="21"/>
        <v>3.9136026601634205E-2</v>
      </c>
      <c r="Q24" s="26">
        <f t="shared" si="22"/>
        <v>1.2101016258901443</v>
      </c>
      <c r="R24" s="27"/>
      <c r="S24" s="236">
        <v>15.82</v>
      </c>
      <c r="T24" s="138">
        <f t="shared" si="23"/>
        <v>3.323807721582082</v>
      </c>
      <c r="U24">
        <v>20</v>
      </c>
      <c r="V24" s="7"/>
    </row>
    <row r="25" spans="1:22">
      <c r="A25" s="101">
        <v>21</v>
      </c>
      <c r="B25" t="s">
        <v>185</v>
      </c>
      <c r="C25">
        <v>13.593999999999999</v>
      </c>
      <c r="D25">
        <f t="shared" si="15"/>
        <v>3.5969999999999995</v>
      </c>
      <c r="E25" s="26">
        <v>3.6779999999999999</v>
      </c>
      <c r="F25">
        <v>17.190999999999999</v>
      </c>
      <c r="G25" s="26">
        <f t="shared" si="16"/>
        <v>8.1000000000000405E-2</v>
      </c>
      <c r="H25" s="93">
        <f t="shared" si="17"/>
        <v>2.202283849918445E-2</v>
      </c>
      <c r="I25" s="92">
        <f t="shared" si="18"/>
        <v>0.97797716150081559</v>
      </c>
      <c r="J25" s="28">
        <v>10.339</v>
      </c>
      <c r="K25" s="23">
        <v>20.684999999999999</v>
      </c>
      <c r="L25" s="23">
        <v>10.346</v>
      </c>
      <c r="M25" s="23">
        <f t="shared" si="19"/>
        <v>10.118151712887439</v>
      </c>
      <c r="N25" s="19">
        <v>25.084</v>
      </c>
      <c r="O25" s="23">
        <f t="shared" si="20"/>
        <v>14.744999999999999</v>
      </c>
      <c r="P25" s="24">
        <f t="shared" si="21"/>
        <v>4.9244814822911029E-2</v>
      </c>
      <c r="Q25" s="26">
        <f t="shared" si="22"/>
        <v>1.2463039517837788</v>
      </c>
      <c r="R25" s="27"/>
      <c r="S25" s="236">
        <v>15.45</v>
      </c>
      <c r="T25" s="138">
        <f t="shared" si="23"/>
        <v>3.8053960550593828</v>
      </c>
      <c r="U25">
        <v>21</v>
      </c>
      <c r="V25" s="7"/>
    </row>
    <row r="26" spans="1:22">
      <c r="A26" s="101">
        <v>22</v>
      </c>
      <c r="B26" t="s">
        <v>186</v>
      </c>
      <c r="C26">
        <v>13.864000000000001</v>
      </c>
      <c r="D26">
        <f t="shared" si="15"/>
        <v>3.1920000000000002</v>
      </c>
      <c r="E26" s="26">
        <v>3.2749999999999999</v>
      </c>
      <c r="F26">
        <v>17.056000000000001</v>
      </c>
      <c r="G26" s="26">
        <f t="shared" si="16"/>
        <v>8.2999999999999741E-2</v>
      </c>
      <c r="H26" s="93">
        <f t="shared" si="17"/>
        <v>2.5343511450381599E-2</v>
      </c>
      <c r="I26" s="92">
        <f t="shared" si="18"/>
        <v>0.97465648854961839</v>
      </c>
      <c r="J26" s="28">
        <v>10.355</v>
      </c>
      <c r="K26" s="23">
        <v>20.669</v>
      </c>
      <c r="L26" s="23">
        <v>10.316000000000001</v>
      </c>
      <c r="M26" s="23">
        <f t="shared" si="19"/>
        <v>10.054556335877864</v>
      </c>
      <c r="N26" s="19">
        <v>26.73</v>
      </c>
      <c r="O26" s="23">
        <f t="shared" si="20"/>
        <v>16.375</v>
      </c>
      <c r="P26" s="24">
        <f t="shared" si="21"/>
        <v>4.1364764566483851E-2</v>
      </c>
      <c r="Q26" s="26">
        <f t="shared" si="22"/>
        <v>1.3422666279906112</v>
      </c>
      <c r="R26" s="27"/>
      <c r="S26" s="236">
        <v>15.37</v>
      </c>
      <c r="T26" s="138">
        <f t="shared" si="23"/>
        <v>5.2606380722156949</v>
      </c>
      <c r="U26">
        <v>22</v>
      </c>
      <c r="V26" s="7"/>
    </row>
    <row r="27" spans="1:22">
      <c r="A27" s="101">
        <v>23</v>
      </c>
      <c r="B27" t="s">
        <v>187</v>
      </c>
      <c r="C27">
        <v>13.938000000000001</v>
      </c>
      <c r="D27">
        <f t="shared" si="15"/>
        <v>3.3040000000000003</v>
      </c>
      <c r="E27" s="26">
        <v>3.3809999999999998</v>
      </c>
      <c r="F27">
        <v>17.242000000000001</v>
      </c>
      <c r="G27" s="26">
        <f t="shared" si="16"/>
        <v>7.6999999999999513E-2</v>
      </c>
      <c r="H27" s="93">
        <f t="shared" si="17"/>
        <v>2.2774327122153066E-2</v>
      </c>
      <c r="I27" s="92">
        <f t="shared" si="18"/>
        <v>0.9772256728778469</v>
      </c>
      <c r="J27" s="28">
        <v>10.353999999999999</v>
      </c>
      <c r="K27" s="23">
        <v>22.742000000000001</v>
      </c>
      <c r="L27" s="23">
        <v>12.388</v>
      </c>
      <c r="M27" s="23">
        <f t="shared" si="19"/>
        <v>12.105871635610768</v>
      </c>
      <c r="N27" s="19">
        <v>28.713999999999999</v>
      </c>
      <c r="O27" s="23">
        <f t="shared" si="20"/>
        <v>18.36</v>
      </c>
      <c r="P27" s="24">
        <f t="shared" si="21"/>
        <v>4.5110740930048701E-2</v>
      </c>
      <c r="Q27" s="26">
        <f t="shared" si="22"/>
        <v>1.2801379281760015</v>
      </c>
      <c r="R27" s="27"/>
      <c r="S27" s="236">
        <v>15.11</v>
      </c>
      <c r="T27" s="138">
        <f t="shared" si="23"/>
        <v>4.232884094739382</v>
      </c>
      <c r="U27">
        <v>23</v>
      </c>
      <c r="V27" s="7"/>
    </row>
    <row r="28" spans="1:22">
      <c r="A28" s="101">
        <v>24</v>
      </c>
      <c r="B28" t="s">
        <v>188</v>
      </c>
      <c r="C28">
        <v>13.66</v>
      </c>
      <c r="D28">
        <f t="shared" si="15"/>
        <v>3.6030000000000015</v>
      </c>
      <c r="E28" s="26">
        <v>3.6869999999999998</v>
      </c>
      <c r="F28">
        <v>17.263000000000002</v>
      </c>
      <c r="G28" s="26">
        <f t="shared" si="16"/>
        <v>8.3999999999998298E-2</v>
      </c>
      <c r="H28" s="93">
        <f t="shared" si="17"/>
        <v>2.2782750203416951E-2</v>
      </c>
      <c r="I28" s="92">
        <f t="shared" si="18"/>
        <v>0.97721724979658309</v>
      </c>
      <c r="J28" s="28">
        <v>10.385999999999999</v>
      </c>
      <c r="K28" s="23">
        <v>21.213000000000001</v>
      </c>
      <c r="L28" s="23">
        <v>10.83</v>
      </c>
      <c r="M28" s="23">
        <f t="shared" si="19"/>
        <v>10.583262815296996</v>
      </c>
      <c r="N28" s="19">
        <v>26.448</v>
      </c>
      <c r="O28" s="23">
        <f t="shared" si="20"/>
        <v>16.062000000000001</v>
      </c>
      <c r="P28" s="24">
        <f t="shared" si="21"/>
        <v>4.5035411698869383E-2</v>
      </c>
      <c r="Q28" s="26">
        <f t="shared" si="22"/>
        <v>1.2807483957635086</v>
      </c>
      <c r="R28" s="27"/>
      <c r="S28" s="236">
        <v>15.31</v>
      </c>
      <c r="T28" s="138">
        <f t="shared" si="23"/>
        <v>4.298257939139317</v>
      </c>
      <c r="U28">
        <v>24</v>
      </c>
      <c r="V28" s="7"/>
    </row>
    <row r="29" spans="1:22">
      <c r="A29" s="101">
        <v>25</v>
      </c>
      <c r="B29" t="s">
        <v>189</v>
      </c>
      <c r="C29">
        <v>13.597</v>
      </c>
      <c r="D29">
        <f t="shared" si="15"/>
        <v>2.9380000000000006</v>
      </c>
      <c r="E29" s="26">
        <v>3.0270000000000001</v>
      </c>
      <c r="F29">
        <v>16.535</v>
      </c>
      <c r="G29" s="26">
        <f t="shared" si="16"/>
        <v>8.8999999999999524E-2</v>
      </c>
      <c r="H29" s="93">
        <f t="shared" si="17"/>
        <v>2.9402048232573346E-2</v>
      </c>
      <c r="I29" s="92">
        <f t="shared" si="18"/>
        <v>0.97059795176742669</v>
      </c>
      <c r="J29" s="28">
        <v>10.473000000000001</v>
      </c>
      <c r="K29" s="23">
        <v>20.847999999999999</v>
      </c>
      <c r="L29" s="23">
        <v>10.378</v>
      </c>
      <c r="M29" s="23">
        <f t="shared" si="19"/>
        <v>10.072865543442354</v>
      </c>
      <c r="N29" s="19">
        <v>27.815999999999999</v>
      </c>
      <c r="O29" s="23">
        <f t="shared" si="20"/>
        <v>17.342999999999996</v>
      </c>
      <c r="P29" s="24">
        <f t="shared" si="21"/>
        <v>4.1970950933708694E-2</v>
      </c>
      <c r="Q29" s="26">
        <f t="shared" si="22"/>
        <v>1.3909179242028271</v>
      </c>
      <c r="R29" s="27"/>
      <c r="S29" s="236">
        <v>15.38</v>
      </c>
      <c r="T29" s="138">
        <f t="shared" si="23"/>
        <v>6.0123176742394815</v>
      </c>
      <c r="U29">
        <v>25</v>
      </c>
      <c r="V29" s="7"/>
    </row>
    <row r="30" spans="1:22">
      <c r="A30" s="101">
        <v>26</v>
      </c>
      <c r="B30" t="s">
        <v>190</v>
      </c>
      <c r="C30">
        <v>13.603</v>
      </c>
      <c r="D30">
        <f t="shared" si="15"/>
        <v>2.9670000000000005</v>
      </c>
      <c r="E30" s="26">
        <v>3.05</v>
      </c>
      <c r="F30">
        <v>16.57</v>
      </c>
      <c r="G30" s="26">
        <f t="shared" si="16"/>
        <v>8.2999999999999297E-2</v>
      </c>
      <c r="H30" s="93">
        <f t="shared" si="17"/>
        <v>2.7213114754098131E-2</v>
      </c>
      <c r="I30" s="92">
        <f t="shared" si="18"/>
        <v>0.97278688524590184</v>
      </c>
      <c r="J30" s="28">
        <v>10.433</v>
      </c>
      <c r="K30" s="23">
        <v>20.334</v>
      </c>
      <c r="L30" s="23">
        <v>9.9550000000000001</v>
      </c>
      <c r="M30" s="23">
        <f t="shared" si="19"/>
        <v>9.6840934426229524</v>
      </c>
      <c r="N30" s="19">
        <v>26.49</v>
      </c>
      <c r="O30" s="23">
        <f t="shared" si="20"/>
        <v>16.056999999999999</v>
      </c>
      <c r="P30" s="24">
        <f t="shared" si="21"/>
        <v>4.2509105529478709E-2</v>
      </c>
      <c r="Q30" s="26">
        <f t="shared" si="22"/>
        <v>1.3568897415418564</v>
      </c>
      <c r="R30" s="27"/>
      <c r="S30" s="236">
        <v>15.06</v>
      </c>
      <c r="T30" s="138">
        <f t="shared" si="23"/>
        <v>5.3747595076203574</v>
      </c>
      <c r="U30">
        <v>26</v>
      </c>
      <c r="V30" s="7"/>
    </row>
    <row r="31" spans="1:22">
      <c r="A31" s="101">
        <v>27</v>
      </c>
      <c r="B31" t="s">
        <v>191</v>
      </c>
      <c r="C31">
        <v>13.762</v>
      </c>
      <c r="D31">
        <f t="shared" si="15"/>
        <v>3.5079999999999991</v>
      </c>
      <c r="E31" s="26">
        <v>3.5870000000000002</v>
      </c>
      <c r="F31">
        <v>17.27</v>
      </c>
      <c r="G31" s="26">
        <f t="shared" si="16"/>
        <v>7.9000000000001069E-2</v>
      </c>
      <c r="H31" s="93">
        <f t="shared" si="17"/>
        <v>2.2023975466964333E-2</v>
      </c>
      <c r="I31" s="92">
        <f t="shared" si="18"/>
        <v>0.97797602453303567</v>
      </c>
      <c r="J31" s="28">
        <v>10.355</v>
      </c>
      <c r="K31" s="23">
        <v>20.64</v>
      </c>
      <c r="L31" s="23">
        <v>10.282999999999999</v>
      </c>
      <c r="M31" s="23">
        <f t="shared" si="19"/>
        <v>10.056527460273205</v>
      </c>
      <c r="N31" s="19">
        <v>26.411999999999999</v>
      </c>
      <c r="O31" s="23">
        <f t="shared" si="20"/>
        <v>16.056999999999999</v>
      </c>
      <c r="P31" s="24">
        <f t="shared" si="21"/>
        <v>3.7742450819899201E-2</v>
      </c>
      <c r="Q31" s="26">
        <f t="shared" si="22"/>
        <v>1.3280959821170166</v>
      </c>
      <c r="R31" s="27"/>
      <c r="S31" s="236">
        <v>15.42</v>
      </c>
      <c r="T31" s="138">
        <f t="shared" si="23"/>
        <v>5.0592400442443966</v>
      </c>
      <c r="U31">
        <v>27</v>
      </c>
      <c r="V31" s="7"/>
    </row>
    <row r="34" spans="1:23">
      <c r="A34" s="95"/>
      <c r="B34" s="95" t="s">
        <v>277</v>
      </c>
      <c r="C34" s="151" t="s">
        <v>197</v>
      </c>
      <c r="D34">
        <v>13.519</v>
      </c>
      <c r="E34">
        <f>G34-D34</f>
        <v>4.4620000000000015</v>
      </c>
      <c r="F34" s="26">
        <v>4.5</v>
      </c>
      <c r="G34">
        <v>17.981000000000002</v>
      </c>
      <c r="H34" s="26">
        <f>F34-(G34-D34)</f>
        <v>3.7999999999998479E-2</v>
      </c>
      <c r="I34" s="93">
        <f>H34/F34</f>
        <v>8.4444444444441071E-3</v>
      </c>
      <c r="J34" s="92">
        <f>E34/F34</f>
        <v>0.99155555555555586</v>
      </c>
      <c r="K34" s="23">
        <v>10.441000000000001</v>
      </c>
      <c r="L34" s="25">
        <v>25.553000000000001</v>
      </c>
      <c r="M34" s="23">
        <v>15.112</v>
      </c>
      <c r="N34" s="25">
        <f>J34*M34</f>
        <v>14.984387555555561</v>
      </c>
      <c r="O34" s="143">
        <v>31.21</v>
      </c>
      <c r="P34" s="23">
        <f t="shared" ref="P34:P48" si="24">O34-K34</f>
        <v>20.768999999999998</v>
      </c>
      <c r="Q34" s="24">
        <f t="shared" ref="Q34:Q48" si="25">(M34-N34)/(P34-N34)</f>
        <v>2.2060673151405152E-2</v>
      </c>
      <c r="R34" s="26">
        <f>(((P34-N34)*0.6)+N34)/M34</f>
        <v>1.2212251867537203</v>
      </c>
      <c r="S34" s="143"/>
      <c r="T34" s="137"/>
      <c r="U34" s="149"/>
      <c r="V34">
        <v>1</v>
      </c>
    </row>
    <row r="35" spans="1:23">
      <c r="A35" s="95"/>
      <c r="B35" s="95" t="s">
        <v>277</v>
      </c>
      <c r="C35" s="151" t="s">
        <v>198</v>
      </c>
      <c r="F35" s="26"/>
      <c r="H35" s="26"/>
      <c r="I35" s="93"/>
      <c r="J35" s="92"/>
      <c r="K35" s="23"/>
      <c r="L35" s="25"/>
      <c r="M35" s="23"/>
      <c r="N35" s="25"/>
      <c r="O35" s="143"/>
      <c r="P35" s="23"/>
      <c r="Q35" s="24"/>
      <c r="R35" s="26"/>
      <c r="S35" s="143"/>
      <c r="T35" s="137"/>
      <c r="U35" s="138"/>
    </row>
    <row r="36" spans="1:23">
      <c r="A36" s="95">
        <v>3</v>
      </c>
      <c r="B36" s="95" t="s">
        <v>248</v>
      </c>
      <c r="C36" s="99" t="s">
        <v>199</v>
      </c>
      <c r="D36">
        <v>13.622</v>
      </c>
      <c r="E36">
        <f t="shared" ref="E36:E87" si="26">G36-D36</f>
        <v>3.9969999999999999</v>
      </c>
      <c r="F36" s="26">
        <v>4.0209999999999999</v>
      </c>
      <c r="G36">
        <v>17.619</v>
      </c>
      <c r="H36" s="26">
        <f t="shared" ref="H36:H87" si="27">F36-(G36-D36)</f>
        <v>2.4000000000000021E-2</v>
      </c>
      <c r="I36" s="93">
        <f t="shared" ref="I36:I87" si="28">H36/F36</f>
        <v>5.9686645113155986E-3</v>
      </c>
      <c r="J36" s="92">
        <f t="shared" ref="J36:J87" si="29">E36/F36</f>
        <v>0.99403133548868439</v>
      </c>
      <c r="K36" s="23">
        <v>10.571</v>
      </c>
      <c r="L36" s="25">
        <v>21.492999999999999</v>
      </c>
      <c r="M36" s="23">
        <v>10.923</v>
      </c>
      <c r="N36" s="25">
        <f t="shared" ref="N36:N46" si="30">J36*M36</f>
        <v>10.8578042775429</v>
      </c>
      <c r="O36" s="143">
        <v>25.045000000000002</v>
      </c>
      <c r="P36" s="23">
        <f t="shared" si="24"/>
        <v>14.474000000000002</v>
      </c>
      <c r="Q36" s="24">
        <f t="shared" si="25"/>
        <v>1.8028814660728861E-2</v>
      </c>
      <c r="R36" s="26">
        <f t="shared" ref="R36:R48" si="31">(((P36-N36)*0.6)+N36)/M36</f>
        <v>1.1926688374088767</v>
      </c>
      <c r="S36" s="143">
        <v>7.9989999999999997</v>
      </c>
      <c r="T36" s="137">
        <v>1.541350699271014</v>
      </c>
      <c r="U36" s="149"/>
      <c r="W36" s="144">
        <v>1.7</v>
      </c>
    </row>
    <row r="37" spans="1:23">
      <c r="A37" s="95">
        <v>4</v>
      </c>
      <c r="B37" s="95" t="s">
        <v>249</v>
      </c>
      <c r="C37" s="99" t="s">
        <v>200</v>
      </c>
      <c r="F37" s="26"/>
      <c r="H37" s="26"/>
      <c r="I37" s="93"/>
      <c r="J37" s="92"/>
      <c r="K37" s="23"/>
      <c r="L37" s="25"/>
      <c r="M37" s="23"/>
      <c r="N37" s="25"/>
      <c r="O37" s="143"/>
      <c r="P37" s="23"/>
      <c r="Q37" s="24"/>
      <c r="R37" s="26"/>
      <c r="S37" s="143">
        <v>8.07</v>
      </c>
      <c r="T37" s="137">
        <v>1.541350699271014</v>
      </c>
      <c r="U37" s="138"/>
    </row>
    <row r="38" spans="1:23">
      <c r="A38" s="95">
        <v>5</v>
      </c>
      <c r="B38" s="152"/>
      <c r="C38" s="99" t="s">
        <v>201</v>
      </c>
      <c r="D38">
        <v>13.615</v>
      </c>
      <c r="E38">
        <f t="shared" si="26"/>
        <v>3.2120000000000015</v>
      </c>
      <c r="F38" s="26">
        <v>3.2349999999999999</v>
      </c>
      <c r="G38">
        <v>16.827000000000002</v>
      </c>
      <c r="H38" s="26">
        <f t="shared" si="27"/>
        <v>2.2999999999998355E-2</v>
      </c>
      <c r="I38" s="93">
        <f t="shared" si="28"/>
        <v>7.1097372488402952E-3</v>
      </c>
      <c r="J38" s="92">
        <f t="shared" si="29"/>
        <v>0.99289026275115966</v>
      </c>
      <c r="K38" s="23">
        <v>10.59</v>
      </c>
      <c r="L38" s="25">
        <v>21.39</v>
      </c>
      <c r="M38" s="23">
        <v>10.801</v>
      </c>
      <c r="N38" s="25">
        <f t="shared" si="30"/>
        <v>10.724207727975276</v>
      </c>
      <c r="O38" s="143">
        <v>24.725000000000001</v>
      </c>
      <c r="P38" s="23">
        <f t="shared" si="24"/>
        <v>14.135000000000002</v>
      </c>
      <c r="Q38" s="24">
        <f t="shared" si="25"/>
        <v>2.2514496896974073E-2</v>
      </c>
      <c r="R38" s="26">
        <f t="shared" si="31"/>
        <v>1.1823611787047599</v>
      </c>
      <c r="S38" s="19">
        <v>8.2479999999999993</v>
      </c>
      <c r="T38" s="137">
        <v>1.458889429638079</v>
      </c>
      <c r="U38" s="138"/>
    </row>
    <row r="39" spans="1:23">
      <c r="A39" s="95">
        <v>6</v>
      </c>
      <c r="B39" s="95"/>
      <c r="C39" s="99" t="s">
        <v>202</v>
      </c>
      <c r="F39" s="26"/>
      <c r="H39" s="26"/>
      <c r="I39" s="93"/>
      <c r="J39" s="92"/>
      <c r="K39" s="23"/>
      <c r="L39" s="25"/>
      <c r="M39" s="23"/>
      <c r="N39" s="25"/>
      <c r="O39" s="143"/>
      <c r="P39" s="23"/>
      <c r="Q39" s="24"/>
      <c r="R39" s="26"/>
      <c r="S39" s="19">
        <v>8.2609999999999992</v>
      </c>
      <c r="T39" s="137">
        <v>1.458889429638079</v>
      </c>
      <c r="U39" s="138"/>
    </row>
    <row r="40" spans="1:23">
      <c r="A40" s="95">
        <v>7</v>
      </c>
      <c r="B40" s="95"/>
      <c r="C40" s="99" t="s">
        <v>203</v>
      </c>
      <c r="D40">
        <v>13.712999999999999</v>
      </c>
      <c r="E40">
        <f t="shared" si="26"/>
        <v>3.6250000000000018</v>
      </c>
      <c r="F40" s="26">
        <v>3.6789999999999998</v>
      </c>
      <c r="G40">
        <v>17.338000000000001</v>
      </c>
      <c r="H40" s="26">
        <f t="shared" si="27"/>
        <v>5.399999999999805E-2</v>
      </c>
      <c r="I40" s="93">
        <f t="shared" si="28"/>
        <v>1.4677901603696128E-2</v>
      </c>
      <c r="J40" s="92">
        <f t="shared" si="29"/>
        <v>0.98532209839630391</v>
      </c>
      <c r="K40" s="23">
        <v>10.593999999999999</v>
      </c>
      <c r="L40" s="25">
        <v>21.02</v>
      </c>
      <c r="M40" s="23">
        <v>10.426</v>
      </c>
      <c r="N40" s="25">
        <f t="shared" si="30"/>
        <v>10.272968197879864</v>
      </c>
      <c r="O40" s="143">
        <v>25.975999999999999</v>
      </c>
      <c r="P40" s="23">
        <f t="shared" si="24"/>
        <v>15.382</v>
      </c>
      <c r="Q40" s="24">
        <f t="shared" si="25"/>
        <v>2.9953190359204886E-2</v>
      </c>
      <c r="R40" s="26">
        <f t="shared" si="31"/>
        <v>1.2793388911521144</v>
      </c>
      <c r="S40" s="143">
        <v>8.0210000000000008</v>
      </c>
      <c r="T40" s="137">
        <v>2.2347111292169153</v>
      </c>
      <c r="U40" s="138"/>
    </row>
    <row r="41" spans="1:23">
      <c r="A41" s="95">
        <v>8</v>
      </c>
      <c r="B41" s="95"/>
      <c r="C41" s="99" t="s">
        <v>204</v>
      </c>
      <c r="F41" s="26"/>
      <c r="H41" s="26"/>
      <c r="I41" s="93"/>
      <c r="J41" s="92"/>
      <c r="K41" s="23"/>
      <c r="L41" s="25"/>
      <c r="M41" s="23"/>
      <c r="N41" s="25"/>
      <c r="O41" s="143"/>
      <c r="P41" s="23"/>
      <c r="Q41" s="24"/>
      <c r="R41" s="26"/>
      <c r="S41" s="143">
        <v>8.0809999999999995</v>
      </c>
      <c r="T41" s="137">
        <v>2.2347111292169153</v>
      </c>
      <c r="U41" s="138"/>
    </row>
    <row r="42" spans="1:23">
      <c r="A42" s="95">
        <v>9</v>
      </c>
      <c r="B42" s="95"/>
      <c r="C42" s="99" t="s">
        <v>205</v>
      </c>
      <c r="D42">
        <v>13.741</v>
      </c>
      <c r="E42">
        <f t="shared" si="26"/>
        <v>3.1069999999999993</v>
      </c>
      <c r="F42" s="26">
        <v>3.145</v>
      </c>
      <c r="G42">
        <v>16.847999999999999</v>
      </c>
      <c r="H42" s="26">
        <f t="shared" si="27"/>
        <v>3.80000000000007E-2</v>
      </c>
      <c r="I42" s="93">
        <f t="shared" si="28"/>
        <v>1.208267090620054E-2</v>
      </c>
      <c r="J42" s="92">
        <f t="shared" si="29"/>
        <v>0.98791732909379948</v>
      </c>
      <c r="K42" s="23">
        <v>10.689</v>
      </c>
      <c r="L42" s="25">
        <v>21.114000000000001</v>
      </c>
      <c r="M42" s="23">
        <v>10.425000000000001</v>
      </c>
      <c r="N42" s="25">
        <f t="shared" si="30"/>
        <v>10.29903815580286</v>
      </c>
      <c r="O42" s="143">
        <v>25.524000000000001</v>
      </c>
      <c r="P42" s="23">
        <f t="shared" si="24"/>
        <v>14.835000000000001</v>
      </c>
      <c r="Q42" s="24">
        <f t="shared" si="25"/>
        <v>2.7769599596232035E-2</v>
      </c>
      <c r="R42" s="26">
        <f t="shared" si="31"/>
        <v>1.2489798812778075</v>
      </c>
      <c r="S42" s="143">
        <v>8.0559999999999992</v>
      </c>
      <c r="T42" s="137">
        <v>1.9918390502224597</v>
      </c>
      <c r="U42" s="138"/>
    </row>
    <row r="43" spans="1:23">
      <c r="A43" s="95">
        <v>10</v>
      </c>
      <c r="B43" s="95"/>
      <c r="C43" s="99" t="s">
        <v>206</v>
      </c>
      <c r="F43" s="26"/>
      <c r="H43" s="26"/>
      <c r="I43" s="93"/>
      <c r="J43" s="92"/>
      <c r="K43" s="23"/>
      <c r="L43" s="25"/>
      <c r="M43" s="23"/>
      <c r="N43" s="25"/>
      <c r="O43" s="143"/>
      <c r="P43" s="23"/>
      <c r="Q43" s="24"/>
      <c r="R43" s="26"/>
      <c r="S43" s="143">
        <v>8.0259999999999998</v>
      </c>
      <c r="T43" s="137">
        <v>1.9918390502224597</v>
      </c>
      <c r="U43" s="138"/>
    </row>
    <row r="44" spans="1:23">
      <c r="A44" s="95">
        <v>11</v>
      </c>
      <c r="B44" s="95"/>
      <c r="C44" s="99" t="s">
        <v>207</v>
      </c>
      <c r="D44">
        <v>13.667999999999999</v>
      </c>
      <c r="E44">
        <f t="shared" si="26"/>
        <v>3.2160000000000011</v>
      </c>
      <c r="F44" s="26">
        <v>3.2469999999999999</v>
      </c>
      <c r="G44">
        <v>16.884</v>
      </c>
      <c r="H44" s="26">
        <f t="shared" si="27"/>
        <v>3.0999999999998806E-2</v>
      </c>
      <c r="I44" s="93">
        <f t="shared" si="28"/>
        <v>9.5472744071446892E-3</v>
      </c>
      <c r="J44" s="92">
        <f t="shared" si="29"/>
        <v>0.99045272559285535</v>
      </c>
      <c r="K44" s="23">
        <v>10.622999999999999</v>
      </c>
      <c r="L44" s="25">
        <v>20.8</v>
      </c>
      <c r="M44" s="23">
        <v>10.175000000000001</v>
      </c>
      <c r="N44" s="25">
        <f t="shared" si="30"/>
        <v>10.077856482907304</v>
      </c>
      <c r="O44" s="143">
        <v>25.132000000000001</v>
      </c>
      <c r="P44" s="23">
        <f t="shared" si="24"/>
        <v>14.509000000000002</v>
      </c>
      <c r="Q44" s="24">
        <f t="shared" si="25"/>
        <v>2.1922900199006223E-2</v>
      </c>
      <c r="R44" s="26">
        <f t="shared" si="31"/>
        <v>1.2517486578047099</v>
      </c>
      <c r="S44" s="143">
        <v>8.02</v>
      </c>
      <c r="T44" s="137">
        <v>2.0139892624376792</v>
      </c>
      <c r="U44" s="138"/>
    </row>
    <row r="45" spans="1:23">
      <c r="A45" s="95">
        <v>12</v>
      </c>
      <c r="B45" s="95"/>
      <c r="C45" s="99" t="s">
        <v>208</v>
      </c>
      <c r="F45" s="26"/>
      <c r="H45" s="26"/>
      <c r="I45" s="93"/>
      <c r="J45" s="92"/>
      <c r="K45" s="23"/>
      <c r="L45" s="25"/>
      <c r="M45" s="23"/>
      <c r="N45" s="25"/>
      <c r="O45" s="143"/>
      <c r="P45" s="23"/>
      <c r="Q45" s="24"/>
      <c r="R45" s="26"/>
      <c r="S45" s="143">
        <v>8.07</v>
      </c>
      <c r="T45" s="137">
        <v>2.0139892624376792</v>
      </c>
      <c r="U45" s="138"/>
    </row>
    <row r="46" spans="1:23">
      <c r="A46" s="95">
        <v>13</v>
      </c>
      <c r="B46" s="95"/>
      <c r="C46" s="99" t="s">
        <v>209</v>
      </c>
      <c r="D46">
        <v>13.819000000000001</v>
      </c>
      <c r="E46">
        <f t="shared" si="26"/>
        <v>2.900999999999998</v>
      </c>
      <c r="F46" s="26">
        <v>2.9369999999999998</v>
      </c>
      <c r="G46">
        <v>16.72</v>
      </c>
      <c r="H46" s="26">
        <f t="shared" si="27"/>
        <v>3.6000000000001808E-2</v>
      </c>
      <c r="I46" s="93">
        <f t="shared" si="28"/>
        <v>1.2257405515833099E-2</v>
      </c>
      <c r="J46" s="92">
        <f t="shared" si="29"/>
        <v>0.9877425944841669</v>
      </c>
      <c r="K46" s="143">
        <v>10.673</v>
      </c>
      <c r="L46" s="23">
        <v>21.379000000000001</v>
      </c>
      <c r="M46" s="143">
        <v>10.706</v>
      </c>
      <c r="N46" s="25">
        <f t="shared" si="30"/>
        <v>10.57477221654749</v>
      </c>
      <c r="O46" s="19">
        <v>28.050999999999998</v>
      </c>
      <c r="P46" s="23">
        <f t="shared" si="24"/>
        <v>17.378</v>
      </c>
      <c r="Q46" s="24">
        <f t="shared" si="25"/>
        <v>1.9289047438878115E-2</v>
      </c>
      <c r="R46" s="26">
        <f t="shared" si="31"/>
        <v>1.3690182034951426</v>
      </c>
      <c r="S46" s="143">
        <v>8.0749999999999993</v>
      </c>
      <c r="T46" s="137">
        <v>2.9521456279611407</v>
      </c>
      <c r="U46" s="138"/>
    </row>
    <row r="47" spans="1:23">
      <c r="A47" s="95">
        <v>14</v>
      </c>
      <c r="B47" s="95"/>
      <c r="C47" s="99" t="s">
        <v>210</v>
      </c>
      <c r="F47" s="26"/>
      <c r="H47" s="26"/>
      <c r="I47" s="93"/>
      <c r="J47" s="92"/>
      <c r="K47" s="143"/>
      <c r="L47" s="23"/>
      <c r="M47" s="143"/>
      <c r="N47" s="25"/>
      <c r="O47" s="19"/>
      <c r="P47" s="23"/>
      <c r="Q47" s="24"/>
      <c r="R47" s="26"/>
      <c r="S47" s="143">
        <v>8.0510000000000002</v>
      </c>
      <c r="T47" s="137">
        <v>2.9521456279611407</v>
      </c>
      <c r="U47" s="138"/>
    </row>
    <row r="48" spans="1:23">
      <c r="A48" s="95">
        <v>15</v>
      </c>
      <c r="B48" s="95"/>
      <c r="C48" s="99" t="s">
        <v>211</v>
      </c>
      <c r="D48">
        <v>13.821</v>
      </c>
      <c r="E48">
        <f t="shared" si="26"/>
        <v>3.288000000000002</v>
      </c>
      <c r="F48" s="26">
        <v>3.34</v>
      </c>
      <c r="G48">
        <v>17.109000000000002</v>
      </c>
      <c r="H48" s="26">
        <f t="shared" si="27"/>
        <v>5.1999999999997826E-2</v>
      </c>
      <c r="I48" s="93">
        <f t="shared" si="28"/>
        <v>1.5568862275448452E-2</v>
      </c>
      <c r="J48" s="92">
        <f t="shared" si="29"/>
        <v>0.9844311377245516</v>
      </c>
      <c r="K48" s="19">
        <v>10.634</v>
      </c>
      <c r="L48" s="23">
        <v>21.286000000000001</v>
      </c>
      <c r="M48" s="19">
        <v>10.651</v>
      </c>
      <c r="N48" s="25">
        <f>J48*M48</f>
        <v>10.485176047904199</v>
      </c>
      <c r="O48" s="19">
        <v>28.597999999999999</v>
      </c>
      <c r="P48" s="23">
        <f t="shared" si="24"/>
        <v>17.963999999999999</v>
      </c>
      <c r="Q48" s="24">
        <f t="shared" si="25"/>
        <v>2.2172463633046459E-2</v>
      </c>
      <c r="R48" s="26">
        <f t="shared" si="31"/>
        <v>1.4057337732759063</v>
      </c>
      <c r="S48" s="19">
        <v>8.0280000000000005</v>
      </c>
      <c r="T48" s="137">
        <v>3.2458701862072505</v>
      </c>
      <c r="U48" s="138"/>
    </row>
    <row r="49" spans="1:23">
      <c r="A49" s="95">
        <v>16</v>
      </c>
      <c r="B49" s="95"/>
      <c r="C49" s="99" t="s">
        <v>212</v>
      </c>
      <c r="F49" s="26"/>
      <c r="H49" s="26"/>
      <c r="I49" s="93"/>
      <c r="J49" s="92"/>
      <c r="K49" s="19"/>
      <c r="L49" s="23"/>
      <c r="M49" s="19"/>
      <c r="N49" s="25"/>
      <c r="O49" s="19"/>
      <c r="P49" s="23"/>
      <c r="Q49" s="24"/>
      <c r="R49" s="26"/>
      <c r="S49" s="19">
        <v>8.0410000000000004</v>
      </c>
      <c r="T49" s="137">
        <v>3.2458701862072505</v>
      </c>
      <c r="U49" s="138"/>
    </row>
    <row r="50" spans="1:23">
      <c r="A50" s="95">
        <v>17</v>
      </c>
      <c r="B50" s="95"/>
      <c r="C50" s="99" t="s">
        <v>213</v>
      </c>
      <c r="D50">
        <v>13.762</v>
      </c>
      <c r="E50">
        <f t="shared" si="26"/>
        <v>3.4450000000000003</v>
      </c>
      <c r="F50" s="26">
        <v>3.476</v>
      </c>
      <c r="G50">
        <v>17.207000000000001</v>
      </c>
      <c r="H50" s="26">
        <f t="shared" si="27"/>
        <v>3.0999999999999694E-2</v>
      </c>
      <c r="I50" s="93">
        <f t="shared" si="28"/>
        <v>8.9182968929803503E-3</v>
      </c>
      <c r="J50" s="92">
        <f t="shared" si="29"/>
        <v>0.9910817031070196</v>
      </c>
      <c r="K50" s="23">
        <v>10.689</v>
      </c>
      <c r="L50" s="23">
        <v>22.774999999999999</v>
      </c>
      <c r="M50" s="23">
        <v>12.09</v>
      </c>
      <c r="N50" s="23">
        <f>J50*M50</f>
        <v>11.982177790563867</v>
      </c>
      <c r="O50" s="19">
        <v>28.166</v>
      </c>
      <c r="P50" s="23">
        <f>O50-K50</f>
        <v>17.477</v>
      </c>
      <c r="Q50" s="24">
        <f>(M50-N50)/(P50-N50)</f>
        <v>1.9622511034291943E-2</v>
      </c>
      <c r="R50" s="26">
        <f>(((P50-N50)*0.6)+N50)/M50</f>
        <v>1.2637775943941727</v>
      </c>
      <c r="S50" s="27">
        <v>8.0150000000000006</v>
      </c>
      <c r="T50" s="137">
        <v>2.1102207551533816</v>
      </c>
      <c r="U50" s="138"/>
    </row>
    <row r="51" spans="1:23">
      <c r="A51" s="95">
        <v>18</v>
      </c>
      <c r="B51" s="95"/>
      <c r="C51" s="99" t="s">
        <v>214</v>
      </c>
      <c r="F51" s="26"/>
      <c r="H51" s="26"/>
      <c r="I51" s="93"/>
      <c r="J51" s="92"/>
      <c r="K51" s="23"/>
      <c r="L51" s="23"/>
      <c r="M51" s="23"/>
      <c r="N51" s="23"/>
      <c r="O51" s="19"/>
      <c r="P51" s="23"/>
      <c r="Q51" s="24"/>
      <c r="R51" s="26"/>
      <c r="S51" s="27">
        <v>8.0609999999999999</v>
      </c>
      <c r="T51" s="137">
        <v>2.1102207551533816</v>
      </c>
      <c r="U51" s="138"/>
    </row>
    <row r="52" spans="1:23">
      <c r="A52" s="95">
        <v>19</v>
      </c>
      <c r="B52" s="95"/>
      <c r="C52" s="99" t="s">
        <v>215</v>
      </c>
      <c r="D52">
        <v>13.648999999999999</v>
      </c>
      <c r="E52">
        <f t="shared" si="26"/>
        <v>3.0400000000000009</v>
      </c>
      <c r="F52" s="26">
        <v>3.1480000000000001</v>
      </c>
      <c r="G52">
        <v>16.689</v>
      </c>
      <c r="H52" s="26">
        <f t="shared" si="27"/>
        <v>0.10799999999999921</v>
      </c>
      <c r="I52" s="93">
        <f t="shared" si="28"/>
        <v>3.430749682337967E-2</v>
      </c>
      <c r="J52" s="92">
        <f t="shared" si="29"/>
        <v>0.96569250317662036</v>
      </c>
      <c r="K52" s="25">
        <v>10.507999999999999</v>
      </c>
      <c r="L52" s="23">
        <v>21.895</v>
      </c>
      <c r="M52" s="23">
        <v>11.385</v>
      </c>
      <c r="N52" s="23">
        <f>J52*M52</f>
        <v>10.994409148665822</v>
      </c>
      <c r="O52" s="19">
        <v>28.456</v>
      </c>
      <c r="P52" s="23">
        <f>O52-K52</f>
        <v>17.948</v>
      </c>
      <c r="Q52" s="24">
        <f>(M52-N52)/(P52-N52)</f>
        <v>5.6171100613323484E-2</v>
      </c>
      <c r="R52" s="26">
        <f>(((P52-N52)*0.6)+N52)/M52</f>
        <v>1.3321531541033227</v>
      </c>
      <c r="S52" s="27">
        <v>8.0500000000000007</v>
      </c>
      <c r="T52" s="137">
        <v>2.6572252328265815</v>
      </c>
      <c r="U52" s="138"/>
    </row>
    <row r="53" spans="1:23">
      <c r="A53" s="95">
        <v>20</v>
      </c>
      <c r="B53" s="95"/>
      <c r="C53" s="99" t="s">
        <v>216</v>
      </c>
      <c r="F53" s="26"/>
      <c r="H53" s="26"/>
      <c r="I53" s="93"/>
      <c r="J53" s="92"/>
      <c r="K53" s="25"/>
      <c r="L53" s="23"/>
      <c r="M53" s="23"/>
      <c r="N53" s="23"/>
      <c r="O53" s="19"/>
      <c r="P53" s="23"/>
      <c r="Q53" s="24"/>
      <c r="R53" s="26"/>
      <c r="S53" s="27">
        <v>8.0399999999999991</v>
      </c>
      <c r="T53" s="137">
        <v>2.6572252328265815</v>
      </c>
      <c r="U53" s="138"/>
    </row>
    <row r="54" spans="1:23">
      <c r="A54" s="95">
        <v>21</v>
      </c>
      <c r="B54" s="145" t="s">
        <v>219</v>
      </c>
      <c r="C54" s="99" t="s">
        <v>217</v>
      </c>
      <c r="D54" s="144">
        <v>13.534000000000001</v>
      </c>
      <c r="E54">
        <f t="shared" si="26"/>
        <v>3.7829999999999995</v>
      </c>
      <c r="F54" s="26">
        <v>3.9119999999999999</v>
      </c>
      <c r="G54">
        <v>17.317</v>
      </c>
      <c r="H54" s="26">
        <f t="shared" si="27"/>
        <v>0.12900000000000045</v>
      </c>
      <c r="I54" s="93">
        <f t="shared" si="28"/>
        <v>3.2975460122699501E-2</v>
      </c>
      <c r="J54" s="92">
        <f t="shared" si="29"/>
        <v>0.96702453987730053</v>
      </c>
      <c r="K54" s="28">
        <v>10.371</v>
      </c>
      <c r="L54" s="23">
        <v>21.901</v>
      </c>
      <c r="M54" s="23">
        <v>11.529</v>
      </c>
      <c r="N54" s="23">
        <f>J54*M54</f>
        <v>11.148825920245399</v>
      </c>
      <c r="O54" s="19">
        <v>31.03</v>
      </c>
      <c r="P54" s="23">
        <f>O54-K54</f>
        <v>20.658999999999999</v>
      </c>
      <c r="Q54" s="24">
        <f t="shared" ref="Q54" si="32">(M54-N54)/(P54-N54)</f>
        <v>3.9975512179521673E-2</v>
      </c>
      <c r="R54" s="26">
        <f>(((P54-N54)*0.6)+N54)/M54</f>
        <v>1.4619594386415264</v>
      </c>
      <c r="S54" s="27">
        <v>8.0370000000000008</v>
      </c>
      <c r="T54" s="137">
        <v>3.6956755091322115</v>
      </c>
      <c r="U54" s="149"/>
      <c r="W54" s="144" t="s">
        <v>246</v>
      </c>
    </row>
    <row r="55" spans="1:23">
      <c r="A55" s="95">
        <v>22</v>
      </c>
      <c r="B55" s="145" t="s">
        <v>219</v>
      </c>
      <c r="C55" s="99" t="s">
        <v>218</v>
      </c>
      <c r="F55" s="26"/>
      <c r="H55" s="26"/>
      <c r="I55" s="93"/>
      <c r="J55" s="92"/>
      <c r="K55" s="28"/>
      <c r="L55" s="23"/>
      <c r="M55" s="23"/>
      <c r="N55" s="23"/>
      <c r="O55" s="19"/>
      <c r="P55" s="23"/>
      <c r="Q55" s="24"/>
      <c r="R55" s="26"/>
      <c r="S55" s="27">
        <v>8.06</v>
      </c>
      <c r="T55" s="137">
        <v>3.6956755091322115</v>
      </c>
      <c r="U55" s="138"/>
    </row>
    <row r="56" spans="1:23">
      <c r="A56" s="95"/>
      <c r="B56" s="95" t="s">
        <v>275</v>
      </c>
      <c r="C56" s="146" t="s">
        <v>193</v>
      </c>
      <c r="D56" s="144">
        <v>13.595000000000001</v>
      </c>
      <c r="E56">
        <f t="shared" si="26"/>
        <v>2.8729999999999993</v>
      </c>
      <c r="F56" s="26">
        <v>2.9670000000000001</v>
      </c>
      <c r="G56">
        <v>16.468</v>
      </c>
      <c r="H56" s="26">
        <f t="shared" si="27"/>
        <v>9.400000000000075E-2</v>
      </c>
      <c r="I56" s="93">
        <f t="shared" si="28"/>
        <v>3.1681833501853975E-2</v>
      </c>
      <c r="J56" s="92">
        <f t="shared" si="29"/>
        <v>0.96831816649814606</v>
      </c>
      <c r="K56" s="28">
        <v>10.426</v>
      </c>
      <c r="L56" s="23">
        <v>26.603000000000002</v>
      </c>
      <c r="M56" s="23">
        <v>16.18</v>
      </c>
      <c r="N56" s="23">
        <f t="shared" ref="N56:N87" si="33">J56*M56</f>
        <v>15.667387933940002</v>
      </c>
      <c r="O56" s="19">
        <v>36.6</v>
      </c>
      <c r="P56" s="23">
        <f t="shared" ref="P56:P87" si="34">O56-K56</f>
        <v>26.173999999999999</v>
      </c>
      <c r="Q56" s="24">
        <f>(M56-N56)/(P56-N56)</f>
        <v>4.8789473032502285E-2</v>
      </c>
      <c r="R56" s="26">
        <f t="shared" ref="R56:R87" si="35">(((P56-N56)*0.6)+N56)/M56</f>
        <v>1.3579329526313968</v>
      </c>
      <c r="S56" s="27"/>
      <c r="T56" s="137"/>
      <c r="U56" s="149"/>
    </row>
    <row r="57" spans="1:23">
      <c r="A57" s="95"/>
      <c r="B57" s="95" t="s">
        <v>275</v>
      </c>
      <c r="C57" s="146" t="s">
        <v>194</v>
      </c>
      <c r="F57" s="26"/>
      <c r="H57" s="26"/>
      <c r="I57" s="93"/>
      <c r="J57" s="92"/>
      <c r="K57" s="28"/>
      <c r="L57" s="23"/>
      <c r="M57" s="23"/>
      <c r="N57" s="23"/>
      <c r="O57" s="19"/>
      <c r="P57" s="23"/>
      <c r="Q57" s="24"/>
      <c r="R57" s="26"/>
      <c r="S57" s="27"/>
      <c r="T57" s="137"/>
      <c r="U57" s="138"/>
    </row>
    <row r="58" spans="1:23">
      <c r="A58" s="95">
        <v>23</v>
      </c>
      <c r="B58" s="95"/>
      <c r="C58" s="120" t="s">
        <v>222</v>
      </c>
      <c r="D58">
        <v>13.618</v>
      </c>
      <c r="E58">
        <f t="shared" si="26"/>
        <v>3.0789999999999988</v>
      </c>
      <c r="F58" s="26">
        <v>3.1850000000000001</v>
      </c>
      <c r="G58">
        <v>16.696999999999999</v>
      </c>
      <c r="H58" s="26">
        <f t="shared" si="27"/>
        <v>0.1060000000000012</v>
      </c>
      <c r="I58" s="93">
        <f t="shared" si="28"/>
        <v>3.3281004709576519E-2</v>
      </c>
      <c r="J58" s="92">
        <f t="shared" si="29"/>
        <v>0.96671899529042349</v>
      </c>
      <c r="K58" s="28">
        <v>10.551</v>
      </c>
      <c r="L58" s="23">
        <v>22.698</v>
      </c>
      <c r="M58" s="23">
        <v>12.146000000000001</v>
      </c>
      <c r="N58" s="23">
        <f t="shared" si="33"/>
        <v>11.741768916797485</v>
      </c>
      <c r="O58" s="19">
        <v>32.162999999999997</v>
      </c>
      <c r="P58" s="23">
        <f t="shared" si="34"/>
        <v>21.611999999999995</v>
      </c>
      <c r="Q58" s="24">
        <f t="shared" ref="Q58:Q87" si="36">(M58-N58)/(P58-N58)</f>
        <v>4.0954571356535942E-2</v>
      </c>
      <c r="R58" s="26">
        <f t="shared" si="35"/>
        <v>1.4542983341609574</v>
      </c>
      <c r="S58" s="27">
        <v>8.0589999999999993</v>
      </c>
      <c r="T58" s="137">
        <v>3.6343866732876595</v>
      </c>
      <c r="U58" s="138"/>
    </row>
    <row r="59" spans="1:23">
      <c r="A59" s="95">
        <v>24</v>
      </c>
      <c r="B59" s="95"/>
      <c r="C59" s="120" t="s">
        <v>223</v>
      </c>
      <c r="F59" s="26"/>
      <c r="H59" s="26"/>
      <c r="I59" s="93"/>
      <c r="J59" s="92"/>
      <c r="K59" s="28"/>
      <c r="L59" s="23"/>
      <c r="M59" s="23"/>
      <c r="N59" s="23"/>
      <c r="O59" s="19"/>
      <c r="P59" s="23"/>
      <c r="Q59" s="24"/>
      <c r="R59" s="26"/>
      <c r="S59" s="27">
        <v>8.0579999999999998</v>
      </c>
      <c r="T59" s="137">
        <v>3.6343866732876595</v>
      </c>
      <c r="U59" s="138"/>
    </row>
    <row r="60" spans="1:23">
      <c r="A60" s="95">
        <v>25</v>
      </c>
      <c r="B60" s="95"/>
      <c r="C60" s="120" t="s">
        <v>224</v>
      </c>
      <c r="D60">
        <v>13.688000000000001</v>
      </c>
      <c r="E60">
        <f t="shared" si="26"/>
        <v>3.4990000000000006</v>
      </c>
      <c r="F60" s="26">
        <v>3.6360000000000001</v>
      </c>
      <c r="G60">
        <v>17.187000000000001</v>
      </c>
      <c r="H60" s="26">
        <f t="shared" si="27"/>
        <v>0.13699999999999957</v>
      </c>
      <c r="I60" s="93">
        <f t="shared" si="28"/>
        <v>3.7678767876787561E-2</v>
      </c>
      <c r="J60" s="92">
        <f t="shared" si="29"/>
        <v>0.96232123212321241</v>
      </c>
      <c r="K60" s="28">
        <v>10.503</v>
      </c>
      <c r="L60" s="23">
        <v>22.635999999999999</v>
      </c>
      <c r="M60" s="23">
        <v>12.132999999999999</v>
      </c>
      <c r="N60" s="23">
        <f t="shared" si="33"/>
        <v>11.675843509350935</v>
      </c>
      <c r="O60" s="19">
        <v>31.744</v>
      </c>
      <c r="P60" s="23">
        <f t="shared" si="34"/>
        <v>21.241</v>
      </c>
      <c r="Q60" s="24">
        <f t="shared" si="36"/>
        <v>4.7793937411895138E-2</v>
      </c>
      <c r="R60" s="26">
        <f t="shared" si="35"/>
        <v>1.4353364710904455</v>
      </c>
      <c r="S60" s="27">
        <v>8.0679999999999996</v>
      </c>
      <c r="T60" s="137">
        <v>3.4826917687235639</v>
      </c>
      <c r="U60" s="149"/>
      <c r="W60" s="144">
        <v>3.5</v>
      </c>
    </row>
    <row r="61" spans="1:23">
      <c r="A61" s="95">
        <v>26</v>
      </c>
      <c r="B61" s="95"/>
      <c r="C61" s="120" t="s">
        <v>225</v>
      </c>
      <c r="F61" s="26"/>
      <c r="H61" s="26"/>
      <c r="I61" s="93"/>
      <c r="J61" s="92"/>
      <c r="K61" s="28"/>
      <c r="L61" s="23"/>
      <c r="M61" s="23"/>
      <c r="N61" s="23"/>
      <c r="O61" s="19"/>
      <c r="P61" s="23"/>
      <c r="Q61" s="24"/>
      <c r="R61" s="26"/>
      <c r="S61" s="27">
        <v>8.0739999999999998</v>
      </c>
      <c r="T61" s="137">
        <v>3.4826917687235639</v>
      </c>
      <c r="U61" s="138"/>
    </row>
    <row r="62" spans="1:23">
      <c r="A62" s="95"/>
      <c r="B62" s="95" t="s">
        <v>276</v>
      </c>
      <c r="C62" s="147" t="s">
        <v>226</v>
      </c>
      <c r="D62">
        <v>13.763</v>
      </c>
      <c r="E62">
        <f t="shared" si="26"/>
        <v>3.5029999999999983</v>
      </c>
      <c r="F62" s="26">
        <v>3.657</v>
      </c>
      <c r="G62">
        <v>17.265999999999998</v>
      </c>
      <c r="H62" s="26">
        <f t="shared" si="27"/>
        <v>0.15400000000000169</v>
      </c>
      <c r="I62" s="93">
        <f t="shared" si="28"/>
        <v>4.2111019961717719E-2</v>
      </c>
      <c r="J62" s="92">
        <f t="shared" si="29"/>
        <v>0.95788898003828227</v>
      </c>
      <c r="K62" s="28">
        <v>10.403</v>
      </c>
      <c r="L62" s="23">
        <v>24.148</v>
      </c>
      <c r="M62" s="23">
        <v>13.744999999999999</v>
      </c>
      <c r="N62" s="23">
        <f t="shared" si="33"/>
        <v>13.166184030626189</v>
      </c>
      <c r="O62" s="19">
        <v>34.186</v>
      </c>
      <c r="P62" s="23">
        <f t="shared" si="34"/>
        <v>23.783000000000001</v>
      </c>
      <c r="Q62" s="24">
        <f t="shared" si="36"/>
        <v>5.4518790854387315E-2</v>
      </c>
      <c r="R62" s="26">
        <f t="shared" si="35"/>
        <v>1.4213367487995983</v>
      </c>
      <c r="S62" s="27"/>
      <c r="T62" s="137"/>
      <c r="U62" s="149"/>
    </row>
    <row r="63" spans="1:23">
      <c r="A63" s="9"/>
      <c r="B63" s="9" t="s">
        <v>276</v>
      </c>
      <c r="C63" s="166" t="s">
        <v>227</v>
      </c>
      <c r="F63" s="26"/>
      <c r="H63" s="26"/>
      <c r="I63" s="93"/>
      <c r="J63" s="92"/>
      <c r="K63" s="28"/>
      <c r="L63" s="23"/>
      <c r="M63" s="23"/>
      <c r="N63" s="23"/>
      <c r="O63" s="19"/>
      <c r="P63" s="23"/>
      <c r="Q63" s="24"/>
      <c r="R63" s="26"/>
      <c r="S63" s="27"/>
      <c r="T63" s="137"/>
      <c r="U63" s="138"/>
    </row>
    <row r="64" spans="1:23">
      <c r="A64" s="163"/>
      <c r="B64" s="163"/>
      <c r="C64" s="164"/>
      <c r="D64" s="164"/>
      <c r="E64" s="164"/>
      <c r="F64" s="167"/>
      <c r="G64" s="164"/>
      <c r="H64" s="167"/>
      <c r="I64" s="168"/>
      <c r="J64" s="168"/>
      <c r="K64" s="169"/>
      <c r="L64" s="169"/>
      <c r="M64" s="169"/>
      <c r="N64" s="169"/>
      <c r="O64" s="163"/>
      <c r="P64" s="169"/>
      <c r="Q64" s="170"/>
      <c r="R64" s="167"/>
      <c r="S64" s="171" t="s">
        <v>289</v>
      </c>
      <c r="T64" s="171" t="s">
        <v>290</v>
      </c>
      <c r="U64" s="171" t="s">
        <v>291</v>
      </c>
      <c r="V64" s="164"/>
      <c r="W64" s="164"/>
    </row>
    <row r="65" spans="1:23">
      <c r="A65" s="95">
        <v>27</v>
      </c>
      <c r="B65" s="95"/>
      <c r="C65" s="120" t="s">
        <v>220</v>
      </c>
      <c r="D65" s="120">
        <v>13.488</v>
      </c>
      <c r="E65" s="120">
        <f t="shared" si="26"/>
        <v>2.963000000000001</v>
      </c>
      <c r="F65" s="172">
        <v>3.0510000000000002</v>
      </c>
      <c r="G65" s="120">
        <v>16.451000000000001</v>
      </c>
      <c r="H65" s="172">
        <f t="shared" si="27"/>
        <v>8.799999999999919E-2</v>
      </c>
      <c r="I65" s="173">
        <f t="shared" si="28"/>
        <v>2.884300229432946E-2</v>
      </c>
      <c r="J65" s="174">
        <f t="shared" si="29"/>
        <v>0.97115699770567054</v>
      </c>
      <c r="K65" s="175">
        <v>10.417999999999999</v>
      </c>
      <c r="L65" s="176">
        <v>20.864999999999998</v>
      </c>
      <c r="M65" s="176">
        <v>10.547000000000001</v>
      </c>
      <c r="N65" s="176">
        <f t="shared" si="33"/>
        <v>10.242792854801708</v>
      </c>
      <c r="O65" s="152">
        <v>28.393999999999998</v>
      </c>
      <c r="P65" s="176">
        <f t="shared" si="34"/>
        <v>17.975999999999999</v>
      </c>
      <c r="Q65" s="177">
        <f t="shared" si="36"/>
        <v>3.9337772736009136E-2</v>
      </c>
      <c r="R65" s="172">
        <f t="shared" si="35"/>
        <v>1.411085345778011</v>
      </c>
      <c r="S65" s="178"/>
      <c r="T65" s="179">
        <v>8.08</v>
      </c>
      <c r="U65" s="180">
        <v>3.2886827662240883</v>
      </c>
      <c r="V65" s="120"/>
      <c r="W65" s="120"/>
    </row>
    <row r="66" spans="1:23">
      <c r="A66" s="95">
        <v>28</v>
      </c>
      <c r="B66" s="95"/>
      <c r="C66" s="120" t="s">
        <v>221</v>
      </c>
      <c r="D66" s="120"/>
      <c r="E66" s="120"/>
      <c r="F66" s="172"/>
      <c r="G66" s="120"/>
      <c r="H66" s="172"/>
      <c r="I66" s="173"/>
      <c r="J66" s="174"/>
      <c r="K66" s="175"/>
      <c r="L66" s="176"/>
      <c r="M66" s="176"/>
      <c r="N66" s="176"/>
      <c r="O66" s="152"/>
      <c r="P66" s="176"/>
      <c r="Q66" s="177"/>
      <c r="R66" s="172"/>
      <c r="S66" s="178"/>
      <c r="T66" s="179">
        <v>8.0500000000000007</v>
      </c>
      <c r="U66" s="180"/>
      <c r="V66" s="120"/>
      <c r="W66" s="120"/>
    </row>
    <row r="67" spans="1:23">
      <c r="A67" s="95">
        <v>29</v>
      </c>
      <c r="B67" s="95"/>
      <c r="C67" s="120" t="s">
        <v>228</v>
      </c>
      <c r="D67" s="120">
        <v>13.555</v>
      </c>
      <c r="E67" s="120">
        <f t="shared" si="26"/>
        <v>2.9319999999999986</v>
      </c>
      <c r="F67" s="172">
        <v>3.0150000000000001</v>
      </c>
      <c r="G67" s="120">
        <v>16.486999999999998</v>
      </c>
      <c r="H67" s="172">
        <f t="shared" si="27"/>
        <v>8.3000000000001517E-2</v>
      </c>
      <c r="I67" s="173">
        <f t="shared" si="28"/>
        <v>2.7529021558872806E-2</v>
      </c>
      <c r="J67" s="174">
        <f t="shared" si="29"/>
        <v>0.97247097844112718</v>
      </c>
      <c r="K67" s="175">
        <v>10.362</v>
      </c>
      <c r="L67" s="176">
        <v>20.701000000000001</v>
      </c>
      <c r="M67" s="176">
        <v>10.34</v>
      </c>
      <c r="N67" s="176">
        <f t="shared" si="33"/>
        <v>10.055349917081255</v>
      </c>
      <c r="O67" s="152">
        <v>27.475999999999999</v>
      </c>
      <c r="P67" s="176">
        <f t="shared" si="34"/>
        <v>17.113999999999997</v>
      </c>
      <c r="Q67" s="177">
        <f t="shared" si="36"/>
        <v>4.0326419297589323E-2</v>
      </c>
      <c r="R67" s="172">
        <f t="shared" si="35"/>
        <v>1.3820638265795455</v>
      </c>
      <c r="S67" s="178"/>
      <c r="T67" s="179">
        <v>7.97</v>
      </c>
      <c r="U67" s="180">
        <v>3.0565106126363641</v>
      </c>
      <c r="V67" s="120"/>
      <c r="W67" s="120"/>
    </row>
    <row r="68" spans="1:23">
      <c r="A68" s="95">
        <v>30</v>
      </c>
      <c r="B68" s="95"/>
      <c r="C68" s="120" t="s">
        <v>229</v>
      </c>
      <c r="D68" s="120"/>
      <c r="E68" s="120"/>
      <c r="F68" s="172"/>
      <c r="G68" s="120"/>
      <c r="H68" s="172"/>
      <c r="I68" s="173"/>
      <c r="J68" s="174"/>
      <c r="K68" s="175"/>
      <c r="L68" s="176"/>
      <c r="M68" s="176"/>
      <c r="N68" s="176"/>
      <c r="O68" s="152"/>
      <c r="P68" s="176"/>
      <c r="Q68" s="177"/>
      <c r="R68" s="172"/>
      <c r="S68" s="178"/>
      <c r="T68" s="179">
        <v>8.0280000000000005</v>
      </c>
      <c r="U68" s="180"/>
      <c r="V68" s="120"/>
      <c r="W68" s="120"/>
    </row>
    <row r="69" spans="1:23">
      <c r="A69" s="95">
        <v>31</v>
      </c>
      <c r="B69" s="95"/>
      <c r="C69" s="148" t="s">
        <v>230</v>
      </c>
      <c r="D69" s="120">
        <v>13.617000000000001</v>
      </c>
      <c r="E69" s="120">
        <f t="shared" si="26"/>
        <v>3.0399999999999991</v>
      </c>
      <c r="F69" s="172">
        <v>3.177</v>
      </c>
      <c r="G69" s="120">
        <v>16.657</v>
      </c>
      <c r="H69" s="172">
        <f t="shared" si="27"/>
        <v>0.1370000000000009</v>
      </c>
      <c r="I69" s="173">
        <f t="shared" si="28"/>
        <v>4.3122442555870603E-2</v>
      </c>
      <c r="J69" s="174">
        <f t="shared" si="29"/>
        <v>0.95687755744412939</v>
      </c>
      <c r="K69" s="175">
        <v>10.349</v>
      </c>
      <c r="L69" s="176">
        <v>21.925999999999998</v>
      </c>
      <c r="M69" s="176">
        <v>11.577999999999999</v>
      </c>
      <c r="N69" s="176">
        <f t="shared" si="33"/>
        <v>11.07872836008813</v>
      </c>
      <c r="O69" s="152">
        <v>29.100999999999999</v>
      </c>
      <c r="P69" s="176">
        <f t="shared" si="34"/>
        <v>18.751999999999999</v>
      </c>
      <c r="Q69" s="177">
        <f t="shared" si="36"/>
        <v>6.5066331982169198E-2</v>
      </c>
      <c r="R69" s="172">
        <f t="shared" si="35"/>
        <v>1.3545250772184534</v>
      </c>
      <c r="S69" s="178"/>
      <c r="T69" s="179">
        <v>8.0180000000000007</v>
      </c>
      <c r="U69" s="180">
        <v>2.8362006177476271</v>
      </c>
      <c r="V69" s="120"/>
      <c r="W69" s="120"/>
    </row>
    <row r="70" spans="1:23">
      <c r="A70" s="95">
        <v>32</v>
      </c>
      <c r="B70" s="95"/>
      <c r="C70" s="148" t="s">
        <v>231</v>
      </c>
      <c r="D70" s="120"/>
      <c r="E70" s="120"/>
      <c r="F70" s="172"/>
      <c r="G70" s="120"/>
      <c r="H70" s="172"/>
      <c r="I70" s="173"/>
      <c r="J70" s="174"/>
      <c r="K70" s="175"/>
      <c r="L70" s="176"/>
      <c r="M70" s="176"/>
      <c r="N70" s="176"/>
      <c r="O70" s="152"/>
      <c r="P70" s="176"/>
      <c r="Q70" s="177"/>
      <c r="R70" s="172"/>
      <c r="S70" s="178"/>
      <c r="T70" s="179">
        <v>8.0079999999999991</v>
      </c>
      <c r="U70" s="180"/>
      <c r="V70" s="120"/>
      <c r="W70" s="120"/>
    </row>
    <row r="71" spans="1:23">
      <c r="A71" s="95">
        <v>33</v>
      </c>
      <c r="B71" s="95"/>
      <c r="C71" s="120" t="s">
        <v>232</v>
      </c>
      <c r="D71" s="120">
        <v>13.842000000000001</v>
      </c>
      <c r="E71" s="120">
        <f t="shared" si="26"/>
        <v>3.5589999999999993</v>
      </c>
      <c r="F71" s="172">
        <v>3.5870000000000002</v>
      </c>
      <c r="G71" s="120">
        <v>17.401</v>
      </c>
      <c r="H71" s="172">
        <f t="shared" si="27"/>
        <v>2.8000000000000913E-2</v>
      </c>
      <c r="I71" s="173">
        <f t="shared" si="28"/>
        <v>7.8059659882913053E-3</v>
      </c>
      <c r="J71" s="174">
        <f t="shared" si="29"/>
        <v>0.99219403401170869</v>
      </c>
      <c r="K71" s="175">
        <v>10.388999999999999</v>
      </c>
      <c r="L71" s="176">
        <v>24.207999999999998</v>
      </c>
      <c r="M71" s="176">
        <v>13.82</v>
      </c>
      <c r="N71" s="176">
        <f t="shared" si="33"/>
        <v>13.712121550041815</v>
      </c>
      <c r="O71" s="152">
        <v>29.379000000000001</v>
      </c>
      <c r="P71" s="176">
        <f t="shared" si="34"/>
        <v>18.990000000000002</v>
      </c>
      <c r="Q71" s="177">
        <f t="shared" si="36"/>
        <v>2.0439737478046768E-2</v>
      </c>
      <c r="R71" s="172">
        <f t="shared" si="35"/>
        <v>1.221334921853598</v>
      </c>
      <c r="S71" s="178"/>
      <c r="T71" s="179">
        <v>8.0860000000000003</v>
      </c>
      <c r="U71" s="180">
        <v>1.7706793748287843</v>
      </c>
      <c r="V71" s="120"/>
      <c r="W71" s="120"/>
    </row>
    <row r="72" spans="1:23">
      <c r="A72" s="95">
        <v>34</v>
      </c>
      <c r="B72" s="95"/>
      <c r="C72" s="120" t="s">
        <v>233</v>
      </c>
      <c r="D72" s="120"/>
      <c r="E72" s="120"/>
      <c r="F72" s="172"/>
      <c r="G72" s="120"/>
      <c r="H72" s="172"/>
      <c r="I72" s="173"/>
      <c r="J72" s="174"/>
      <c r="K72" s="175"/>
      <c r="L72" s="176"/>
      <c r="M72" s="176"/>
      <c r="N72" s="176"/>
      <c r="O72" s="152"/>
      <c r="P72" s="176"/>
      <c r="Q72" s="177"/>
      <c r="R72" s="172"/>
      <c r="S72" s="178"/>
      <c r="T72" s="179">
        <v>8.0169999999999995</v>
      </c>
      <c r="U72" s="180"/>
      <c r="V72" s="120"/>
      <c r="W72" s="120"/>
    </row>
    <row r="73" spans="1:23">
      <c r="A73" s="95">
        <v>35</v>
      </c>
      <c r="B73" s="95"/>
      <c r="C73" s="120" t="s">
        <v>234</v>
      </c>
      <c r="D73" s="120">
        <v>13.590999999999999</v>
      </c>
      <c r="E73" s="120">
        <f t="shared" si="26"/>
        <v>3.8310000000000013</v>
      </c>
      <c r="F73" s="172">
        <v>3.8879999999999999</v>
      </c>
      <c r="G73" s="120">
        <v>17.422000000000001</v>
      </c>
      <c r="H73" s="172">
        <f t="shared" si="27"/>
        <v>5.6999999999998607E-2</v>
      </c>
      <c r="I73" s="173">
        <f t="shared" si="28"/>
        <v>1.4660493827160136E-2</v>
      </c>
      <c r="J73" s="174">
        <f t="shared" si="29"/>
        <v>0.98533950617283983</v>
      </c>
      <c r="K73" s="175">
        <v>10.521000000000001</v>
      </c>
      <c r="L73" s="176">
        <v>22.456</v>
      </c>
      <c r="M73" s="176">
        <v>11.938000000000001</v>
      </c>
      <c r="N73" s="176">
        <f t="shared" si="33"/>
        <v>11.762983024691362</v>
      </c>
      <c r="O73" s="152">
        <v>26.756</v>
      </c>
      <c r="P73" s="176">
        <f t="shared" si="34"/>
        <v>16.234999999999999</v>
      </c>
      <c r="Q73" s="177">
        <f t="shared" si="36"/>
        <v>3.9136026601634205E-2</v>
      </c>
      <c r="R73" s="172">
        <f t="shared" si="35"/>
        <v>1.2101016258901443</v>
      </c>
      <c r="S73" s="178"/>
      <c r="T73" s="179">
        <v>8.0619999999999994</v>
      </c>
      <c r="U73" s="181">
        <v>1.680813007121154</v>
      </c>
      <c r="V73" s="120"/>
      <c r="W73" s="165" t="s">
        <v>247</v>
      </c>
    </row>
    <row r="74" spans="1:23">
      <c r="A74" s="95">
        <v>36</v>
      </c>
      <c r="B74" s="95"/>
      <c r="C74" s="120" t="s">
        <v>235</v>
      </c>
      <c r="D74" s="120"/>
      <c r="E74" s="120"/>
      <c r="F74" s="172"/>
      <c r="G74" s="120"/>
      <c r="H74" s="172"/>
      <c r="I74" s="173"/>
      <c r="J74" s="174"/>
      <c r="K74" s="175"/>
      <c r="L74" s="176"/>
      <c r="M74" s="176"/>
      <c r="N74" s="176"/>
      <c r="O74" s="152"/>
      <c r="P74" s="176"/>
      <c r="Q74" s="177"/>
      <c r="R74" s="172"/>
      <c r="S74" s="178"/>
      <c r="T74" s="179">
        <v>8.0229999999999997</v>
      </c>
      <c r="U74" s="180"/>
      <c r="V74" s="120"/>
      <c r="W74" s="120"/>
    </row>
    <row r="75" spans="1:23">
      <c r="A75" s="95">
        <v>37</v>
      </c>
      <c r="B75" s="95" t="s">
        <v>285</v>
      </c>
      <c r="C75" s="148" t="s">
        <v>236</v>
      </c>
      <c r="D75" s="120">
        <v>13.593999999999999</v>
      </c>
      <c r="E75" s="120">
        <f t="shared" si="26"/>
        <v>3.5969999999999995</v>
      </c>
      <c r="F75" s="172">
        <v>3.6779999999999999</v>
      </c>
      <c r="G75" s="120">
        <v>17.190999999999999</v>
      </c>
      <c r="H75" s="172">
        <f t="shared" si="27"/>
        <v>8.1000000000000405E-2</v>
      </c>
      <c r="I75" s="173">
        <f t="shared" si="28"/>
        <v>2.202283849918445E-2</v>
      </c>
      <c r="J75" s="174">
        <f t="shared" si="29"/>
        <v>0.97797716150081559</v>
      </c>
      <c r="K75" s="175">
        <v>10.339</v>
      </c>
      <c r="L75" s="176">
        <v>20.684999999999999</v>
      </c>
      <c r="M75" s="176">
        <v>10.346</v>
      </c>
      <c r="N75" s="176">
        <f t="shared" si="33"/>
        <v>10.118151712887439</v>
      </c>
      <c r="O75" s="152">
        <v>25.084</v>
      </c>
      <c r="P75" s="176">
        <f t="shared" si="34"/>
        <v>14.744999999999999</v>
      </c>
      <c r="Q75" s="177">
        <f t="shared" si="36"/>
        <v>4.9244814822911029E-2</v>
      </c>
      <c r="R75" s="172">
        <f t="shared" si="35"/>
        <v>1.2463039517837788</v>
      </c>
      <c r="S75" s="178"/>
      <c r="T75" s="179">
        <v>8.0549999999999997</v>
      </c>
      <c r="U75" s="181">
        <v>1.9704316142702307</v>
      </c>
      <c r="V75" s="120"/>
      <c r="W75" s="120"/>
    </row>
    <row r="76" spans="1:23">
      <c r="A76" s="95">
        <v>38</v>
      </c>
      <c r="B76" s="95" t="s">
        <v>285</v>
      </c>
      <c r="C76" s="148" t="s">
        <v>237</v>
      </c>
      <c r="D76" s="120"/>
      <c r="E76" s="120"/>
      <c r="F76" s="172"/>
      <c r="G76" s="120"/>
      <c r="H76" s="172"/>
      <c r="I76" s="173"/>
      <c r="J76" s="174"/>
      <c r="K76" s="175"/>
      <c r="L76" s="176"/>
      <c r="M76" s="176"/>
      <c r="N76" s="176"/>
      <c r="O76" s="152"/>
      <c r="P76" s="176"/>
      <c r="Q76" s="177"/>
      <c r="R76" s="172"/>
      <c r="S76" s="178"/>
      <c r="T76" s="179">
        <v>8.0020000000000007</v>
      </c>
      <c r="U76" s="180"/>
      <c r="V76" s="120"/>
      <c r="W76" s="120"/>
    </row>
    <row r="77" spans="1:23">
      <c r="A77" s="95">
        <v>39</v>
      </c>
      <c r="B77" s="95"/>
      <c r="C77" s="120" t="s">
        <v>195</v>
      </c>
      <c r="D77" s="120">
        <v>13.864000000000001</v>
      </c>
      <c r="E77" s="120">
        <f t="shared" si="26"/>
        <v>3.1920000000000002</v>
      </c>
      <c r="F77" s="172">
        <v>3.2749999999999999</v>
      </c>
      <c r="G77" s="120">
        <v>17.056000000000001</v>
      </c>
      <c r="H77" s="172">
        <f t="shared" si="27"/>
        <v>8.2999999999999741E-2</v>
      </c>
      <c r="I77" s="173">
        <f t="shared" si="28"/>
        <v>2.5343511450381599E-2</v>
      </c>
      <c r="J77" s="174">
        <f t="shared" si="29"/>
        <v>0.97465648854961839</v>
      </c>
      <c r="K77" s="175">
        <v>10.355</v>
      </c>
      <c r="L77" s="176">
        <v>20.669</v>
      </c>
      <c r="M77" s="176">
        <v>10.316000000000001</v>
      </c>
      <c r="N77" s="176">
        <f t="shared" si="33"/>
        <v>10.054556335877864</v>
      </c>
      <c r="O77" s="152">
        <v>26.73</v>
      </c>
      <c r="P77" s="176">
        <f t="shared" si="34"/>
        <v>16.375</v>
      </c>
      <c r="Q77" s="177">
        <f t="shared" si="36"/>
        <v>4.1364764566483851E-2</v>
      </c>
      <c r="R77" s="172">
        <f t="shared" si="35"/>
        <v>1.3422666279906112</v>
      </c>
      <c r="S77" s="178"/>
      <c r="T77" s="179">
        <v>8.1020000000000003</v>
      </c>
      <c r="U77" s="180">
        <v>2.73813302392489</v>
      </c>
      <c r="V77" s="120"/>
      <c r="W77" s="120"/>
    </row>
    <row r="78" spans="1:23">
      <c r="A78" s="95">
        <v>40</v>
      </c>
      <c r="B78" s="95"/>
      <c r="C78" s="120" t="s">
        <v>196</v>
      </c>
      <c r="D78" s="120"/>
      <c r="E78" s="120"/>
      <c r="F78" s="172"/>
      <c r="G78" s="120"/>
      <c r="H78" s="172"/>
      <c r="I78" s="173"/>
      <c r="J78" s="174"/>
      <c r="K78" s="175"/>
      <c r="L78" s="176"/>
      <c r="M78" s="176"/>
      <c r="N78" s="176"/>
      <c r="O78" s="152"/>
      <c r="P78" s="176"/>
      <c r="Q78" s="177"/>
      <c r="R78" s="172"/>
      <c r="S78" s="178"/>
      <c r="T78" s="179">
        <v>7.9859999999999998</v>
      </c>
      <c r="U78" s="180"/>
      <c r="V78" s="120"/>
      <c r="W78" s="120"/>
    </row>
    <row r="79" spans="1:23">
      <c r="A79" s="95">
        <v>41</v>
      </c>
      <c r="B79" s="95"/>
      <c r="C79" s="120" t="s">
        <v>238</v>
      </c>
      <c r="D79" s="120">
        <v>13.938000000000001</v>
      </c>
      <c r="E79" s="120">
        <f t="shared" si="26"/>
        <v>3.3040000000000003</v>
      </c>
      <c r="F79" s="172">
        <v>3.3809999999999998</v>
      </c>
      <c r="G79" s="120">
        <v>17.242000000000001</v>
      </c>
      <c r="H79" s="172">
        <f t="shared" si="27"/>
        <v>7.6999999999999513E-2</v>
      </c>
      <c r="I79" s="173">
        <f t="shared" si="28"/>
        <v>2.2774327122153066E-2</v>
      </c>
      <c r="J79" s="174">
        <f t="shared" si="29"/>
        <v>0.9772256728778469</v>
      </c>
      <c r="K79" s="175">
        <v>10.353999999999999</v>
      </c>
      <c r="L79" s="176">
        <v>22.742000000000001</v>
      </c>
      <c r="M79" s="176">
        <v>12.388</v>
      </c>
      <c r="N79" s="176">
        <f t="shared" si="33"/>
        <v>12.105871635610768</v>
      </c>
      <c r="O79" s="152">
        <v>28.713999999999999</v>
      </c>
      <c r="P79" s="176">
        <f t="shared" si="34"/>
        <v>18.36</v>
      </c>
      <c r="Q79" s="177">
        <f t="shared" si="36"/>
        <v>4.5110740930048701E-2</v>
      </c>
      <c r="R79" s="172">
        <f t="shared" si="35"/>
        <v>1.2801379281760015</v>
      </c>
      <c r="S79" s="178"/>
      <c r="T79" s="179">
        <v>8.0489999999999995</v>
      </c>
      <c r="U79" s="180">
        <v>2.2411034254080118</v>
      </c>
      <c r="V79" s="120"/>
      <c r="W79" s="120"/>
    </row>
    <row r="80" spans="1:23">
      <c r="A80" s="95">
        <v>42</v>
      </c>
      <c r="B80" s="95"/>
      <c r="C80" s="120" t="s">
        <v>239</v>
      </c>
      <c r="D80" s="120"/>
      <c r="E80" s="120"/>
      <c r="F80" s="172"/>
      <c r="G80" s="120"/>
      <c r="H80" s="172"/>
      <c r="I80" s="173"/>
      <c r="J80" s="174"/>
      <c r="K80" s="175"/>
      <c r="L80" s="176"/>
      <c r="M80" s="176"/>
      <c r="N80" s="176"/>
      <c r="O80" s="152"/>
      <c r="P80" s="176"/>
      <c r="Q80" s="177"/>
      <c r="R80" s="172"/>
      <c r="S80" s="178"/>
      <c r="T80" s="179">
        <v>8.0150000000000006</v>
      </c>
      <c r="U80" s="180"/>
      <c r="V80" s="120"/>
      <c r="W80" s="120"/>
    </row>
    <row r="81" spans="1:23">
      <c r="A81" s="95"/>
      <c r="B81" s="148" t="s">
        <v>286</v>
      </c>
      <c r="C81" s="147" t="s">
        <v>240</v>
      </c>
      <c r="D81" s="120">
        <v>13.66</v>
      </c>
      <c r="E81" s="120">
        <f t="shared" si="26"/>
        <v>3.6030000000000015</v>
      </c>
      <c r="F81" s="172">
        <v>3.6869999999999998</v>
      </c>
      <c r="G81" s="120">
        <v>17.263000000000002</v>
      </c>
      <c r="H81" s="172">
        <f t="shared" si="27"/>
        <v>8.3999999999998298E-2</v>
      </c>
      <c r="I81" s="173">
        <f t="shared" si="28"/>
        <v>2.2782750203416951E-2</v>
      </c>
      <c r="J81" s="174">
        <f t="shared" si="29"/>
        <v>0.97721724979658309</v>
      </c>
      <c r="K81" s="175">
        <v>10.385999999999999</v>
      </c>
      <c r="L81" s="176">
        <v>21.213000000000001</v>
      </c>
      <c r="M81" s="176">
        <v>10.83</v>
      </c>
      <c r="N81" s="176">
        <f t="shared" si="33"/>
        <v>10.583262815296996</v>
      </c>
      <c r="O81" s="152">
        <v>26.448</v>
      </c>
      <c r="P81" s="176">
        <f t="shared" si="34"/>
        <v>16.062000000000001</v>
      </c>
      <c r="Q81" s="177">
        <f t="shared" si="36"/>
        <v>4.5035411698869383E-2</v>
      </c>
      <c r="R81" s="172">
        <f t="shared" si="35"/>
        <v>1.2807483957635086</v>
      </c>
      <c r="S81" s="178"/>
      <c r="T81" s="179"/>
      <c r="U81" s="180">
        <v>2.245987166108069</v>
      </c>
      <c r="V81" s="120"/>
      <c r="W81" s="120"/>
    </row>
    <row r="82" spans="1:23">
      <c r="A82" s="95"/>
      <c r="B82" s="148" t="s">
        <v>287</v>
      </c>
      <c r="C82" s="147" t="s">
        <v>241</v>
      </c>
      <c r="D82" s="120"/>
      <c r="E82" s="120"/>
      <c r="F82" s="172"/>
      <c r="G82" s="120"/>
      <c r="H82" s="172"/>
      <c r="I82" s="173"/>
      <c r="J82" s="174"/>
      <c r="K82" s="175"/>
      <c r="L82" s="176"/>
      <c r="M82" s="176"/>
      <c r="N82" s="176"/>
      <c r="O82" s="152"/>
      <c r="P82" s="176"/>
      <c r="Q82" s="177"/>
      <c r="R82" s="172"/>
      <c r="S82" s="178"/>
      <c r="T82" s="179"/>
      <c r="U82" s="180"/>
      <c r="V82" s="120"/>
      <c r="W82" s="120"/>
    </row>
    <row r="83" spans="1:23">
      <c r="A83" s="95">
        <v>43</v>
      </c>
      <c r="B83" s="95"/>
      <c r="C83" s="120" t="s">
        <v>242</v>
      </c>
      <c r="D83" s="120">
        <v>13.597</v>
      </c>
      <c r="E83" s="120">
        <f t="shared" si="26"/>
        <v>2.9380000000000006</v>
      </c>
      <c r="F83" s="172">
        <v>3.0270000000000001</v>
      </c>
      <c r="G83" s="120">
        <v>16.535</v>
      </c>
      <c r="H83" s="172">
        <f t="shared" si="27"/>
        <v>8.8999999999999524E-2</v>
      </c>
      <c r="I83" s="173">
        <f t="shared" si="28"/>
        <v>2.9402048232573346E-2</v>
      </c>
      <c r="J83" s="174">
        <f t="shared" si="29"/>
        <v>0.97059795176742669</v>
      </c>
      <c r="K83" s="175">
        <v>10.473000000000001</v>
      </c>
      <c r="L83" s="176">
        <v>20.847999999999999</v>
      </c>
      <c r="M83" s="176">
        <v>10.378</v>
      </c>
      <c r="N83" s="176">
        <f t="shared" si="33"/>
        <v>10.072865543442354</v>
      </c>
      <c r="O83" s="152">
        <v>27.815999999999999</v>
      </c>
      <c r="P83" s="176">
        <f t="shared" si="34"/>
        <v>17.342999999999996</v>
      </c>
      <c r="Q83" s="177">
        <f t="shared" si="36"/>
        <v>4.1970950933708694E-2</v>
      </c>
      <c r="R83" s="172">
        <f t="shared" si="35"/>
        <v>1.3909179242028271</v>
      </c>
      <c r="S83" s="178"/>
      <c r="T83" s="179">
        <v>8.1419999999999995</v>
      </c>
      <c r="U83" s="180">
        <v>3.1273433936226169</v>
      </c>
      <c r="V83" s="120"/>
      <c r="W83" s="120"/>
    </row>
    <row r="84" spans="1:23">
      <c r="A84" s="95">
        <v>44</v>
      </c>
      <c r="B84" s="95"/>
      <c r="C84" s="120" t="s">
        <v>243</v>
      </c>
      <c r="D84" s="120"/>
      <c r="E84" s="120"/>
      <c r="F84" s="172"/>
      <c r="G84" s="120"/>
      <c r="H84" s="172"/>
      <c r="I84" s="173"/>
      <c r="J84" s="174"/>
      <c r="K84" s="175"/>
      <c r="L84" s="176"/>
      <c r="M84" s="176"/>
      <c r="N84" s="176"/>
      <c r="O84" s="152"/>
      <c r="P84" s="176"/>
      <c r="Q84" s="177"/>
      <c r="R84" s="172"/>
      <c r="S84" s="178"/>
      <c r="T84" s="179">
        <v>8.0820000000000007</v>
      </c>
      <c r="U84" s="180"/>
      <c r="V84" s="120"/>
      <c r="W84" s="120"/>
    </row>
    <row r="85" spans="1:23">
      <c r="A85" s="95">
        <v>45</v>
      </c>
      <c r="B85" s="95"/>
      <c r="C85" s="120" t="s">
        <v>244</v>
      </c>
      <c r="D85" s="120">
        <v>13.603</v>
      </c>
      <c r="E85" s="120">
        <f t="shared" si="26"/>
        <v>2.9670000000000005</v>
      </c>
      <c r="F85" s="172">
        <v>3.05</v>
      </c>
      <c r="G85" s="120">
        <v>16.57</v>
      </c>
      <c r="H85" s="172">
        <f t="shared" si="27"/>
        <v>8.2999999999999297E-2</v>
      </c>
      <c r="I85" s="173">
        <f t="shared" si="28"/>
        <v>2.7213114754098131E-2</v>
      </c>
      <c r="J85" s="174">
        <f t="shared" si="29"/>
        <v>0.97278688524590184</v>
      </c>
      <c r="K85" s="175">
        <v>10.433</v>
      </c>
      <c r="L85" s="176">
        <v>20.334</v>
      </c>
      <c r="M85" s="176">
        <v>9.9550000000000001</v>
      </c>
      <c r="N85" s="176">
        <f t="shared" si="33"/>
        <v>9.6840934426229524</v>
      </c>
      <c r="O85" s="152">
        <v>26.49</v>
      </c>
      <c r="P85" s="176">
        <f t="shared" si="34"/>
        <v>16.056999999999999</v>
      </c>
      <c r="Q85" s="177">
        <f t="shared" si="36"/>
        <v>4.2509105529478709E-2</v>
      </c>
      <c r="R85" s="172">
        <f t="shared" si="35"/>
        <v>1.3568897415418564</v>
      </c>
      <c r="S85" s="178"/>
      <c r="T85" s="179">
        <v>7.992</v>
      </c>
      <c r="U85" s="181">
        <v>2.855117932334851</v>
      </c>
      <c r="V85" s="120"/>
      <c r="W85" s="165">
        <v>2.7</v>
      </c>
    </row>
    <row r="86" spans="1:23">
      <c r="A86" s="95">
        <v>46</v>
      </c>
      <c r="B86" s="95"/>
      <c r="C86" s="120" t="s">
        <v>245</v>
      </c>
      <c r="D86" s="120"/>
      <c r="E86" s="120"/>
      <c r="F86" s="172"/>
      <c r="G86" s="120"/>
      <c r="H86" s="172"/>
      <c r="I86" s="173"/>
      <c r="J86" s="174"/>
      <c r="K86" s="175"/>
      <c r="L86" s="176"/>
      <c r="M86" s="176"/>
      <c r="N86" s="176"/>
      <c r="O86" s="152"/>
      <c r="P86" s="176"/>
      <c r="Q86" s="177"/>
      <c r="R86" s="172"/>
      <c r="S86" s="178"/>
      <c r="T86" s="179">
        <v>8.06</v>
      </c>
      <c r="U86" s="180"/>
      <c r="V86" s="120"/>
      <c r="W86" s="120"/>
    </row>
    <row r="87" spans="1:23">
      <c r="A87" s="95">
        <v>47</v>
      </c>
      <c r="B87" s="95" t="s">
        <v>285</v>
      </c>
      <c r="C87" s="148" t="s">
        <v>283</v>
      </c>
      <c r="D87" s="120">
        <v>13.762</v>
      </c>
      <c r="E87" s="120">
        <f t="shared" si="26"/>
        <v>3.5079999999999991</v>
      </c>
      <c r="F87" s="172">
        <v>3.5870000000000002</v>
      </c>
      <c r="G87" s="120">
        <v>17.27</v>
      </c>
      <c r="H87" s="172">
        <f t="shared" si="27"/>
        <v>7.9000000000001069E-2</v>
      </c>
      <c r="I87" s="173">
        <f t="shared" si="28"/>
        <v>2.2023975466964333E-2</v>
      </c>
      <c r="J87" s="174">
        <f t="shared" si="29"/>
        <v>0.97797602453303567</v>
      </c>
      <c r="K87" s="175">
        <v>10.355</v>
      </c>
      <c r="L87" s="176">
        <v>20.64</v>
      </c>
      <c r="M87" s="176">
        <v>10.282999999999999</v>
      </c>
      <c r="N87" s="176">
        <f t="shared" si="33"/>
        <v>10.056527460273205</v>
      </c>
      <c r="O87" s="152">
        <v>26.411999999999999</v>
      </c>
      <c r="P87" s="176">
        <f t="shared" si="34"/>
        <v>16.056999999999999</v>
      </c>
      <c r="Q87" s="177">
        <f t="shared" si="36"/>
        <v>3.7742450819899201E-2</v>
      </c>
      <c r="R87" s="172">
        <f t="shared" si="35"/>
        <v>1.3280959821170166</v>
      </c>
      <c r="S87" s="178"/>
      <c r="T87" s="179">
        <v>7.9939999999999998</v>
      </c>
      <c r="U87" s="181">
        <v>2.624767856936133</v>
      </c>
      <c r="V87" s="120"/>
      <c r="W87" s="120"/>
    </row>
    <row r="88" spans="1:23">
      <c r="A88" s="95">
        <v>48</v>
      </c>
      <c r="B88" s="95" t="s">
        <v>285</v>
      </c>
      <c r="C88" s="148" t="s">
        <v>284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>
        <v>8.0060000000000002</v>
      </c>
      <c r="U88" s="120"/>
      <c r="V88" s="120"/>
      <c r="W88" s="120"/>
    </row>
    <row r="91" spans="1:23">
      <c r="A91" s="163"/>
      <c r="B91" s="163"/>
      <c r="C91" s="164"/>
      <c r="D91" s="171" t="s">
        <v>289</v>
      </c>
      <c r="E91" s="171" t="s">
        <v>290</v>
      </c>
      <c r="F91" s="171" t="s">
        <v>291</v>
      </c>
      <c r="G91" s="164"/>
    </row>
    <row r="92" spans="1:23">
      <c r="A92" s="95">
        <v>27</v>
      </c>
      <c r="B92" s="95"/>
      <c r="C92" s="120" t="s">
        <v>220</v>
      </c>
      <c r="D92" s="178"/>
      <c r="E92" s="182">
        <v>8</v>
      </c>
      <c r="F92" s="184">
        <v>3.2886827662240883</v>
      </c>
      <c r="G92" s="120"/>
    </row>
    <row r="93" spans="1:23">
      <c r="A93" s="95">
        <v>28</v>
      </c>
      <c r="B93" s="95"/>
      <c r="C93" s="120" t="s">
        <v>221</v>
      </c>
      <c r="D93" s="178"/>
      <c r="E93" s="182"/>
      <c r="F93" s="184"/>
      <c r="G93" s="120"/>
    </row>
    <row r="94" spans="1:23">
      <c r="A94" s="95">
        <v>29</v>
      </c>
      <c r="B94" s="95"/>
      <c r="C94" s="120" t="s">
        <v>228</v>
      </c>
      <c r="D94" s="178"/>
      <c r="E94" s="182">
        <v>8</v>
      </c>
      <c r="F94" s="184">
        <v>3.0565106126363641</v>
      </c>
      <c r="G94" s="120"/>
    </row>
    <row r="95" spans="1:23">
      <c r="A95" s="95">
        <v>30</v>
      </c>
      <c r="B95" s="95"/>
      <c r="C95" s="120" t="s">
        <v>229</v>
      </c>
      <c r="D95" s="178"/>
      <c r="E95" s="182"/>
      <c r="F95" s="184"/>
      <c r="G95" s="120"/>
    </row>
    <row r="96" spans="1:23">
      <c r="A96" s="95">
        <v>31</v>
      </c>
      <c r="B96" s="95"/>
      <c r="C96" s="148" t="s">
        <v>230</v>
      </c>
      <c r="D96" s="178"/>
      <c r="E96" s="182">
        <v>8</v>
      </c>
      <c r="F96" s="184">
        <v>2.8362006177476271</v>
      </c>
      <c r="G96" s="120"/>
    </row>
    <row r="97" spans="1:7">
      <c r="A97" s="95">
        <v>32</v>
      </c>
      <c r="B97" s="95"/>
      <c r="C97" s="148" t="s">
        <v>231</v>
      </c>
      <c r="D97" s="178"/>
      <c r="E97" s="182"/>
      <c r="F97" s="184"/>
      <c r="G97" s="120"/>
    </row>
    <row r="98" spans="1:7">
      <c r="A98" s="95">
        <v>33</v>
      </c>
      <c r="B98" s="95"/>
      <c r="C98" s="120" t="s">
        <v>232</v>
      </c>
      <c r="D98" s="178"/>
      <c r="E98" s="182">
        <v>8</v>
      </c>
      <c r="F98" s="184">
        <v>1.7706793748287843</v>
      </c>
      <c r="G98" s="120"/>
    </row>
    <row r="99" spans="1:7">
      <c r="A99" s="95">
        <v>34</v>
      </c>
      <c r="B99" s="95"/>
      <c r="C99" s="120" t="s">
        <v>233</v>
      </c>
      <c r="D99" s="178"/>
      <c r="E99" s="182"/>
      <c r="F99" s="184"/>
      <c r="G99" s="120"/>
    </row>
    <row r="100" spans="1:7">
      <c r="A100" s="95">
        <v>35</v>
      </c>
      <c r="B100" s="95"/>
      <c r="C100" s="120" t="s">
        <v>234</v>
      </c>
      <c r="D100" s="178"/>
      <c r="E100" s="182">
        <v>8</v>
      </c>
      <c r="F100" s="185">
        <v>1.680813007121154</v>
      </c>
      <c r="G100" s="120"/>
    </row>
    <row r="101" spans="1:7">
      <c r="A101" s="95">
        <v>36</v>
      </c>
      <c r="B101" s="95"/>
      <c r="C101" s="120" t="s">
        <v>235</v>
      </c>
      <c r="D101" s="178"/>
      <c r="E101" s="182"/>
      <c r="F101" s="184"/>
      <c r="G101" s="120"/>
    </row>
    <row r="102" spans="1:7">
      <c r="A102" s="95">
        <v>37</v>
      </c>
      <c r="B102" s="95" t="s">
        <v>285</v>
      </c>
      <c r="C102" s="148" t="s">
        <v>236</v>
      </c>
      <c r="D102" s="178"/>
      <c r="E102" s="182">
        <v>8</v>
      </c>
      <c r="F102" s="185">
        <v>1.9704316142702307</v>
      </c>
      <c r="G102" s="120"/>
    </row>
    <row r="103" spans="1:7">
      <c r="A103" s="95">
        <v>38</v>
      </c>
      <c r="B103" s="95" t="s">
        <v>285</v>
      </c>
      <c r="C103" s="148" t="s">
        <v>237</v>
      </c>
      <c r="D103" s="178"/>
      <c r="E103" s="182"/>
      <c r="F103" s="184"/>
      <c r="G103" s="120"/>
    </row>
    <row r="104" spans="1:7">
      <c r="A104" s="95">
        <v>39</v>
      </c>
      <c r="B104" s="95"/>
      <c r="C104" s="120" t="s">
        <v>195</v>
      </c>
      <c r="D104" s="178"/>
      <c r="E104" s="182">
        <v>8</v>
      </c>
      <c r="F104" s="184">
        <v>2.73813302392489</v>
      </c>
      <c r="G104" s="120"/>
    </row>
    <row r="105" spans="1:7">
      <c r="A105" s="95">
        <v>40</v>
      </c>
      <c r="B105" s="95"/>
      <c r="C105" s="120" t="s">
        <v>196</v>
      </c>
      <c r="D105" s="178"/>
      <c r="E105" s="182"/>
      <c r="F105" s="184"/>
      <c r="G105" s="120"/>
    </row>
    <row r="106" spans="1:7">
      <c r="A106" s="95">
        <v>41</v>
      </c>
      <c r="B106" s="95"/>
      <c r="C106" s="120" t="s">
        <v>238</v>
      </c>
      <c r="D106" s="178"/>
      <c r="E106" s="182">
        <v>8</v>
      </c>
      <c r="F106" s="184">
        <v>2.2411034254080118</v>
      </c>
      <c r="G106" s="120"/>
    </row>
    <row r="107" spans="1:7">
      <c r="A107" s="95">
        <v>42</v>
      </c>
      <c r="B107" s="95"/>
      <c r="C107" s="120" t="s">
        <v>239</v>
      </c>
      <c r="D107" s="178"/>
      <c r="E107" s="182"/>
      <c r="F107" s="184"/>
      <c r="G107" s="120"/>
    </row>
    <row r="108" spans="1:7">
      <c r="A108" s="95"/>
      <c r="B108" s="148" t="s">
        <v>286</v>
      </c>
      <c r="C108" s="147" t="s">
        <v>240</v>
      </c>
      <c r="D108" s="178"/>
      <c r="E108" s="182">
        <v>8</v>
      </c>
      <c r="F108" s="184">
        <v>2.245987166108069</v>
      </c>
      <c r="G108" s="120"/>
    </row>
    <row r="109" spans="1:7">
      <c r="A109" s="95"/>
      <c r="B109" s="148" t="s">
        <v>287</v>
      </c>
      <c r="C109" s="147" t="s">
        <v>241</v>
      </c>
      <c r="D109" s="178"/>
      <c r="E109" s="182"/>
      <c r="F109" s="184"/>
      <c r="G109" s="120"/>
    </row>
    <row r="110" spans="1:7">
      <c r="A110" s="95">
        <v>43</v>
      </c>
      <c r="B110" s="95"/>
      <c r="C110" s="120" t="s">
        <v>242</v>
      </c>
      <c r="D110" s="178"/>
      <c r="E110" s="182">
        <v>8</v>
      </c>
      <c r="F110" s="184">
        <v>3.1273433936226169</v>
      </c>
      <c r="G110" s="120"/>
    </row>
    <row r="111" spans="1:7">
      <c r="A111" s="95">
        <v>44</v>
      </c>
      <c r="B111" s="95"/>
      <c r="C111" s="120" t="s">
        <v>243</v>
      </c>
      <c r="D111" s="178"/>
      <c r="E111" s="182"/>
      <c r="F111" s="184"/>
      <c r="G111" s="120"/>
    </row>
    <row r="112" spans="1:7">
      <c r="A112" s="95">
        <v>45</v>
      </c>
      <c r="B112" s="95"/>
      <c r="C112" s="120" t="s">
        <v>244</v>
      </c>
      <c r="D112" s="178"/>
      <c r="E112" s="182">
        <v>8</v>
      </c>
      <c r="F112" s="185">
        <v>2.855117932334851</v>
      </c>
      <c r="G112" s="120"/>
    </row>
    <row r="113" spans="1:7">
      <c r="A113" s="95">
        <v>46</v>
      </c>
      <c r="B113" s="95"/>
      <c r="C113" s="120" t="s">
        <v>245</v>
      </c>
      <c r="D113" s="178"/>
      <c r="E113" s="182"/>
      <c r="F113" s="184"/>
      <c r="G113" s="120"/>
    </row>
    <row r="114" spans="1:7">
      <c r="A114" s="95">
        <v>47</v>
      </c>
      <c r="B114" s="95" t="s">
        <v>285</v>
      </c>
      <c r="C114" s="148" t="s">
        <v>283</v>
      </c>
      <c r="D114" s="178"/>
      <c r="E114" s="182">
        <v>8</v>
      </c>
      <c r="F114" s="185">
        <v>2.624767856936133</v>
      </c>
      <c r="G114" s="120"/>
    </row>
    <row r="115" spans="1:7">
      <c r="A115" s="95">
        <v>48</v>
      </c>
      <c r="B115" s="95" t="s">
        <v>285</v>
      </c>
      <c r="C115" s="148" t="s">
        <v>284</v>
      </c>
      <c r="D115" s="120"/>
      <c r="E115" s="183"/>
      <c r="F115" s="183"/>
      <c r="G115" s="120"/>
    </row>
  </sheetData>
  <mergeCells count="1">
    <mergeCell ref="A1:B1"/>
  </mergeCells>
  <pageMargins left="0.70866141732283461" right="0.70866141732283461" top="0.78740157480314965" bottom="0.78740157480314965" header="0.31496062992125984" footer="0.31496062992125984"/>
  <pageSetup paperSize="9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RowHeight="14" x14ac:dyDescent="0"/>
  <cols>
    <col min="2" max="2" width="30" bestFit="1" customWidth="1"/>
    <col min="3" max="3" width="10.33203125" customWidth="1"/>
    <col min="4" max="4" width="10.6640625" customWidth="1"/>
    <col min="5" max="5" width="10.5" customWidth="1"/>
  </cols>
  <sheetData>
    <row r="1" spans="1:10">
      <c r="A1" s="94" t="s">
        <v>115</v>
      </c>
      <c r="B1" s="94" t="s">
        <v>1</v>
      </c>
      <c r="C1" s="94" t="s">
        <v>116</v>
      </c>
      <c r="D1" s="94" t="s">
        <v>117</v>
      </c>
      <c r="E1" s="94" t="s">
        <v>99</v>
      </c>
      <c r="F1" s="94" t="s">
        <v>130</v>
      </c>
      <c r="G1" s="94"/>
      <c r="H1" s="94"/>
      <c r="I1" s="94"/>
      <c r="J1" s="94" t="s">
        <v>99</v>
      </c>
    </row>
    <row r="2" spans="1:10">
      <c r="A2" s="95">
        <v>27</v>
      </c>
      <c r="B2" s="120" t="s">
        <v>220</v>
      </c>
      <c r="C2" s="95"/>
      <c r="D2" s="95"/>
      <c r="E2" s="95"/>
      <c r="F2" s="123"/>
      <c r="G2" s="95"/>
      <c r="H2" s="95"/>
      <c r="I2" s="95"/>
      <c r="J2" s="95"/>
    </row>
    <row r="3" spans="1:10">
      <c r="A3" s="95">
        <v>28</v>
      </c>
      <c r="B3" s="120" t="s">
        <v>221</v>
      </c>
      <c r="C3" s="95"/>
      <c r="D3" s="95"/>
      <c r="E3" s="95"/>
      <c r="F3" s="123"/>
      <c r="G3" s="95"/>
      <c r="H3" s="95"/>
      <c r="I3" s="95"/>
      <c r="J3" s="95"/>
    </row>
    <row r="4" spans="1:10">
      <c r="A4" s="95">
        <v>29</v>
      </c>
      <c r="B4" s="120" t="s">
        <v>228</v>
      </c>
      <c r="C4" s="95"/>
      <c r="D4" s="95"/>
      <c r="E4" s="95"/>
      <c r="F4" s="123"/>
      <c r="G4" s="95"/>
      <c r="H4" s="95"/>
      <c r="I4" s="95"/>
      <c r="J4" s="95"/>
    </row>
    <row r="5" spans="1:10">
      <c r="A5" s="95">
        <v>30</v>
      </c>
      <c r="B5" s="120" t="s">
        <v>229</v>
      </c>
      <c r="C5" s="95"/>
      <c r="D5" s="95"/>
      <c r="E5" s="95"/>
      <c r="F5" s="123"/>
      <c r="G5" s="95"/>
      <c r="H5" s="95"/>
      <c r="I5" s="95"/>
      <c r="J5" s="95"/>
    </row>
    <row r="6" spans="1:10">
      <c r="A6" s="95">
        <v>31</v>
      </c>
      <c r="B6" s="148" t="s">
        <v>230</v>
      </c>
      <c r="C6" s="95"/>
      <c r="D6" s="95"/>
      <c r="E6" s="95"/>
      <c r="F6" s="123"/>
      <c r="G6" s="95"/>
      <c r="H6" s="95"/>
      <c r="I6" s="95"/>
      <c r="J6" s="95"/>
    </row>
    <row r="7" spans="1:10">
      <c r="A7" s="95">
        <v>32</v>
      </c>
      <c r="B7" s="148" t="s">
        <v>231</v>
      </c>
      <c r="C7" s="95"/>
      <c r="D7" s="95"/>
      <c r="E7" s="95"/>
      <c r="F7" s="123"/>
      <c r="G7" s="95"/>
      <c r="H7" s="95"/>
      <c r="I7" s="95"/>
      <c r="J7" s="95"/>
    </row>
    <row r="8" spans="1:10">
      <c r="A8" s="95">
        <v>33</v>
      </c>
      <c r="B8" s="120" t="s">
        <v>232</v>
      </c>
      <c r="C8" s="95"/>
      <c r="D8" s="95"/>
      <c r="E8" s="95"/>
      <c r="F8" s="123"/>
      <c r="G8" s="95"/>
      <c r="H8" s="95"/>
      <c r="I8" s="95"/>
      <c r="J8" s="95"/>
    </row>
    <row r="9" spans="1:10">
      <c r="A9" s="95">
        <v>34</v>
      </c>
      <c r="B9" s="120" t="s">
        <v>233</v>
      </c>
      <c r="C9" s="95"/>
      <c r="D9" s="95"/>
      <c r="E9" s="95"/>
      <c r="F9" s="123"/>
      <c r="G9" s="95"/>
      <c r="H9" s="95"/>
      <c r="I9" s="95"/>
      <c r="J9" s="95"/>
    </row>
    <row r="10" spans="1:10">
      <c r="A10" s="95">
        <v>35</v>
      </c>
      <c r="B10" s="120" t="s">
        <v>234</v>
      </c>
      <c r="C10" s="95"/>
      <c r="D10" s="95"/>
      <c r="E10" s="95"/>
      <c r="F10" s="123"/>
      <c r="G10" s="95"/>
      <c r="H10" s="95"/>
      <c r="I10" s="95"/>
      <c r="J10" s="95"/>
    </row>
    <row r="11" spans="1:10">
      <c r="A11" s="95">
        <v>36</v>
      </c>
      <c r="B11" s="120" t="s">
        <v>235</v>
      </c>
      <c r="C11" s="95"/>
      <c r="D11" s="95"/>
      <c r="E11" s="95"/>
      <c r="F11" s="123"/>
      <c r="G11" s="95"/>
      <c r="H11" s="95"/>
      <c r="I11" s="95"/>
      <c r="J11" s="95"/>
    </row>
    <row r="12" spans="1:10">
      <c r="A12" s="95">
        <v>37</v>
      </c>
      <c r="B12" s="148" t="s">
        <v>236</v>
      </c>
      <c r="C12" s="95"/>
      <c r="D12" s="95"/>
      <c r="E12" s="95"/>
      <c r="F12" s="123"/>
      <c r="G12" s="95"/>
      <c r="H12" s="95"/>
      <c r="I12" s="95"/>
      <c r="J12" s="95"/>
    </row>
    <row r="13" spans="1:10">
      <c r="A13" s="95">
        <v>38</v>
      </c>
      <c r="B13" s="148" t="s">
        <v>237</v>
      </c>
      <c r="C13" s="95"/>
      <c r="D13" s="95"/>
      <c r="E13" s="95"/>
      <c r="F13" s="123"/>
      <c r="G13" s="95"/>
      <c r="H13" s="95"/>
      <c r="I13" s="95"/>
      <c r="J13" s="95"/>
    </row>
    <row r="14" spans="1:10">
      <c r="A14" s="95">
        <v>39</v>
      </c>
      <c r="B14" s="120" t="s">
        <v>195</v>
      </c>
      <c r="C14" s="95"/>
      <c r="D14" s="95"/>
      <c r="E14" s="95"/>
      <c r="F14" s="123"/>
      <c r="G14" s="95"/>
      <c r="H14" s="95"/>
      <c r="I14" s="95"/>
      <c r="J14" s="95"/>
    </row>
    <row r="15" spans="1:10">
      <c r="A15" s="95">
        <v>40</v>
      </c>
      <c r="B15" s="120" t="s">
        <v>196</v>
      </c>
      <c r="C15" s="95"/>
      <c r="D15" s="95"/>
      <c r="E15" s="95"/>
      <c r="F15" s="123"/>
      <c r="G15" s="95"/>
      <c r="H15" s="95"/>
      <c r="I15" s="95"/>
      <c r="J15" s="95"/>
    </row>
    <row r="16" spans="1:10">
      <c r="A16" s="95">
        <v>41</v>
      </c>
      <c r="B16" s="120" t="s">
        <v>238</v>
      </c>
      <c r="C16" s="95"/>
      <c r="D16" s="95"/>
      <c r="E16" s="95"/>
      <c r="F16" s="123"/>
      <c r="G16" s="95"/>
      <c r="H16" s="95"/>
      <c r="I16" s="95"/>
      <c r="J16" s="95"/>
    </row>
    <row r="17" spans="1:10">
      <c r="A17" s="95">
        <v>42</v>
      </c>
      <c r="B17" s="120" t="s">
        <v>239</v>
      </c>
      <c r="C17" s="95"/>
      <c r="D17" s="95"/>
      <c r="E17" s="95"/>
      <c r="F17" s="123"/>
      <c r="G17" s="95"/>
      <c r="H17" s="95"/>
      <c r="I17" s="95"/>
      <c r="J17" s="95"/>
    </row>
    <row r="18" spans="1:10">
      <c r="A18" s="95">
        <v>43</v>
      </c>
      <c r="B18" s="120" t="s">
        <v>242</v>
      </c>
      <c r="C18" s="95"/>
      <c r="D18" s="95"/>
      <c r="E18" s="95"/>
      <c r="F18" s="123"/>
      <c r="G18" s="95"/>
      <c r="H18" s="95"/>
      <c r="I18" s="95"/>
      <c r="J18" s="95"/>
    </row>
    <row r="19" spans="1:10">
      <c r="A19" s="95">
        <v>44</v>
      </c>
      <c r="B19" s="120" t="s">
        <v>243</v>
      </c>
      <c r="C19" s="95"/>
      <c r="D19" s="95"/>
      <c r="E19" s="95"/>
      <c r="F19" s="123"/>
      <c r="G19" s="95"/>
      <c r="H19" s="95"/>
      <c r="I19" s="95"/>
      <c r="J19" s="95"/>
    </row>
    <row r="20" spans="1:10">
      <c r="A20" s="95">
        <v>45</v>
      </c>
      <c r="B20" s="120" t="s">
        <v>244</v>
      </c>
      <c r="C20" s="95"/>
      <c r="D20" s="95"/>
      <c r="E20" s="95"/>
      <c r="F20" s="123"/>
      <c r="G20" s="95"/>
      <c r="H20" s="95"/>
      <c r="I20" s="95"/>
      <c r="J20" s="95"/>
    </row>
    <row r="21" spans="1:10">
      <c r="A21" s="95">
        <v>46</v>
      </c>
      <c r="B21" s="120" t="s">
        <v>245</v>
      </c>
      <c r="C21" s="95"/>
      <c r="D21" s="95"/>
      <c r="E21" s="95"/>
      <c r="F21" s="123"/>
      <c r="G21" s="95"/>
      <c r="H21" s="95"/>
      <c r="I21" s="95"/>
      <c r="J21" s="95"/>
    </row>
    <row r="22" spans="1:10">
      <c r="A22" s="95">
        <v>47</v>
      </c>
      <c r="B22" s="148" t="s">
        <v>283</v>
      </c>
      <c r="C22" s="95"/>
      <c r="D22" s="95"/>
      <c r="E22" s="95"/>
      <c r="F22" s="123"/>
      <c r="G22" s="95"/>
      <c r="H22" s="95"/>
      <c r="I22" s="95"/>
      <c r="J22" s="95"/>
    </row>
    <row r="23" spans="1:10">
      <c r="A23" s="95">
        <v>48</v>
      </c>
      <c r="B23" s="148" t="s">
        <v>284</v>
      </c>
      <c r="C23" s="95"/>
      <c r="D23" s="95"/>
      <c r="E23" s="95"/>
      <c r="F23" s="123"/>
      <c r="G23" s="95"/>
      <c r="H23" s="95"/>
      <c r="I23" s="95"/>
      <c r="J23" s="95"/>
    </row>
  </sheetData>
  <pageMargins left="0.7" right="0.7" top="0.78740157499999996" bottom="0.78740157499999996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E26" sqref="E26"/>
    </sheetView>
  </sheetViews>
  <sheetFormatPr baseColWidth="10" defaultRowHeight="14" x14ac:dyDescent="0"/>
  <cols>
    <col min="1" max="1" width="4.1640625" bestFit="1" customWidth="1"/>
    <col min="2" max="2" width="30" bestFit="1" customWidth="1"/>
    <col min="13" max="13" width="20.6640625" bestFit="1" customWidth="1"/>
    <col min="14" max="14" width="15.1640625" bestFit="1" customWidth="1"/>
  </cols>
  <sheetData>
    <row r="1" spans="1:14">
      <c r="A1" s="31" t="s">
        <v>129</v>
      </c>
      <c r="B1" s="31" t="s">
        <v>112</v>
      </c>
      <c r="C1" s="31" t="s">
        <v>46</v>
      </c>
      <c r="D1" s="32" t="s">
        <v>47</v>
      </c>
      <c r="E1" s="32" t="s">
        <v>48</v>
      </c>
      <c r="F1" s="32" t="s">
        <v>49</v>
      </c>
      <c r="G1" s="32" t="s">
        <v>50</v>
      </c>
      <c r="H1" s="33" t="s">
        <v>51</v>
      </c>
      <c r="I1" s="34" t="s">
        <v>52</v>
      </c>
      <c r="J1" s="34" t="s">
        <v>53</v>
      </c>
      <c r="K1" s="34" t="s">
        <v>54</v>
      </c>
      <c r="L1" s="35" t="s">
        <v>55</v>
      </c>
      <c r="M1" s="36" t="s">
        <v>56</v>
      </c>
      <c r="N1" s="34" t="s">
        <v>57</v>
      </c>
    </row>
    <row r="2" spans="1:14" ht="15" thickBot="1">
      <c r="A2" s="37"/>
      <c r="B2" s="37"/>
      <c r="C2" s="37"/>
      <c r="D2" s="37" t="s">
        <v>58</v>
      </c>
      <c r="E2" s="37" t="s">
        <v>58</v>
      </c>
      <c r="F2" s="37" t="s">
        <v>58</v>
      </c>
      <c r="G2" s="37" t="s">
        <v>59</v>
      </c>
      <c r="H2" s="38" t="s">
        <v>59</v>
      </c>
      <c r="I2" s="39" t="s">
        <v>58</v>
      </c>
      <c r="J2" s="39" t="s">
        <v>58</v>
      </c>
      <c r="K2" s="39" t="s">
        <v>59</v>
      </c>
      <c r="L2" s="40" t="s">
        <v>59</v>
      </c>
      <c r="M2" s="41"/>
    </row>
    <row r="3" spans="1:14">
      <c r="A3">
        <v>27</v>
      </c>
      <c r="B3" s="29" t="s">
        <v>220</v>
      </c>
      <c r="C3" s="153"/>
      <c r="D3">
        <v>141</v>
      </c>
      <c r="E3">
        <v>143</v>
      </c>
      <c r="F3">
        <v>997</v>
      </c>
      <c r="G3" s="42">
        <f t="shared" ref="G3:G9" si="0">L3</f>
        <v>2253.8226299694188</v>
      </c>
      <c r="H3" s="43">
        <f t="shared" ref="H3:H9" si="1">(((D3+J3)*G3)/(F3-(D3+J3)))</f>
        <v>371.24882105804681</v>
      </c>
      <c r="I3" s="44">
        <v>327</v>
      </c>
      <c r="J3" s="44"/>
      <c r="K3" s="44">
        <v>1100</v>
      </c>
      <c r="L3" s="45">
        <f t="shared" ref="L3:L9" si="2">((K3*F3)/(I3+J3))-K3</f>
        <v>2253.8226299694188</v>
      </c>
      <c r="M3" s="46">
        <v>44165.4375</v>
      </c>
      <c r="N3" s="46">
        <v>44158.625</v>
      </c>
    </row>
    <row r="4" spans="1:14">
      <c r="A4">
        <v>28</v>
      </c>
      <c r="B4" s="29" t="s">
        <v>221</v>
      </c>
      <c r="C4" s="153"/>
      <c r="D4">
        <v>149</v>
      </c>
      <c r="E4">
        <v>155</v>
      </c>
      <c r="F4">
        <v>997</v>
      </c>
      <c r="G4" s="42">
        <f t="shared" si="0"/>
        <v>2253.8226299694188</v>
      </c>
      <c r="H4" s="43">
        <f t="shared" si="1"/>
        <v>396.0136460677399</v>
      </c>
      <c r="I4" s="44">
        <v>327</v>
      </c>
      <c r="J4" s="44"/>
      <c r="K4" s="44">
        <v>1100</v>
      </c>
      <c r="L4" s="45">
        <f t="shared" si="2"/>
        <v>2253.8226299694188</v>
      </c>
      <c r="M4" s="46">
        <v>44165.4375</v>
      </c>
      <c r="N4" s="46">
        <v>44158.625</v>
      </c>
    </row>
    <row r="5" spans="1:14">
      <c r="A5">
        <v>29</v>
      </c>
      <c r="B5" s="29" t="s">
        <v>228</v>
      </c>
      <c r="C5" s="153"/>
      <c r="D5">
        <v>136</v>
      </c>
      <c r="E5">
        <v>140</v>
      </c>
      <c r="F5">
        <v>997</v>
      </c>
      <c r="G5" s="42">
        <f t="shared" si="0"/>
        <v>2253.8226299694188</v>
      </c>
      <c r="H5" s="43">
        <f t="shared" si="1"/>
        <v>356.00450368854933</v>
      </c>
      <c r="I5" s="44">
        <v>327</v>
      </c>
      <c r="J5" s="44"/>
      <c r="K5" s="44">
        <v>1100</v>
      </c>
      <c r="L5" s="45">
        <f t="shared" si="2"/>
        <v>2253.8226299694188</v>
      </c>
      <c r="M5" s="46">
        <v>44165.4375</v>
      </c>
      <c r="N5" s="46">
        <v>44158.625</v>
      </c>
    </row>
    <row r="6" spans="1:14">
      <c r="A6">
        <v>30</v>
      </c>
      <c r="B6" s="29" t="s">
        <v>229</v>
      </c>
      <c r="C6" s="153"/>
      <c r="D6">
        <v>138</v>
      </c>
      <c r="E6">
        <v>142</v>
      </c>
      <c r="F6">
        <v>997</v>
      </c>
      <c r="G6" s="42">
        <f t="shared" si="0"/>
        <v>2253.8226299694188</v>
      </c>
      <c r="H6" s="43">
        <f t="shared" si="1"/>
        <v>362.08093473315461</v>
      </c>
      <c r="I6" s="44">
        <v>327</v>
      </c>
      <c r="J6" s="44"/>
      <c r="K6" s="44">
        <v>1100</v>
      </c>
      <c r="L6" s="45">
        <f t="shared" si="2"/>
        <v>2253.8226299694188</v>
      </c>
      <c r="M6" s="46">
        <v>44165.4375</v>
      </c>
      <c r="N6" s="46">
        <v>44158.625</v>
      </c>
    </row>
    <row r="7" spans="1:14">
      <c r="A7">
        <v>31</v>
      </c>
      <c r="B7" s="29" t="s">
        <v>230</v>
      </c>
      <c r="C7" s="153"/>
      <c r="D7">
        <v>140</v>
      </c>
      <c r="E7">
        <v>143</v>
      </c>
      <c r="F7">
        <v>997</v>
      </c>
      <c r="G7" s="42">
        <f t="shared" si="0"/>
        <v>2253.8226299694188</v>
      </c>
      <c r="H7" s="43">
        <f t="shared" si="1"/>
        <v>368.18572718286885</v>
      </c>
      <c r="I7" s="44">
        <v>327</v>
      </c>
      <c r="J7" s="44"/>
      <c r="K7" s="44">
        <v>1100</v>
      </c>
      <c r="L7" s="45">
        <f t="shared" si="2"/>
        <v>2253.8226299694188</v>
      </c>
      <c r="M7" s="46">
        <v>44165.4375</v>
      </c>
      <c r="N7" s="46">
        <v>44158.625</v>
      </c>
    </row>
    <row r="8" spans="1:14">
      <c r="A8">
        <v>32</v>
      </c>
      <c r="B8" s="29" t="s">
        <v>231</v>
      </c>
      <c r="C8" s="153"/>
      <c r="D8">
        <v>152</v>
      </c>
      <c r="E8">
        <v>157</v>
      </c>
      <c r="F8">
        <v>997</v>
      </c>
      <c r="G8" s="42">
        <f t="shared" si="0"/>
        <v>2253.8226299694188</v>
      </c>
      <c r="H8" s="43">
        <f t="shared" si="1"/>
        <v>405.42134882290139</v>
      </c>
      <c r="I8" s="44">
        <v>327</v>
      </c>
      <c r="J8" s="44"/>
      <c r="K8" s="44">
        <v>1100</v>
      </c>
      <c r="L8" s="45">
        <f t="shared" si="2"/>
        <v>2253.8226299694188</v>
      </c>
      <c r="M8" s="46">
        <v>44165.4375</v>
      </c>
      <c r="N8" s="46">
        <v>44158.625</v>
      </c>
    </row>
    <row r="9" spans="1:14">
      <c r="A9">
        <v>33</v>
      </c>
      <c r="B9" s="29" t="s">
        <v>232</v>
      </c>
      <c r="C9" s="153"/>
      <c r="D9">
        <v>140</v>
      </c>
      <c r="E9">
        <v>145</v>
      </c>
      <c r="F9">
        <v>997</v>
      </c>
      <c r="G9" s="42">
        <f t="shared" si="0"/>
        <v>2253.8226299694188</v>
      </c>
      <c r="H9" s="43">
        <f t="shared" si="1"/>
        <v>368.18572718286885</v>
      </c>
      <c r="I9" s="44">
        <v>327</v>
      </c>
      <c r="J9" s="44"/>
      <c r="K9" s="44">
        <v>1100</v>
      </c>
      <c r="L9" s="45">
        <f t="shared" si="2"/>
        <v>2253.8226299694188</v>
      </c>
      <c r="M9" s="46">
        <v>44165.4375</v>
      </c>
      <c r="N9" s="46">
        <v>44158.625</v>
      </c>
    </row>
    <row r="10" spans="1:14">
      <c r="A10">
        <v>34</v>
      </c>
      <c r="B10" s="29" t="s">
        <v>233</v>
      </c>
      <c r="C10" s="153"/>
      <c r="D10">
        <v>139</v>
      </c>
      <c r="E10">
        <v>144</v>
      </c>
      <c r="F10">
        <v>997</v>
      </c>
      <c r="G10" s="42">
        <f t="shared" ref="G10:G12" si="3">L10</f>
        <v>2253.8226299694188</v>
      </c>
      <c r="H10" s="43">
        <f t="shared" ref="H10:H12" si="4">(((D10+J10)*G10)/(F10-(D10+J10)))</f>
        <v>365.12977338665411</v>
      </c>
      <c r="I10" s="44">
        <v>327</v>
      </c>
      <c r="J10" s="44"/>
      <c r="K10" s="44">
        <v>1100</v>
      </c>
      <c r="L10" s="45">
        <f t="shared" ref="L10:L12" si="5">((K10*F10)/(I10+J10))-K10</f>
        <v>2253.8226299694188</v>
      </c>
      <c r="M10" s="46">
        <v>44165.4375</v>
      </c>
      <c r="N10" s="46">
        <v>44158.625</v>
      </c>
    </row>
    <row r="11" spans="1:14">
      <c r="A11">
        <v>35</v>
      </c>
      <c r="B11" s="29" t="s">
        <v>234</v>
      </c>
      <c r="C11" s="153"/>
      <c r="D11">
        <v>140</v>
      </c>
      <c r="E11">
        <v>145</v>
      </c>
      <c r="F11">
        <v>997</v>
      </c>
      <c r="G11" s="42">
        <f t="shared" si="3"/>
        <v>2253.8226299694188</v>
      </c>
      <c r="H11" s="43">
        <f t="shared" si="4"/>
        <v>368.18572718286885</v>
      </c>
      <c r="I11" s="44">
        <v>327</v>
      </c>
      <c r="J11" s="44"/>
      <c r="K11" s="44">
        <v>1100</v>
      </c>
      <c r="L11" s="45">
        <f t="shared" si="5"/>
        <v>2253.8226299694188</v>
      </c>
      <c r="M11" s="46">
        <v>44165.4375</v>
      </c>
      <c r="N11" s="46">
        <v>44158.625</v>
      </c>
    </row>
    <row r="12" spans="1:14">
      <c r="A12">
        <v>36</v>
      </c>
      <c r="B12" s="29" t="s">
        <v>235</v>
      </c>
      <c r="C12" s="153"/>
      <c r="D12">
        <v>142</v>
      </c>
      <c r="E12">
        <v>147</v>
      </c>
      <c r="F12">
        <v>997</v>
      </c>
      <c r="G12" s="42">
        <f t="shared" si="3"/>
        <v>2253.8226299694188</v>
      </c>
      <c r="H12" s="43">
        <f t="shared" si="4"/>
        <v>374.31908006509644</v>
      </c>
      <c r="I12" s="44">
        <v>327</v>
      </c>
      <c r="J12" s="44"/>
      <c r="K12" s="44">
        <v>1100</v>
      </c>
      <c r="L12" s="45">
        <f t="shared" si="5"/>
        <v>2253.8226299694188</v>
      </c>
      <c r="M12" s="46">
        <v>44165.4375</v>
      </c>
      <c r="N12" s="46">
        <v>44158.625</v>
      </c>
    </row>
    <row r="13" spans="1:14">
      <c r="A13">
        <v>37</v>
      </c>
      <c r="B13" t="s">
        <v>236</v>
      </c>
      <c r="C13" s="153"/>
      <c r="D13">
        <v>141</v>
      </c>
      <c r="E13">
        <v>144</v>
      </c>
      <c r="F13">
        <v>997</v>
      </c>
      <c r="G13" s="42">
        <f t="shared" ref="G13:G24" si="6">L13</f>
        <v>2253.8226299694188</v>
      </c>
      <c r="H13" s="43">
        <f t="shared" ref="H13:H24" si="7">(((D13+J13)*G13)/(F13-(D13+J13)))</f>
        <v>371.24882105804681</v>
      </c>
      <c r="I13" s="44">
        <v>327</v>
      </c>
      <c r="J13" s="44"/>
      <c r="K13" s="44">
        <v>1100</v>
      </c>
      <c r="L13" s="45">
        <f t="shared" ref="L13:L24" si="8">((K13*F13)/(I13+J13))-K13</f>
        <v>2253.8226299694188</v>
      </c>
      <c r="M13" s="46">
        <v>44165.4375</v>
      </c>
      <c r="N13" s="46">
        <v>44158.625</v>
      </c>
    </row>
    <row r="14" spans="1:14">
      <c r="A14">
        <v>38</v>
      </c>
      <c r="B14" t="s">
        <v>237</v>
      </c>
      <c r="C14" s="153"/>
      <c r="D14">
        <v>140</v>
      </c>
      <c r="E14">
        <v>146</v>
      </c>
      <c r="F14">
        <v>997</v>
      </c>
      <c r="G14" s="42">
        <f t="shared" si="6"/>
        <v>2253.8226299694188</v>
      </c>
      <c r="H14" s="43">
        <f t="shared" si="7"/>
        <v>368.18572718286885</v>
      </c>
      <c r="I14" s="44">
        <v>327</v>
      </c>
      <c r="J14" s="44"/>
      <c r="K14" s="44">
        <v>1100</v>
      </c>
      <c r="L14" s="45">
        <f t="shared" si="8"/>
        <v>2253.8226299694188</v>
      </c>
      <c r="M14" s="46">
        <v>44165.4375</v>
      </c>
      <c r="N14" s="46">
        <v>44158.625</v>
      </c>
    </row>
    <row r="15" spans="1:14">
      <c r="A15">
        <v>39</v>
      </c>
      <c r="B15" s="29" t="s">
        <v>195</v>
      </c>
      <c r="C15" s="153"/>
      <c r="D15">
        <v>140</v>
      </c>
      <c r="E15">
        <v>143</v>
      </c>
      <c r="F15">
        <v>997</v>
      </c>
      <c r="G15" s="42">
        <f t="shared" si="6"/>
        <v>2253.8226299694188</v>
      </c>
      <c r="H15" s="43">
        <f t="shared" si="7"/>
        <v>368.18572718286885</v>
      </c>
      <c r="I15" s="44">
        <v>327</v>
      </c>
      <c r="J15" s="44"/>
      <c r="K15" s="44">
        <v>1100</v>
      </c>
      <c r="L15" s="45">
        <f t="shared" si="8"/>
        <v>2253.8226299694188</v>
      </c>
      <c r="M15" s="46">
        <v>44165.4375</v>
      </c>
      <c r="N15" s="46">
        <v>44158.625</v>
      </c>
    </row>
    <row r="16" spans="1:14">
      <c r="A16">
        <v>40</v>
      </c>
      <c r="B16" s="29" t="s">
        <v>196</v>
      </c>
      <c r="C16" s="153"/>
      <c r="D16">
        <v>143</v>
      </c>
      <c r="E16">
        <v>147</v>
      </c>
      <c r="F16">
        <v>997</v>
      </c>
      <c r="G16" s="42">
        <f t="shared" si="6"/>
        <v>2253.8226299694188</v>
      </c>
      <c r="H16" s="43">
        <f t="shared" si="7"/>
        <v>377.39652937427036</v>
      </c>
      <c r="I16" s="44">
        <v>327</v>
      </c>
      <c r="J16" s="44"/>
      <c r="K16" s="44">
        <v>1100</v>
      </c>
      <c r="L16" s="45">
        <f t="shared" si="8"/>
        <v>2253.8226299694188</v>
      </c>
      <c r="M16" s="46">
        <v>44165.4375</v>
      </c>
      <c r="N16" s="46">
        <v>44158.625</v>
      </c>
    </row>
    <row r="17" spans="1:14">
      <c r="A17">
        <v>41</v>
      </c>
      <c r="B17" s="29" t="s">
        <v>238</v>
      </c>
      <c r="C17" s="153"/>
      <c r="D17">
        <v>141</v>
      </c>
      <c r="E17">
        <v>145</v>
      </c>
      <c r="F17">
        <v>997</v>
      </c>
      <c r="G17" s="42">
        <f t="shared" si="6"/>
        <v>2253.8226299694188</v>
      </c>
      <c r="H17" s="43">
        <f t="shared" si="7"/>
        <v>371.24882105804681</v>
      </c>
      <c r="I17" s="44">
        <v>327</v>
      </c>
      <c r="J17" s="44"/>
      <c r="K17" s="44">
        <v>1100</v>
      </c>
      <c r="L17" s="45">
        <f t="shared" si="8"/>
        <v>2253.8226299694188</v>
      </c>
      <c r="M17" s="46">
        <v>44165.4375</v>
      </c>
      <c r="N17" s="46">
        <v>44158.625</v>
      </c>
    </row>
    <row r="18" spans="1:14">
      <c r="A18">
        <v>42</v>
      </c>
      <c r="B18" s="29" t="s">
        <v>239</v>
      </c>
      <c r="C18" s="153"/>
      <c r="D18">
        <v>140</v>
      </c>
      <c r="E18">
        <v>142</v>
      </c>
      <c r="F18">
        <v>997</v>
      </c>
      <c r="G18" s="42">
        <f t="shared" si="6"/>
        <v>2253.8226299694188</v>
      </c>
      <c r="H18" s="43">
        <f t="shared" si="7"/>
        <v>368.18572718286885</v>
      </c>
      <c r="I18" s="44">
        <v>327</v>
      </c>
      <c r="J18" s="44"/>
      <c r="K18" s="44">
        <v>1100</v>
      </c>
      <c r="L18" s="45">
        <f t="shared" si="8"/>
        <v>2253.8226299694188</v>
      </c>
      <c r="M18" s="46">
        <v>44165.4375</v>
      </c>
      <c r="N18" s="46">
        <v>44158.625</v>
      </c>
    </row>
    <row r="19" spans="1:14">
      <c r="A19">
        <v>43</v>
      </c>
      <c r="B19" s="29" t="s">
        <v>242</v>
      </c>
      <c r="C19" s="153"/>
      <c r="D19">
        <v>142</v>
      </c>
      <c r="E19">
        <v>147</v>
      </c>
      <c r="F19">
        <v>997</v>
      </c>
      <c r="G19" s="42">
        <f t="shared" si="6"/>
        <v>2253.8226299694188</v>
      </c>
      <c r="H19" s="43">
        <f t="shared" si="7"/>
        <v>374.31908006509644</v>
      </c>
      <c r="I19" s="44">
        <v>327</v>
      </c>
      <c r="J19" s="44"/>
      <c r="K19" s="44">
        <v>1100</v>
      </c>
      <c r="L19" s="45">
        <f t="shared" si="8"/>
        <v>2253.8226299694188</v>
      </c>
      <c r="M19" s="46">
        <v>44165.4375</v>
      </c>
      <c r="N19" s="46">
        <v>44158.625</v>
      </c>
    </row>
    <row r="20" spans="1:14">
      <c r="A20">
        <v>44</v>
      </c>
      <c r="B20" s="29" t="s">
        <v>243</v>
      </c>
      <c r="C20" s="153"/>
      <c r="D20">
        <v>140</v>
      </c>
      <c r="E20">
        <v>143</v>
      </c>
      <c r="F20">
        <v>997</v>
      </c>
      <c r="G20" s="42">
        <f t="shared" si="6"/>
        <v>2253.8226299694188</v>
      </c>
      <c r="H20" s="43">
        <f t="shared" si="7"/>
        <v>368.18572718286885</v>
      </c>
      <c r="I20" s="44">
        <v>327</v>
      </c>
      <c r="J20" s="44"/>
      <c r="K20" s="44">
        <v>1100</v>
      </c>
      <c r="L20" s="45">
        <f t="shared" si="8"/>
        <v>2253.8226299694188</v>
      </c>
      <c r="M20" s="46">
        <v>44165.4375</v>
      </c>
      <c r="N20" s="46">
        <v>44158.625</v>
      </c>
    </row>
    <row r="21" spans="1:14">
      <c r="A21">
        <v>45</v>
      </c>
      <c r="B21" s="29" t="s">
        <v>244</v>
      </c>
      <c r="C21" s="153"/>
      <c r="D21">
        <v>144</v>
      </c>
      <c r="E21">
        <v>148</v>
      </c>
      <c r="F21">
        <v>997</v>
      </c>
      <c r="G21" s="42">
        <f t="shared" si="6"/>
        <v>2253.8226299694188</v>
      </c>
      <c r="H21" s="43">
        <f t="shared" si="7"/>
        <v>380.48119427385262</v>
      </c>
      <c r="I21" s="44">
        <v>327</v>
      </c>
      <c r="J21" s="44"/>
      <c r="K21" s="44">
        <v>1100</v>
      </c>
      <c r="L21" s="45">
        <f t="shared" si="8"/>
        <v>2253.8226299694188</v>
      </c>
      <c r="M21" s="46">
        <v>44165.4375</v>
      </c>
      <c r="N21" s="46">
        <v>44158.625</v>
      </c>
    </row>
    <row r="22" spans="1:14">
      <c r="A22">
        <v>46</v>
      </c>
      <c r="B22" s="29" t="s">
        <v>245</v>
      </c>
      <c r="C22" s="153"/>
      <c r="D22">
        <v>140</v>
      </c>
      <c r="E22">
        <v>143</v>
      </c>
      <c r="F22">
        <v>997</v>
      </c>
      <c r="G22" s="42">
        <f t="shared" si="6"/>
        <v>2253.8226299694188</v>
      </c>
      <c r="H22" s="43">
        <f t="shared" si="7"/>
        <v>368.18572718286885</v>
      </c>
      <c r="I22" s="44">
        <v>327</v>
      </c>
      <c r="J22" s="44"/>
      <c r="K22" s="44">
        <v>1100</v>
      </c>
      <c r="L22" s="45">
        <f t="shared" si="8"/>
        <v>2253.8226299694188</v>
      </c>
      <c r="M22" s="46">
        <v>44165.4375</v>
      </c>
      <c r="N22" s="46">
        <v>44158.625</v>
      </c>
    </row>
    <row r="23" spans="1:14">
      <c r="A23">
        <v>47</v>
      </c>
      <c r="B23" s="29" t="s">
        <v>283</v>
      </c>
      <c r="C23" s="153"/>
      <c r="D23">
        <v>147</v>
      </c>
      <c r="E23">
        <v>150</v>
      </c>
      <c r="F23">
        <v>997</v>
      </c>
      <c r="G23" s="42">
        <f t="shared" si="6"/>
        <v>2253.8226299694188</v>
      </c>
      <c r="H23" s="43">
        <f t="shared" si="7"/>
        <v>389.7787371829466</v>
      </c>
      <c r="I23" s="44">
        <v>327</v>
      </c>
      <c r="J23" s="44"/>
      <c r="K23" s="44">
        <v>1100</v>
      </c>
      <c r="L23" s="45">
        <f t="shared" si="8"/>
        <v>2253.8226299694188</v>
      </c>
      <c r="M23" s="46">
        <v>44165.4375</v>
      </c>
      <c r="N23" s="46">
        <v>44158.625</v>
      </c>
    </row>
    <row r="24" spans="1:14">
      <c r="A24">
        <v>48</v>
      </c>
      <c r="B24" s="29" t="s">
        <v>284</v>
      </c>
      <c r="C24" s="153"/>
      <c r="D24">
        <v>144</v>
      </c>
      <c r="E24">
        <v>149</v>
      </c>
      <c r="F24">
        <v>997</v>
      </c>
      <c r="G24" s="42">
        <f t="shared" si="6"/>
        <v>2253.8226299694188</v>
      </c>
      <c r="H24" s="43">
        <f t="shared" si="7"/>
        <v>380.48119427385262</v>
      </c>
      <c r="I24" s="44">
        <v>327</v>
      </c>
      <c r="J24" s="44"/>
      <c r="K24" s="44">
        <v>1100</v>
      </c>
      <c r="L24" s="45">
        <f t="shared" si="8"/>
        <v>2253.8226299694188</v>
      </c>
      <c r="M24" s="46">
        <v>44165.4375</v>
      </c>
      <c r="N24" s="46">
        <v>44158.625</v>
      </c>
    </row>
    <row r="25" spans="1:14">
      <c r="G25" s="42"/>
      <c r="H25" s="43"/>
      <c r="I25" s="44"/>
      <c r="J25" s="44"/>
      <c r="K25" s="44"/>
      <c r="L25" s="45"/>
      <c r="M25" s="46"/>
      <c r="N25" s="46"/>
    </row>
    <row r="26" spans="1:14">
      <c r="D26" s="79">
        <f>AVERAGE(D3:D24)</f>
        <v>141.77272727272728</v>
      </c>
      <c r="E26" s="79">
        <f>AVERAGE(E3:E24)</f>
        <v>145.81818181818181</v>
      </c>
      <c r="H26" s="79">
        <f>AVERAGE(H3:H24)</f>
        <v>373.66628648050931</v>
      </c>
    </row>
  </sheetData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D9" sqref="D9"/>
    </sheetView>
  </sheetViews>
  <sheetFormatPr baseColWidth="10" defaultRowHeight="14" x14ac:dyDescent="0"/>
  <cols>
    <col min="7" max="7" width="25" bestFit="1" customWidth="1"/>
    <col min="9" max="9" width="12.6640625" bestFit="1" customWidth="1"/>
  </cols>
  <sheetData>
    <row r="1" spans="1:14">
      <c r="A1" s="102"/>
      <c r="B1" s="103"/>
      <c r="C1" s="103"/>
      <c r="D1" s="103"/>
      <c r="E1" s="104"/>
      <c r="F1" s="104"/>
      <c r="G1" s="104"/>
      <c r="H1" s="104"/>
      <c r="I1" s="105"/>
      <c r="J1" s="105"/>
      <c r="K1" s="106"/>
      <c r="L1" s="107"/>
      <c r="M1" s="107"/>
      <c r="N1" s="108"/>
    </row>
    <row r="2" spans="1:14">
      <c r="A2" s="109"/>
      <c r="B2" s="100"/>
      <c r="C2" s="100"/>
      <c r="D2" s="100"/>
      <c r="E2" s="100"/>
      <c r="F2" s="100"/>
      <c r="K2" s="100"/>
    </row>
    <row r="3" spans="1:14">
      <c r="A3" s="110"/>
      <c r="B3" s="111"/>
      <c r="C3" s="111"/>
      <c r="D3" s="111"/>
      <c r="E3" s="111"/>
      <c r="F3" s="111"/>
      <c r="G3" s="110"/>
      <c r="H3" s="112"/>
      <c r="I3" s="113"/>
      <c r="J3" s="114"/>
      <c r="K3" s="115"/>
      <c r="L3" s="115"/>
      <c r="M3" s="116"/>
      <c r="N3" s="117"/>
    </row>
    <row r="4" spans="1:14">
      <c r="A4" s="110"/>
      <c r="B4" s="111"/>
      <c r="C4" s="111"/>
      <c r="D4" s="111"/>
      <c r="E4" s="111"/>
      <c r="F4" s="111"/>
      <c r="G4" s="110"/>
      <c r="H4" s="112"/>
      <c r="I4" s="113"/>
      <c r="J4" s="114"/>
      <c r="K4" s="115"/>
      <c r="L4" s="115"/>
      <c r="M4" s="116"/>
      <c r="N4" s="118"/>
    </row>
    <row r="5" spans="1:14">
      <c r="A5" s="110"/>
      <c r="B5" s="111"/>
      <c r="C5" s="111"/>
      <c r="D5" s="111"/>
      <c r="E5" s="111"/>
      <c r="F5" s="111"/>
      <c r="G5" s="110"/>
      <c r="H5" s="112"/>
      <c r="I5" s="113"/>
      <c r="J5" s="114"/>
      <c r="K5" s="115"/>
      <c r="L5" s="115"/>
      <c r="M5" s="116"/>
      <c r="N5" s="117"/>
    </row>
    <row r="6" spans="1:14">
      <c r="A6" s="110"/>
      <c r="B6" s="111"/>
      <c r="C6" s="111"/>
      <c r="D6" s="111"/>
      <c r="E6" s="111"/>
      <c r="F6" s="111"/>
      <c r="G6" s="110"/>
      <c r="H6" s="112"/>
      <c r="I6" s="113"/>
      <c r="J6" s="114"/>
      <c r="K6" s="115"/>
      <c r="L6" s="115"/>
      <c r="M6" s="116"/>
      <c r="N6" s="118"/>
    </row>
    <row r="7" spans="1:14">
      <c r="A7" s="110"/>
      <c r="B7" s="111"/>
      <c r="C7" s="111"/>
      <c r="D7" s="111"/>
      <c r="E7" s="111"/>
      <c r="F7" s="111"/>
      <c r="G7" s="110"/>
      <c r="H7" s="112"/>
      <c r="I7" s="113"/>
      <c r="J7" s="114"/>
      <c r="K7" s="115"/>
      <c r="L7" s="115"/>
      <c r="M7" s="116"/>
      <c r="N7" s="117"/>
    </row>
    <row r="8" spans="1:14">
      <c r="A8" s="110"/>
      <c r="B8" s="111"/>
      <c r="C8" s="111"/>
      <c r="D8" s="111"/>
      <c r="E8" s="111"/>
      <c r="F8" s="111"/>
      <c r="G8" s="110"/>
      <c r="H8" s="112"/>
      <c r="I8" s="113"/>
      <c r="J8" s="114"/>
      <c r="K8" s="115"/>
      <c r="L8" s="115"/>
      <c r="M8" s="116"/>
      <c r="N8" s="118"/>
    </row>
    <row r="9" spans="1:14">
      <c r="A9" s="110"/>
      <c r="B9" s="111"/>
      <c r="C9" s="111"/>
      <c r="D9" s="111"/>
      <c r="E9" s="111"/>
      <c r="F9" s="111"/>
      <c r="G9" s="110"/>
      <c r="H9" s="112"/>
      <c r="I9" s="113"/>
      <c r="J9" s="114"/>
      <c r="K9" s="115"/>
      <c r="L9" s="115"/>
      <c r="M9" s="116"/>
      <c r="N9" s="117"/>
    </row>
    <row r="10" spans="1:14">
      <c r="A10" s="110"/>
      <c r="B10" s="111"/>
      <c r="C10" s="111"/>
      <c r="D10" s="111"/>
      <c r="E10" s="111"/>
      <c r="F10" s="111"/>
      <c r="G10" s="110"/>
      <c r="H10" s="112"/>
      <c r="I10" s="113"/>
      <c r="J10" s="114"/>
      <c r="K10" s="115"/>
      <c r="L10" s="115"/>
      <c r="M10" s="116"/>
      <c r="N10" s="118"/>
    </row>
    <row r="11" spans="1:14">
      <c r="A11" s="110"/>
      <c r="B11" s="111"/>
      <c r="C11" s="111"/>
      <c r="D11" s="111"/>
      <c r="E11" s="111"/>
      <c r="F11" s="111"/>
      <c r="G11" s="110"/>
      <c r="H11" s="112"/>
      <c r="I11" s="113"/>
      <c r="J11" s="114"/>
      <c r="K11" s="115"/>
      <c r="L11" s="115"/>
      <c r="M11" s="116"/>
      <c r="N11" s="117"/>
    </row>
    <row r="12" spans="1:14">
      <c r="A12" s="110"/>
      <c r="B12" s="111"/>
      <c r="C12" s="111"/>
      <c r="D12" s="111"/>
      <c r="E12" s="111"/>
      <c r="F12" s="111"/>
      <c r="G12" s="110"/>
      <c r="H12" s="112"/>
      <c r="I12" s="113"/>
      <c r="J12" s="114"/>
      <c r="K12" s="115"/>
      <c r="L12" s="115"/>
      <c r="M12" s="116"/>
      <c r="N12" s="118"/>
    </row>
    <row r="13" spans="1:14">
      <c r="A13" s="110"/>
      <c r="B13" s="111"/>
      <c r="C13" s="111"/>
      <c r="D13" s="111"/>
      <c r="E13" s="111"/>
      <c r="F13" s="111"/>
      <c r="G13" s="110"/>
      <c r="H13" s="112"/>
      <c r="I13" s="113"/>
      <c r="J13" s="114"/>
      <c r="K13" s="115"/>
      <c r="L13" s="115"/>
      <c r="M13" s="116"/>
      <c r="N13" s="117"/>
    </row>
    <row r="14" spans="1:14">
      <c r="A14" s="110"/>
      <c r="B14" s="111"/>
      <c r="C14" s="111"/>
      <c r="D14" s="111"/>
      <c r="E14" s="111"/>
      <c r="F14" s="111"/>
      <c r="G14" s="110"/>
      <c r="H14" s="112"/>
      <c r="I14" s="113"/>
      <c r="J14" s="114"/>
      <c r="K14" s="115"/>
      <c r="L14" s="115"/>
      <c r="M14" s="116"/>
      <c r="N14" s="118"/>
    </row>
    <row r="15" spans="1:14">
      <c r="A15" s="110"/>
      <c r="B15" s="111"/>
      <c r="C15" s="111"/>
      <c r="D15" s="111"/>
      <c r="E15" s="111"/>
      <c r="F15" s="111"/>
      <c r="G15" s="110"/>
      <c r="H15" s="112"/>
      <c r="I15" s="113"/>
      <c r="J15" s="114"/>
      <c r="K15" s="115"/>
      <c r="L15" s="115"/>
      <c r="M15" s="116"/>
      <c r="N15" s="117"/>
    </row>
    <row r="16" spans="1:14">
      <c r="A16" s="110"/>
      <c r="B16" s="111"/>
      <c r="C16" s="111"/>
      <c r="D16" s="111"/>
      <c r="E16" s="111"/>
      <c r="F16" s="111"/>
      <c r="G16" s="110"/>
      <c r="H16" s="112"/>
      <c r="I16" s="113"/>
      <c r="J16" s="114"/>
      <c r="K16" s="115"/>
      <c r="L16" s="115"/>
      <c r="M16" s="116"/>
      <c r="N16" s="119"/>
    </row>
    <row r="17" spans="1:14">
      <c r="A17" s="110"/>
      <c r="B17" s="111"/>
      <c r="C17" s="111"/>
      <c r="D17" s="111"/>
      <c r="E17" s="111"/>
      <c r="F17" s="111"/>
      <c r="G17" s="110"/>
      <c r="H17" s="112"/>
      <c r="I17" s="113"/>
      <c r="J17" s="114"/>
      <c r="K17" s="115"/>
      <c r="L17" s="115"/>
      <c r="M17" s="116"/>
      <c r="N17" s="117"/>
    </row>
    <row r="18" spans="1:14">
      <c r="A18" s="110"/>
      <c r="B18" s="111"/>
      <c r="C18" s="111"/>
      <c r="D18" s="111"/>
      <c r="E18" s="111"/>
      <c r="F18" s="111"/>
      <c r="G18" s="110"/>
      <c r="H18" s="112"/>
      <c r="I18" s="113"/>
      <c r="J18" s="114"/>
      <c r="K18" s="115"/>
      <c r="L18" s="115"/>
      <c r="M18" s="116"/>
      <c r="N18" s="118"/>
    </row>
    <row r="19" spans="1:14">
      <c r="A19" s="110"/>
      <c r="B19" s="111"/>
      <c r="C19" s="111"/>
      <c r="D19" s="111"/>
      <c r="E19" s="111"/>
      <c r="F19" s="111"/>
      <c r="G19" s="110"/>
      <c r="H19" s="112"/>
      <c r="I19" s="113"/>
      <c r="J19" s="114"/>
      <c r="K19" s="115"/>
      <c r="L19" s="115"/>
      <c r="M19" s="116"/>
      <c r="N19" s="117"/>
    </row>
    <row r="20" spans="1:14">
      <c r="A20" s="110"/>
      <c r="B20" s="111"/>
      <c r="C20" s="111"/>
      <c r="D20" s="111"/>
      <c r="E20" s="111"/>
      <c r="F20" s="111"/>
      <c r="G20" s="110"/>
      <c r="H20" s="112"/>
      <c r="I20" s="113"/>
      <c r="J20" s="114"/>
      <c r="K20" s="115"/>
      <c r="L20" s="115"/>
      <c r="M20" s="116"/>
      <c r="N20" s="118"/>
    </row>
    <row r="21" spans="1:14">
      <c r="A21" s="110"/>
      <c r="B21" s="111"/>
      <c r="C21" s="111"/>
      <c r="D21" s="111"/>
      <c r="E21" s="111"/>
      <c r="F21" s="111"/>
      <c r="G21" s="110"/>
      <c r="H21" s="112"/>
      <c r="I21" s="113"/>
      <c r="J21" s="114"/>
      <c r="K21" s="115"/>
      <c r="L21" s="115"/>
      <c r="M21" s="116"/>
      <c r="N21" s="117"/>
    </row>
    <row r="22" spans="1:14">
      <c r="A22" s="110"/>
      <c r="B22" s="111"/>
      <c r="C22" s="111"/>
      <c r="D22" s="111"/>
      <c r="E22" s="111"/>
      <c r="F22" s="111"/>
      <c r="G22" s="110"/>
      <c r="H22" s="112"/>
      <c r="I22" s="113"/>
      <c r="J22" s="114"/>
      <c r="K22" s="115"/>
      <c r="L22" s="115"/>
      <c r="M22" s="116"/>
      <c r="N22" s="118"/>
    </row>
    <row r="23" spans="1:14">
      <c r="A23" s="110"/>
      <c r="B23" s="111"/>
      <c r="C23" s="111"/>
      <c r="D23" s="111"/>
      <c r="E23" s="111"/>
      <c r="F23" s="111"/>
      <c r="G23" s="110"/>
      <c r="H23" s="112"/>
      <c r="I23" s="113"/>
      <c r="J23" s="114"/>
      <c r="K23" s="115"/>
      <c r="L23" s="115"/>
      <c r="M23" s="116"/>
      <c r="N23" s="117"/>
    </row>
    <row r="24" spans="1:14">
      <c r="A24" s="110"/>
      <c r="B24" s="111"/>
      <c r="C24" s="111"/>
      <c r="D24" s="111"/>
      <c r="E24" s="111"/>
      <c r="F24" s="111"/>
      <c r="G24" s="110"/>
      <c r="H24" s="112"/>
      <c r="I24" s="113"/>
      <c r="J24" s="114"/>
      <c r="K24" s="115"/>
      <c r="L24" s="115"/>
      <c r="M24" s="116"/>
      <c r="N24" s="119"/>
    </row>
    <row r="25" spans="1:14">
      <c r="A25" s="110"/>
      <c r="B25" s="111"/>
      <c r="C25" s="111"/>
      <c r="D25" s="111"/>
      <c r="E25" s="111"/>
      <c r="F25" s="111"/>
      <c r="G25" s="110"/>
      <c r="H25" s="112"/>
      <c r="I25" s="113"/>
      <c r="J25" s="114"/>
      <c r="K25" s="115"/>
      <c r="L25" s="115"/>
      <c r="M25" s="116"/>
      <c r="N25" s="117"/>
    </row>
    <row r="26" spans="1:14">
      <c r="A26" s="110"/>
      <c r="B26" s="111"/>
      <c r="C26" s="111"/>
      <c r="D26" s="111"/>
      <c r="E26" s="111"/>
      <c r="F26" s="111"/>
      <c r="G26" s="110"/>
      <c r="H26" s="112"/>
      <c r="I26" s="113"/>
      <c r="J26" s="114"/>
      <c r="K26" s="115"/>
      <c r="L26" s="115"/>
      <c r="M26" s="116"/>
      <c r="N26" s="118"/>
    </row>
    <row r="27" spans="1:14">
      <c r="A27" s="110"/>
      <c r="B27" s="111"/>
      <c r="C27" s="111"/>
      <c r="D27" s="111"/>
      <c r="E27" s="111"/>
      <c r="F27" s="111"/>
      <c r="G27" s="110"/>
      <c r="H27" s="112"/>
      <c r="I27" s="113"/>
      <c r="J27" s="114"/>
      <c r="K27" s="115"/>
      <c r="L27" s="115"/>
      <c r="M27" s="116"/>
      <c r="N27" s="117"/>
    </row>
    <row r="28" spans="1:14">
      <c r="A28" s="110"/>
      <c r="B28" s="111"/>
      <c r="C28" s="111"/>
      <c r="D28" s="111"/>
      <c r="E28" s="111"/>
      <c r="F28" s="111"/>
      <c r="G28" s="110"/>
      <c r="H28" s="112"/>
      <c r="I28" s="113"/>
      <c r="J28" s="114"/>
      <c r="K28" s="115"/>
      <c r="L28" s="115"/>
      <c r="M28" s="116"/>
      <c r="N28" s="118"/>
    </row>
    <row r="29" spans="1:14">
      <c r="A29" s="109"/>
      <c r="B29" s="100"/>
      <c r="C29" s="100"/>
      <c r="D29" s="100"/>
      <c r="K29" s="100"/>
    </row>
    <row r="30" spans="1:14">
      <c r="A30" s="110"/>
      <c r="B30" s="111"/>
      <c r="C30" s="111"/>
      <c r="D30" s="111"/>
      <c r="E30" s="111"/>
      <c r="F30" s="111"/>
      <c r="G30" s="110"/>
      <c r="H30" s="112"/>
      <c r="I30" s="113"/>
      <c r="J30" s="114"/>
      <c r="K30" s="115"/>
      <c r="L30" s="115"/>
      <c r="M30" s="116"/>
      <c r="N30" s="117"/>
    </row>
    <row r="31" spans="1:14">
      <c r="A31" s="110"/>
      <c r="B31" s="111"/>
      <c r="C31" s="111"/>
      <c r="D31" s="111"/>
      <c r="E31" s="111"/>
      <c r="F31" s="111"/>
      <c r="G31" s="110"/>
      <c r="H31" s="112"/>
      <c r="I31" s="113"/>
      <c r="J31" s="114"/>
      <c r="K31" s="115"/>
      <c r="L31" s="115"/>
      <c r="M31" s="116"/>
      <c r="N31" s="118"/>
    </row>
    <row r="32" spans="1:14">
      <c r="A32" s="110"/>
      <c r="B32" s="111"/>
      <c r="C32" s="111"/>
      <c r="D32" s="111"/>
      <c r="E32" s="111"/>
      <c r="F32" s="111"/>
      <c r="G32" s="110"/>
      <c r="H32" s="112"/>
      <c r="I32" s="113"/>
      <c r="J32" s="114"/>
      <c r="K32" s="115"/>
      <c r="L32" s="115"/>
      <c r="M32" s="116"/>
      <c r="N32" s="117"/>
    </row>
    <row r="33" spans="1:14">
      <c r="A33" s="110"/>
      <c r="B33" s="111"/>
      <c r="C33" s="111"/>
      <c r="D33" s="111"/>
      <c r="E33" s="111"/>
      <c r="F33" s="111"/>
      <c r="G33" s="110"/>
      <c r="H33" s="112"/>
      <c r="I33" s="113"/>
      <c r="J33" s="114"/>
      <c r="K33" s="115"/>
      <c r="L33" s="115"/>
      <c r="M33" s="116"/>
      <c r="N33" s="118"/>
    </row>
    <row r="34" spans="1:14">
      <c r="A34" s="110"/>
      <c r="B34" s="111"/>
      <c r="C34" s="111"/>
      <c r="D34" s="111"/>
      <c r="E34" s="111"/>
      <c r="F34" s="111"/>
      <c r="G34" s="110"/>
      <c r="H34" s="112"/>
      <c r="I34" s="113"/>
      <c r="J34" s="114"/>
      <c r="K34" s="115"/>
      <c r="L34" s="115"/>
      <c r="M34" s="116"/>
      <c r="N34" s="117"/>
    </row>
    <row r="35" spans="1:14">
      <c r="A35" s="110"/>
      <c r="B35" s="111"/>
      <c r="C35" s="111"/>
      <c r="D35" s="111"/>
      <c r="E35" s="111"/>
      <c r="F35" s="111"/>
      <c r="G35" s="110"/>
      <c r="H35" s="112"/>
      <c r="I35" s="113"/>
      <c r="J35" s="114"/>
      <c r="K35" s="115"/>
      <c r="L35" s="115"/>
      <c r="M35" s="116"/>
      <c r="N35" s="118"/>
    </row>
    <row r="36" spans="1:14">
      <c r="A36" s="110"/>
      <c r="B36" s="111"/>
      <c r="C36" s="111"/>
      <c r="D36" s="111"/>
      <c r="E36" s="111"/>
      <c r="F36" s="111"/>
      <c r="G36" s="110"/>
      <c r="H36" s="112"/>
      <c r="I36" s="113"/>
      <c r="J36" s="114"/>
      <c r="K36" s="115"/>
      <c r="L36" s="115"/>
      <c r="M36" s="116"/>
      <c r="N36" s="117"/>
    </row>
    <row r="37" spans="1:14">
      <c r="A37" s="110"/>
      <c r="B37" s="111"/>
      <c r="C37" s="111"/>
      <c r="D37" s="111"/>
      <c r="E37" s="111"/>
      <c r="F37" s="111"/>
      <c r="G37" s="110"/>
      <c r="H37" s="112"/>
      <c r="I37" s="113"/>
      <c r="J37" s="114"/>
      <c r="K37" s="115"/>
      <c r="L37" s="115"/>
      <c r="M37" s="116"/>
      <c r="N37" s="118"/>
    </row>
    <row r="38" spans="1:14">
      <c r="A38" s="110"/>
      <c r="B38" s="111"/>
      <c r="C38" s="111"/>
      <c r="D38" s="111"/>
      <c r="E38" s="111"/>
      <c r="F38" s="111"/>
      <c r="G38" s="110"/>
      <c r="H38" s="112"/>
      <c r="I38" s="113"/>
      <c r="J38" s="114"/>
      <c r="K38" s="115"/>
      <c r="L38" s="115"/>
      <c r="M38" s="116"/>
      <c r="N38" s="117"/>
    </row>
    <row r="39" spans="1:14">
      <c r="A39" s="110"/>
      <c r="B39" s="111"/>
      <c r="C39" s="111"/>
      <c r="D39" s="111"/>
      <c r="E39" s="111"/>
      <c r="F39" s="111"/>
      <c r="G39" s="110"/>
      <c r="H39" s="112"/>
      <c r="I39" s="113"/>
      <c r="J39" s="114"/>
      <c r="K39" s="115"/>
      <c r="L39" s="115"/>
      <c r="M39" s="116"/>
      <c r="N39" s="118"/>
    </row>
    <row r="40" spans="1:14">
      <c r="A40" s="110"/>
      <c r="B40" s="111"/>
      <c r="C40" s="111"/>
      <c r="D40" s="111"/>
      <c r="E40" s="111"/>
      <c r="F40" s="111"/>
      <c r="G40" s="110"/>
      <c r="H40" s="112"/>
      <c r="I40" s="113"/>
      <c r="J40" s="114"/>
      <c r="K40" s="115"/>
      <c r="L40" s="115"/>
      <c r="M40" s="116"/>
      <c r="N40" s="117"/>
    </row>
    <row r="41" spans="1:14">
      <c r="A41" s="110"/>
      <c r="B41" s="111"/>
      <c r="C41" s="111"/>
      <c r="D41" s="111"/>
      <c r="E41" s="111"/>
      <c r="F41" s="111"/>
      <c r="G41" s="110"/>
      <c r="H41" s="112"/>
      <c r="I41" s="113"/>
      <c r="J41" s="114"/>
      <c r="K41" s="115"/>
      <c r="L41" s="115"/>
      <c r="M41" s="116"/>
      <c r="N41" s="118"/>
    </row>
    <row r="42" spans="1:14">
      <c r="A42" s="110"/>
      <c r="B42" s="111"/>
      <c r="C42" s="111"/>
      <c r="D42" s="111"/>
      <c r="E42" s="111"/>
      <c r="F42" s="111"/>
      <c r="G42" s="110"/>
      <c r="H42" s="112"/>
      <c r="I42" s="113"/>
      <c r="J42" s="114"/>
      <c r="K42" s="115"/>
      <c r="L42" s="115"/>
      <c r="M42" s="116"/>
      <c r="N42" s="117"/>
    </row>
    <row r="43" spans="1:14">
      <c r="A43" s="110"/>
      <c r="B43" s="111"/>
      <c r="C43" s="111"/>
      <c r="D43" s="111"/>
      <c r="E43" s="111"/>
      <c r="F43" s="111"/>
      <c r="G43" s="110"/>
      <c r="H43" s="112"/>
      <c r="I43" s="113"/>
      <c r="J43" s="114"/>
      <c r="K43" s="115"/>
      <c r="L43" s="115"/>
      <c r="M43" s="116"/>
      <c r="N43" s="118"/>
    </row>
    <row r="44" spans="1:14">
      <c r="A44" s="110"/>
      <c r="B44" s="111"/>
      <c r="C44" s="111"/>
      <c r="D44" s="111"/>
      <c r="E44" s="111"/>
      <c r="F44" s="111"/>
      <c r="G44" s="110"/>
      <c r="H44" s="112"/>
      <c r="I44" s="113"/>
      <c r="J44" s="114"/>
      <c r="K44" s="115"/>
      <c r="L44" s="115"/>
      <c r="M44" s="116"/>
      <c r="N44" s="117"/>
    </row>
    <row r="45" spans="1:14">
      <c r="A45" s="110"/>
      <c r="B45" s="111"/>
      <c r="C45" s="111"/>
      <c r="D45" s="111"/>
      <c r="E45" s="111"/>
      <c r="F45" s="111"/>
      <c r="G45" s="110"/>
      <c r="H45" s="112"/>
      <c r="I45" s="113"/>
      <c r="J45" s="114"/>
      <c r="K45" s="115"/>
      <c r="L45" s="115"/>
      <c r="M45" s="116"/>
      <c r="N45" s="118"/>
    </row>
    <row r="46" spans="1:14">
      <c r="A46" s="110"/>
      <c r="B46" s="111"/>
      <c r="C46" s="111"/>
      <c r="D46" s="111"/>
      <c r="E46" s="111"/>
      <c r="F46" s="111"/>
      <c r="G46" s="110"/>
      <c r="H46" s="112"/>
      <c r="I46" s="113"/>
      <c r="J46" s="114"/>
      <c r="K46" s="115"/>
      <c r="L46" s="115"/>
      <c r="M46" s="116"/>
      <c r="N46" s="117"/>
    </row>
    <row r="47" spans="1:14">
      <c r="A47" s="110"/>
      <c r="B47" s="111"/>
      <c r="C47" s="111"/>
      <c r="D47" s="111"/>
      <c r="E47" s="111"/>
      <c r="F47" s="111"/>
      <c r="G47" s="110"/>
      <c r="H47" s="112"/>
      <c r="I47" s="113"/>
      <c r="J47" s="114"/>
      <c r="K47" s="115"/>
      <c r="L47" s="115"/>
      <c r="M47" s="116"/>
      <c r="N47" s="118"/>
    </row>
    <row r="48" spans="1:14">
      <c r="A48" s="110"/>
      <c r="B48" s="111"/>
      <c r="C48" s="111"/>
      <c r="D48" s="111"/>
      <c r="E48" s="111"/>
      <c r="F48" s="111"/>
      <c r="G48" s="110"/>
      <c r="H48" s="112"/>
      <c r="I48" s="113"/>
      <c r="J48" s="114"/>
      <c r="K48" s="115"/>
      <c r="L48" s="115"/>
      <c r="M48" s="116"/>
      <c r="N48" s="117"/>
    </row>
    <row r="49" spans="1:14">
      <c r="A49" s="110"/>
      <c r="B49" s="111"/>
      <c r="C49" s="111"/>
      <c r="D49" s="111"/>
      <c r="E49" s="111"/>
      <c r="F49" s="111"/>
      <c r="G49" s="110"/>
      <c r="H49" s="112"/>
      <c r="I49" s="113"/>
      <c r="J49" s="114"/>
      <c r="K49" s="115"/>
      <c r="L49" s="115"/>
      <c r="M49" s="116"/>
      <c r="N49" s="118"/>
    </row>
    <row r="50" spans="1:14">
      <c r="A50" s="110"/>
      <c r="B50" s="111"/>
      <c r="C50" s="111"/>
      <c r="D50" s="111"/>
      <c r="E50" s="111"/>
      <c r="F50" s="111"/>
      <c r="G50" s="110"/>
      <c r="H50" s="112"/>
      <c r="I50" s="113"/>
      <c r="J50" s="114"/>
      <c r="K50" s="115"/>
      <c r="L50" s="115"/>
      <c r="M50" s="116"/>
      <c r="N50" s="117"/>
    </row>
    <row r="51" spans="1:14">
      <c r="A51" s="110"/>
      <c r="B51" s="111"/>
      <c r="C51" s="111"/>
      <c r="D51" s="111"/>
      <c r="E51" s="111"/>
      <c r="F51" s="111"/>
      <c r="G51" s="110"/>
      <c r="H51" s="112"/>
      <c r="I51" s="113"/>
      <c r="J51" s="114"/>
      <c r="K51" s="115"/>
      <c r="L51" s="115"/>
      <c r="M51" s="116"/>
      <c r="N51" s="118"/>
    </row>
    <row r="52" spans="1:14">
      <c r="A52" s="110"/>
      <c r="B52" s="111"/>
      <c r="C52" s="111"/>
      <c r="D52" s="111"/>
      <c r="E52" s="111"/>
      <c r="F52" s="111"/>
      <c r="G52" s="110"/>
      <c r="H52" s="112"/>
      <c r="I52" s="113"/>
      <c r="J52" s="114"/>
      <c r="K52" s="115"/>
      <c r="L52" s="115"/>
      <c r="M52" s="116"/>
      <c r="N52" s="117"/>
    </row>
    <row r="53" spans="1:14">
      <c r="A53" s="110"/>
      <c r="B53" s="111"/>
      <c r="C53" s="111"/>
      <c r="D53" s="111"/>
      <c r="E53" s="111"/>
      <c r="F53" s="111"/>
      <c r="G53" s="110"/>
      <c r="H53" s="112"/>
      <c r="I53" s="113"/>
      <c r="J53" s="114"/>
      <c r="K53" s="115"/>
      <c r="L53" s="115"/>
      <c r="M53" s="116"/>
      <c r="N53" s="118"/>
    </row>
    <row r="54" spans="1:14">
      <c r="A54" s="110"/>
      <c r="B54" s="111"/>
      <c r="C54" s="111"/>
      <c r="D54" s="111"/>
      <c r="E54" s="111"/>
      <c r="F54" s="111"/>
      <c r="G54" s="110"/>
      <c r="H54" s="112"/>
      <c r="I54" s="113"/>
      <c r="J54" s="114"/>
      <c r="K54" s="115"/>
      <c r="L54" s="115"/>
      <c r="M54" s="116"/>
      <c r="N54" s="117"/>
    </row>
    <row r="55" spans="1:14">
      <c r="A55" s="110"/>
      <c r="B55" s="111"/>
      <c r="C55" s="111"/>
      <c r="D55" s="111"/>
      <c r="E55" s="111"/>
      <c r="F55" s="111"/>
      <c r="G55" s="110"/>
      <c r="H55" s="112"/>
      <c r="I55" s="113"/>
      <c r="J55" s="114"/>
      <c r="K55" s="115"/>
      <c r="L55" s="115"/>
      <c r="M55" s="116"/>
      <c r="N55" s="11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workbookViewId="0">
      <selection activeCell="H18" sqref="H18:H39"/>
    </sheetView>
  </sheetViews>
  <sheetFormatPr baseColWidth="10" defaultRowHeight="14" x14ac:dyDescent="0"/>
  <cols>
    <col min="1" max="1" width="30" bestFit="1" customWidth="1"/>
    <col min="2" max="2" width="15.1640625" bestFit="1" customWidth="1"/>
    <col min="9" max="9" width="15.1640625" bestFit="1" customWidth="1"/>
    <col min="15" max="26" width="10.6640625" customWidth="1"/>
    <col min="27" max="27" width="10.83203125" style="125"/>
    <col min="28" max="28" width="15.33203125" bestFit="1" customWidth="1"/>
    <col min="29" max="29" width="10.83203125" style="154"/>
    <col min="30" max="30" width="17.5" style="156" bestFit="1" customWidth="1"/>
  </cols>
  <sheetData>
    <row r="1" spans="1:30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30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30">
      <c r="A3" s="44">
        <v>5</v>
      </c>
      <c r="B3" s="52">
        <v>44166</v>
      </c>
      <c r="C3" s="53">
        <v>2992</v>
      </c>
      <c r="D3" s="42">
        <v>1471.3</v>
      </c>
      <c r="E3" s="54">
        <v>256.10000000000002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30">
      <c r="A4" s="44">
        <v>4.4000000000000004</v>
      </c>
      <c r="B4" s="52">
        <v>44166</v>
      </c>
      <c r="C4" s="53">
        <v>2992</v>
      </c>
      <c r="D4" s="54">
        <v>1307.3</v>
      </c>
      <c r="E4" s="54">
        <v>224.53</v>
      </c>
      <c r="F4" s="55">
        <f t="shared" ref="F4:F14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30">
      <c r="A5" s="44">
        <v>4</v>
      </c>
      <c r="B5" s="52">
        <v>44166</v>
      </c>
      <c r="C5" s="53">
        <v>2992</v>
      </c>
      <c r="D5" s="42">
        <v>1170.08</v>
      </c>
      <c r="E5" s="54">
        <v>208.96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30">
      <c r="A6" s="44">
        <v>3.4</v>
      </c>
      <c r="B6" s="52">
        <v>44166</v>
      </c>
      <c r="C6" s="53">
        <v>2992</v>
      </c>
      <c r="D6" s="54">
        <v>995.5</v>
      </c>
      <c r="E6" s="54">
        <v>187.09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30">
      <c r="A7" s="44">
        <v>3</v>
      </c>
      <c r="B7" s="52">
        <v>44166</v>
      </c>
      <c r="C7" s="53">
        <v>2992</v>
      </c>
      <c r="D7" s="42">
        <v>874.24</v>
      </c>
      <c r="E7" s="54">
        <v>169.16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30">
      <c r="A8" s="44">
        <v>2.4</v>
      </c>
      <c r="B8" s="52">
        <v>44166</v>
      </c>
      <c r="C8" s="53">
        <v>2992</v>
      </c>
      <c r="D8" s="54">
        <v>722.08</v>
      </c>
      <c r="E8" s="54">
        <v>134.52000000000001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30">
      <c r="A9" s="44">
        <v>2</v>
      </c>
      <c r="B9" s="52">
        <v>44166</v>
      </c>
      <c r="C9" s="53">
        <v>2992</v>
      </c>
      <c r="D9" s="42">
        <v>598.87</v>
      </c>
      <c r="E9" s="54">
        <v>112.86</v>
      </c>
      <c r="F9" s="55">
        <f t="shared" si="0"/>
        <v>5.984</v>
      </c>
      <c r="G9" s="58" t="s">
        <v>70</v>
      </c>
      <c r="H9" s="58"/>
      <c r="I9" s="59">
        <f>SLOPE(F3:F15,D3:D15)</f>
        <v>1.0147921410156656E-2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30">
      <c r="A10" s="44">
        <v>1.4</v>
      </c>
      <c r="B10" s="52">
        <v>44166</v>
      </c>
      <c r="C10" s="53">
        <v>2992</v>
      </c>
      <c r="D10" s="42">
        <v>420.7</v>
      </c>
      <c r="E10" s="54">
        <v>80.781999999999996</v>
      </c>
      <c r="F10" s="55">
        <f t="shared" si="0"/>
        <v>4.1887999999999996</v>
      </c>
      <c r="G10" s="58" t="s">
        <v>71</v>
      </c>
      <c r="H10" s="58"/>
      <c r="I10" s="59">
        <f>INTERCEPT(F3:F15,D3:D15)</f>
        <v>-8.8992371387321967E-3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30">
      <c r="A11" s="44">
        <v>1</v>
      </c>
      <c r="B11" s="52">
        <v>44166</v>
      </c>
      <c r="C11" s="53">
        <v>2992</v>
      </c>
      <c r="D11" s="42">
        <v>316.52</v>
      </c>
      <c r="E11" s="54">
        <v>62.53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30" ht="15" thickBot="1">
      <c r="A12" s="60">
        <v>0.4</v>
      </c>
      <c r="B12" s="52">
        <v>44166</v>
      </c>
      <c r="C12" s="53">
        <v>2992</v>
      </c>
      <c r="D12" s="60">
        <v>113.62</v>
      </c>
      <c r="E12" s="60">
        <v>26.337</v>
      </c>
      <c r="F12" s="55">
        <f t="shared" si="0"/>
        <v>1.1968000000000001</v>
      </c>
      <c r="G12" s="61" t="s">
        <v>72</v>
      </c>
      <c r="H12" s="61"/>
      <c r="I12" s="62">
        <f>SLOPE(F3:F15,E3:E15)</f>
        <v>5.809260772239095E-2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30">
      <c r="A13" s="60">
        <v>0.2</v>
      </c>
      <c r="B13" s="52">
        <v>44166</v>
      </c>
      <c r="C13" s="53">
        <v>2992</v>
      </c>
      <c r="D13" s="60">
        <v>49.05</v>
      </c>
      <c r="E13" s="60">
        <v>12.865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-0.33955837014853074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  <c r="W13" s="242" t="s">
        <v>153</v>
      </c>
      <c r="X13" s="243"/>
      <c r="Y13" s="243"/>
      <c r="Z13" s="244"/>
    </row>
    <row r="14" spans="1:30">
      <c r="A14" s="60">
        <v>0.1</v>
      </c>
      <c r="B14" s="52">
        <v>44166</v>
      </c>
      <c r="C14" s="53">
        <v>2992</v>
      </c>
      <c r="D14" s="60">
        <v>21.236999999999998</v>
      </c>
      <c r="E14" s="60">
        <v>6.3109999999999999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26" t="s">
        <v>121</v>
      </c>
      <c r="X14" s="20" t="s">
        <v>122</v>
      </c>
      <c r="Y14" s="20" t="s">
        <v>121</v>
      </c>
      <c r="Z14" s="127" t="s">
        <v>122</v>
      </c>
    </row>
    <row r="15" spans="1:30" ht="15" thickBot="1">
      <c r="A15" s="60">
        <v>0</v>
      </c>
      <c r="B15" s="52">
        <v>44166</v>
      </c>
      <c r="C15" s="53">
        <v>2992</v>
      </c>
      <c r="D15" s="60">
        <v>0</v>
      </c>
      <c r="E15" s="60">
        <v>0</v>
      </c>
      <c r="F15" s="55">
        <f t="shared" ref="F15" si="1">A15/1000*C15</f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28"/>
      <c r="X15" s="41"/>
      <c r="Y15" s="41"/>
      <c r="Z15" s="129"/>
    </row>
    <row r="16" spans="1:30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  <c r="AA16" s="155" t="s">
        <v>278</v>
      </c>
      <c r="AB16" s="155" t="s">
        <v>279</v>
      </c>
      <c r="AC16" s="155" t="s">
        <v>280</v>
      </c>
      <c r="AD16" s="155" t="s">
        <v>281</v>
      </c>
    </row>
    <row r="17" spans="1:30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1" t="s">
        <v>113</v>
      </c>
      <c r="AA17" s="156"/>
      <c r="AB17" s="154"/>
    </row>
    <row r="18" spans="1:30">
      <c r="A18" s="29" t="s">
        <v>292</v>
      </c>
      <c r="B18" s="71">
        <f t="shared" ref="B18:B39" si="2">$B$3+H18</f>
        <v>44166.479166666664</v>
      </c>
      <c r="C18" s="44">
        <v>1</v>
      </c>
      <c r="D18" s="80">
        <v>583.05999999999995</v>
      </c>
      <c r="E18" s="81">
        <v>112.08</v>
      </c>
      <c r="F18" s="72">
        <f t="shared" ref="F18:F39" si="3">((I$9*D18)+I$10)/C18/1000</f>
        <v>5.9079478202672068E-3</v>
      </c>
      <c r="G18" s="72">
        <f t="shared" ref="G18:G39" si="4">((I$12*E18)+I$13)/C18/1000</f>
        <v>6.171461103377047E-3</v>
      </c>
      <c r="H18" s="96">
        <v>0.47916666666666669</v>
      </c>
      <c r="I18" s="73">
        <f>jar_information!M3</f>
        <v>44165.4375</v>
      </c>
      <c r="J18" s="74">
        <f t="shared" ref="J18:J39" si="5">B18-I18</f>
        <v>1.0416666666642413</v>
      </c>
      <c r="K18" s="74">
        <f t="shared" ref="K18:K39" si="6">J18*24</f>
        <v>24.999999999941792</v>
      </c>
      <c r="L18" s="75">
        <f>jar_information!H3</f>
        <v>371.24882105804681</v>
      </c>
      <c r="M18" s="74">
        <f t="shared" ref="M18:M39" si="7">F18*L18</f>
        <v>2.1933186631466581</v>
      </c>
      <c r="N18" s="74">
        <f t="shared" ref="N18:N39" si="8">M18*1.83</f>
        <v>4.0137731535583843</v>
      </c>
      <c r="O18" s="76">
        <f>N18*(12/(12+(16*2)))</f>
        <v>1.0946654055159228</v>
      </c>
      <c r="P18" s="77">
        <f t="shared" ref="P18:P39" si="9">O18*(400/(400+L18))</f>
        <v>0.56773657249248988</v>
      </c>
      <c r="Q18" s="78"/>
      <c r="R18" s="78">
        <f t="shared" ref="R18:R39" si="10">Q18/314.7</f>
        <v>0</v>
      </c>
      <c r="S18" s="78">
        <f t="shared" ref="S18:S39" si="11">R18/P18*100</f>
        <v>0</v>
      </c>
      <c r="T18" s="79">
        <f t="shared" ref="T18:T39" si="12">F18*1000000</f>
        <v>5907.9478202672071</v>
      </c>
      <c r="U18" s="7">
        <f t="shared" ref="U18:U39" si="13">M18/L18*100</f>
        <v>0.59079478202672064</v>
      </c>
      <c r="V18" s="90">
        <f>O18/K18</f>
        <v>4.3786616220738865E-2</v>
      </c>
      <c r="W18" s="97">
        <f>V18*24*5</f>
        <v>5.2543939464886638</v>
      </c>
      <c r="X18" s="97">
        <f t="shared" ref="X18:X39" si="14">V18*24*7</f>
        <v>7.3561515250841287</v>
      </c>
      <c r="Y18" s="98">
        <f t="shared" ref="Y18:Y39" si="15">W18*(400/(400+L18))</f>
        <v>2.7251355479702966</v>
      </c>
      <c r="Z18" s="98">
        <f t="shared" ref="Z18:Z39" si="16">X18*(400/(400+L18))</f>
        <v>3.8151897671584147</v>
      </c>
      <c r="AA18" s="156">
        <v>10.253477216514689</v>
      </c>
      <c r="AB18" s="156">
        <f>IF((AA18-N18)&lt;=0,"!",AA18-N18)</f>
        <v>6.2397040629563048</v>
      </c>
      <c r="AC18" s="156">
        <f>AA18*(12/(12+(16*2)))</f>
        <v>2.7964028772312788</v>
      </c>
      <c r="AD18" s="156">
        <f>AC18/V18/24</f>
        <v>2.6610137208117233</v>
      </c>
    </row>
    <row r="19" spans="1:30">
      <c r="A19" s="29" t="s">
        <v>293</v>
      </c>
      <c r="B19" s="71">
        <f t="shared" si="2"/>
        <v>44166.479166666664</v>
      </c>
      <c r="C19" s="44">
        <v>1</v>
      </c>
      <c r="D19" s="80">
        <v>477.61</v>
      </c>
      <c r="E19" s="81">
        <v>88.906000000000006</v>
      </c>
      <c r="F19" s="72">
        <f t="shared" si="3"/>
        <v>4.8378495075661887E-3</v>
      </c>
      <c r="G19" s="72">
        <f t="shared" si="4"/>
        <v>4.8252230120183594E-3</v>
      </c>
      <c r="H19" s="96">
        <v>0.47916666666666669</v>
      </c>
      <c r="I19" s="73">
        <f>jar_information!M4</f>
        <v>44165.4375</v>
      </c>
      <c r="J19" s="74">
        <f t="shared" si="5"/>
        <v>1.0416666666642413</v>
      </c>
      <c r="K19" s="74">
        <f t="shared" si="6"/>
        <v>24.999999999941792</v>
      </c>
      <c r="L19" s="75">
        <f>jar_information!H4</f>
        <v>396.0136460677399</v>
      </c>
      <c r="M19" s="74">
        <f t="shared" si="7"/>
        <v>1.9158544226183065</v>
      </c>
      <c r="N19" s="74">
        <f t="shared" si="8"/>
        <v>3.5060135933915011</v>
      </c>
      <c r="O19" s="76">
        <f t="shared" ref="O19:O39" si="17">N19*(12/(12+(16*2)))</f>
        <v>0.95618552547040936</v>
      </c>
      <c r="P19" s="77">
        <f t="shared" si="9"/>
        <v>0.48048700179646869</v>
      </c>
      <c r="Q19" s="78"/>
      <c r="R19" s="78">
        <f t="shared" si="10"/>
        <v>0</v>
      </c>
      <c r="S19" s="78">
        <f t="shared" si="11"/>
        <v>0</v>
      </c>
      <c r="T19" s="79">
        <f t="shared" si="12"/>
        <v>4837.8495075661885</v>
      </c>
      <c r="U19" s="7">
        <f t="shared" si="13"/>
        <v>0.48378495075661887</v>
      </c>
      <c r="V19" s="90">
        <f t="shared" ref="V19:V39" si="18">O19/K19</f>
        <v>3.824742101890543E-2</v>
      </c>
      <c r="W19" s="97">
        <f t="shared" ref="W19:W39" si="19">V19*24*5</f>
        <v>4.5896905222686515</v>
      </c>
      <c r="X19" s="97">
        <f t="shared" si="14"/>
        <v>6.4255667311761115</v>
      </c>
      <c r="Y19" s="98">
        <f t="shared" si="15"/>
        <v>2.3063376086284197</v>
      </c>
      <c r="Z19" s="98">
        <f t="shared" si="16"/>
        <v>3.2288726520797875</v>
      </c>
      <c r="AA19" s="156">
        <v>10.253477216514689</v>
      </c>
      <c r="AB19" s="156">
        <f t="shared" ref="AB19:AB39" si="20">IF((AA19-N19)&lt;=0,"!",AA19-N19)</f>
        <v>6.7474636231231884</v>
      </c>
      <c r="AC19" s="156">
        <f t="shared" ref="AC19:AC39" si="21">AA19*(12/(12+(16*2)))</f>
        <v>2.7964028772312788</v>
      </c>
      <c r="AD19" s="156">
        <f t="shared" ref="AD19:AD39" si="22">AC19/V19/24</f>
        <v>3.0463958993133122</v>
      </c>
    </row>
    <row r="20" spans="1:30">
      <c r="A20" s="29" t="s">
        <v>294</v>
      </c>
      <c r="B20" s="71">
        <f t="shared" si="2"/>
        <v>44166.479166666664</v>
      </c>
      <c r="C20" s="44">
        <v>1</v>
      </c>
      <c r="D20" s="80">
        <v>331.84</v>
      </c>
      <c r="E20" s="81">
        <v>65.858000000000004</v>
      </c>
      <c r="F20" s="72">
        <f t="shared" si="3"/>
        <v>3.3585870036076525E-3</v>
      </c>
      <c r="G20" s="72">
        <f t="shared" si="4"/>
        <v>3.4863045892326926E-3</v>
      </c>
      <c r="H20" s="96">
        <v>0.47916666666666669</v>
      </c>
      <c r="I20" s="73">
        <f>jar_information!M5</f>
        <v>44165.4375</v>
      </c>
      <c r="J20" s="74">
        <f t="shared" si="5"/>
        <v>1.0416666666642413</v>
      </c>
      <c r="K20" s="74">
        <f t="shared" si="6"/>
        <v>24.999999999941792</v>
      </c>
      <c r="L20" s="75">
        <f>jar_information!H5</f>
        <v>356.00450368854933</v>
      </c>
      <c r="M20" s="74">
        <f t="shared" si="7"/>
        <v>1.1956720993141543</v>
      </c>
      <c r="N20" s="74">
        <f t="shared" si="8"/>
        <v>2.1880799417449026</v>
      </c>
      <c r="O20" s="76">
        <f t="shared" si="17"/>
        <v>0.59674907502133701</v>
      </c>
      <c r="P20" s="77">
        <f t="shared" si="9"/>
        <v>0.31573837039848074</v>
      </c>
      <c r="Q20" s="78"/>
      <c r="R20" s="78">
        <f t="shared" si="10"/>
        <v>0</v>
      </c>
      <c r="S20" s="78">
        <f t="shared" si="11"/>
        <v>0</v>
      </c>
      <c r="T20" s="79">
        <f t="shared" si="12"/>
        <v>3358.5870036076526</v>
      </c>
      <c r="U20" s="7">
        <f t="shared" si="13"/>
        <v>0.33585870036076526</v>
      </c>
      <c r="V20" s="90">
        <f t="shared" si="18"/>
        <v>2.3869963000909059E-2</v>
      </c>
      <c r="W20" s="97">
        <f t="shared" si="19"/>
        <v>2.8643955601090871</v>
      </c>
      <c r="X20" s="97">
        <f t="shared" si="14"/>
        <v>4.0101537841527222</v>
      </c>
      <c r="Y20" s="98">
        <f t="shared" si="15"/>
        <v>1.5155441779162364</v>
      </c>
      <c r="Z20" s="98">
        <f t="shared" si="16"/>
        <v>2.121761849082731</v>
      </c>
      <c r="AA20" s="156">
        <v>1.6126423838845156</v>
      </c>
      <c r="AB20" s="156" t="str">
        <f t="shared" si="20"/>
        <v>!</v>
      </c>
      <c r="AC20" s="156">
        <f t="shared" si="21"/>
        <v>0.4398115592412315</v>
      </c>
      <c r="AD20" s="156">
        <f t="shared" si="22"/>
        <v>0.76772140930228538</v>
      </c>
    </row>
    <row r="21" spans="1:30">
      <c r="A21" s="29" t="s">
        <v>295</v>
      </c>
      <c r="B21" s="71">
        <f t="shared" si="2"/>
        <v>44166.479166666664</v>
      </c>
      <c r="C21" s="44">
        <v>1</v>
      </c>
      <c r="D21" s="80">
        <v>347.19</v>
      </c>
      <c r="E21" s="81">
        <v>65.869</v>
      </c>
      <c r="F21" s="72">
        <f t="shared" si="3"/>
        <v>3.5143575972535574E-3</v>
      </c>
      <c r="G21" s="72">
        <f t="shared" si="4"/>
        <v>3.4869436079176387E-3</v>
      </c>
      <c r="H21" s="96">
        <v>0.47916666666666669</v>
      </c>
      <c r="I21" s="73">
        <f>jar_information!M6</f>
        <v>44165.4375</v>
      </c>
      <c r="J21" s="74">
        <f t="shared" si="5"/>
        <v>1.0416666666642413</v>
      </c>
      <c r="K21" s="74">
        <f t="shared" si="6"/>
        <v>24.999999999941792</v>
      </c>
      <c r="L21" s="75">
        <f>jar_information!H6</f>
        <v>362.08093473315461</v>
      </c>
      <c r="M21" s="74">
        <f t="shared" si="7"/>
        <v>1.2724818838001313</v>
      </c>
      <c r="N21" s="74">
        <f t="shared" si="8"/>
        <v>2.3286418473542403</v>
      </c>
      <c r="O21" s="76">
        <f t="shared" si="17"/>
        <v>0.63508414018752002</v>
      </c>
      <c r="P21" s="77">
        <f t="shared" si="9"/>
        <v>0.33334209595987174</v>
      </c>
      <c r="Q21" s="78"/>
      <c r="R21" s="78">
        <f t="shared" si="10"/>
        <v>0</v>
      </c>
      <c r="S21" s="78">
        <f t="shared" si="11"/>
        <v>0</v>
      </c>
      <c r="T21" s="79">
        <f t="shared" si="12"/>
        <v>3514.3575972535573</v>
      </c>
      <c r="U21" s="7">
        <f t="shared" si="13"/>
        <v>0.35143575972535568</v>
      </c>
      <c r="V21" s="90">
        <f t="shared" si="18"/>
        <v>2.5403365607559947E-2</v>
      </c>
      <c r="W21" s="97">
        <f t="shared" si="19"/>
        <v>3.0484038729071941</v>
      </c>
      <c r="X21" s="97">
        <f t="shared" si="14"/>
        <v>4.2677654220700711</v>
      </c>
      <c r="Y21" s="98">
        <f t="shared" si="15"/>
        <v>1.6000420606111101</v>
      </c>
      <c r="Z21" s="98">
        <f t="shared" si="16"/>
        <v>2.2400588848555536</v>
      </c>
      <c r="AA21" s="156">
        <v>1.6126423838845156</v>
      </c>
      <c r="AB21" s="156" t="str">
        <f t="shared" si="20"/>
        <v>!</v>
      </c>
      <c r="AC21" s="156">
        <f t="shared" si="21"/>
        <v>0.4398115592412315</v>
      </c>
      <c r="AD21" s="156">
        <f t="shared" si="22"/>
        <v>0.72138006900934881</v>
      </c>
    </row>
    <row r="22" spans="1:30">
      <c r="A22" s="29" t="s">
        <v>296</v>
      </c>
      <c r="B22" s="71">
        <f t="shared" si="2"/>
        <v>44166.479166666664</v>
      </c>
      <c r="C22" s="44">
        <v>1</v>
      </c>
      <c r="D22" s="80">
        <v>133.65</v>
      </c>
      <c r="E22" s="81">
        <v>27.963000000000001</v>
      </c>
      <c r="F22" s="72">
        <f t="shared" si="3"/>
        <v>1.3473704593287049E-3</v>
      </c>
      <c r="G22" s="72">
        <f t="shared" si="4"/>
        <v>1.2848852195926875E-3</v>
      </c>
      <c r="H22" s="96">
        <v>0.47916666666666669</v>
      </c>
      <c r="I22" s="73">
        <f>jar_information!M7</f>
        <v>44165.4375</v>
      </c>
      <c r="J22" s="74">
        <f t="shared" si="5"/>
        <v>1.0416666666642413</v>
      </c>
      <c r="K22" s="74">
        <f t="shared" si="6"/>
        <v>24.999999999941792</v>
      </c>
      <c r="L22" s="75">
        <f>jar_information!H7</f>
        <v>368.18572718286885</v>
      </c>
      <c r="M22" s="74">
        <f t="shared" si="7"/>
        <v>0.49608257235265524</v>
      </c>
      <c r="N22" s="74">
        <f t="shared" si="8"/>
        <v>0.90783110740535911</v>
      </c>
      <c r="O22" s="76">
        <f t="shared" si="17"/>
        <v>0.24759030201964338</v>
      </c>
      <c r="P22" s="77">
        <f t="shared" si="9"/>
        <v>0.12892210477672869</v>
      </c>
      <c r="Q22" s="78"/>
      <c r="R22" s="78">
        <f t="shared" si="10"/>
        <v>0</v>
      </c>
      <c r="S22" s="78">
        <f t="shared" si="11"/>
        <v>0</v>
      </c>
      <c r="T22" s="79">
        <f t="shared" si="12"/>
        <v>1347.370459328705</v>
      </c>
      <c r="U22" s="7">
        <f t="shared" si="13"/>
        <v>0.1347370459328705</v>
      </c>
      <c r="V22" s="90">
        <f t="shared" si="18"/>
        <v>9.9036120808087946E-3</v>
      </c>
      <c r="W22" s="97">
        <f t="shared" si="19"/>
        <v>1.1884334496970552</v>
      </c>
      <c r="X22" s="97">
        <f t="shared" si="14"/>
        <v>1.6638068295758774</v>
      </c>
      <c r="Y22" s="98">
        <f t="shared" si="15"/>
        <v>0.6188261029297385</v>
      </c>
      <c r="Z22" s="98">
        <f t="shared" si="16"/>
        <v>0.86635654410163399</v>
      </c>
      <c r="AA22" s="156">
        <v>13.034248604188406</v>
      </c>
      <c r="AB22" s="156">
        <f t="shared" si="20"/>
        <v>12.126417496783047</v>
      </c>
      <c r="AC22" s="156">
        <f t="shared" si="21"/>
        <v>3.5547950738695651</v>
      </c>
      <c r="AD22" s="156">
        <f t="shared" si="22"/>
        <v>14.955802004629376</v>
      </c>
    </row>
    <row r="23" spans="1:30">
      <c r="A23" s="29" t="s">
        <v>297</v>
      </c>
      <c r="B23" s="71">
        <f t="shared" si="2"/>
        <v>44166.479166666664</v>
      </c>
      <c r="C23" s="44">
        <v>1</v>
      </c>
      <c r="D23" s="80">
        <v>102.78</v>
      </c>
      <c r="E23" s="81">
        <v>23.988</v>
      </c>
      <c r="F23" s="72">
        <f t="shared" si="3"/>
        <v>1.0341041253971691E-3</v>
      </c>
      <c r="G23" s="72">
        <f t="shared" si="4"/>
        <v>1.0539671038961834E-3</v>
      </c>
      <c r="H23" s="96">
        <v>0.47916666666666669</v>
      </c>
      <c r="I23" s="73">
        <f>jar_information!M8</f>
        <v>44165.4375</v>
      </c>
      <c r="J23" s="74">
        <f t="shared" si="5"/>
        <v>1.0416666666642413</v>
      </c>
      <c r="K23" s="74">
        <f t="shared" si="6"/>
        <v>24.999999999941792</v>
      </c>
      <c r="L23" s="75">
        <f>jar_information!H8</f>
        <v>405.42134882290139</v>
      </c>
      <c r="M23" s="74">
        <f t="shared" si="7"/>
        <v>0.41924788934184704</v>
      </c>
      <c r="N23" s="74">
        <f t="shared" si="8"/>
        <v>0.76722363749558009</v>
      </c>
      <c r="O23" s="76">
        <f t="shared" si="17"/>
        <v>0.20924281022606728</v>
      </c>
      <c r="P23" s="77">
        <f t="shared" si="9"/>
        <v>0.10391719093707621</v>
      </c>
      <c r="Q23" s="78"/>
      <c r="R23" s="78">
        <f t="shared" si="10"/>
        <v>0</v>
      </c>
      <c r="S23" s="78">
        <f t="shared" si="11"/>
        <v>0</v>
      </c>
      <c r="T23" s="79">
        <f t="shared" si="12"/>
        <v>1034.1041253971691</v>
      </c>
      <c r="U23" s="7">
        <f t="shared" si="13"/>
        <v>0.1034104125397169</v>
      </c>
      <c r="V23" s="90">
        <f t="shared" si="18"/>
        <v>8.3697124090621779E-3</v>
      </c>
      <c r="W23" s="97">
        <f t="shared" si="19"/>
        <v>1.0043654890874614</v>
      </c>
      <c r="X23" s="97">
        <f t="shared" si="14"/>
        <v>1.406111684722446</v>
      </c>
      <c r="Y23" s="98">
        <f t="shared" si="15"/>
        <v>0.49880251649912721</v>
      </c>
      <c r="Z23" s="98">
        <f t="shared" si="16"/>
        <v>0.6983235230987781</v>
      </c>
      <c r="AA23" s="156">
        <v>13.034248604188406</v>
      </c>
      <c r="AB23" s="156">
        <f t="shared" si="20"/>
        <v>12.267024966692826</v>
      </c>
      <c r="AC23" s="156">
        <f t="shared" si="21"/>
        <v>3.5547950738695651</v>
      </c>
      <c r="AD23" s="156">
        <f t="shared" si="22"/>
        <v>17.696720528994646</v>
      </c>
    </row>
    <row r="24" spans="1:30">
      <c r="A24" s="29" t="s">
        <v>298</v>
      </c>
      <c r="B24" s="71">
        <f t="shared" si="2"/>
        <v>44166.479166666664</v>
      </c>
      <c r="C24" s="44">
        <v>1</v>
      </c>
      <c r="D24" s="80">
        <v>666.07</v>
      </c>
      <c r="E24" s="81">
        <v>125.37</v>
      </c>
      <c r="F24" s="72">
        <f t="shared" si="3"/>
        <v>6.7503267765243119E-3</v>
      </c>
      <c r="G24" s="72">
        <f t="shared" si="4"/>
        <v>6.9435118600076236E-3</v>
      </c>
      <c r="H24" s="96">
        <v>0.47916666666666669</v>
      </c>
      <c r="I24" s="73">
        <f>jar_information!M9</f>
        <v>44165.4375</v>
      </c>
      <c r="J24" s="74">
        <f t="shared" si="5"/>
        <v>1.0416666666642413</v>
      </c>
      <c r="K24" s="74">
        <f t="shared" si="6"/>
        <v>24.999999999941792</v>
      </c>
      <c r="L24" s="75">
        <f>jar_information!H9</f>
        <v>368.18572718286885</v>
      </c>
      <c r="M24" s="74">
        <f t="shared" si="7"/>
        <v>2.4853739729365949</v>
      </c>
      <c r="N24" s="74">
        <f t="shared" si="8"/>
        <v>4.5482343704739687</v>
      </c>
      <c r="O24" s="76">
        <f t="shared" si="17"/>
        <v>1.2404275555838096</v>
      </c>
      <c r="P24" s="77">
        <f t="shared" si="9"/>
        <v>0.64589981911419814</v>
      </c>
      <c r="Q24" s="78"/>
      <c r="R24" s="78">
        <f t="shared" si="10"/>
        <v>0</v>
      </c>
      <c r="S24" s="78">
        <f t="shared" si="11"/>
        <v>0</v>
      </c>
      <c r="T24" s="79">
        <f t="shared" si="12"/>
        <v>6750.3267765243118</v>
      </c>
      <c r="U24" s="7">
        <f t="shared" si="13"/>
        <v>0.67503267765243125</v>
      </c>
      <c r="V24" s="90">
        <f t="shared" si="18"/>
        <v>4.9617102223467907E-2</v>
      </c>
      <c r="W24" s="97">
        <f t="shared" si="19"/>
        <v>5.9540522668161486</v>
      </c>
      <c r="X24" s="97">
        <f t="shared" si="14"/>
        <v>8.3356731735426077</v>
      </c>
      <c r="Y24" s="98">
        <f t="shared" si="15"/>
        <v>3.1003191317553696</v>
      </c>
      <c r="Z24" s="98">
        <f t="shared" si="16"/>
        <v>4.3404467844575176</v>
      </c>
      <c r="AA24" s="156">
        <v>7.2774688706044239</v>
      </c>
      <c r="AB24" s="156">
        <f t="shared" si="20"/>
        <v>2.7292345001304552</v>
      </c>
      <c r="AC24" s="156">
        <f t="shared" si="21"/>
        <v>1.98476423743757</v>
      </c>
      <c r="AD24" s="156">
        <f t="shared" si="22"/>
        <v>1.6667339725075143</v>
      </c>
    </row>
    <row r="25" spans="1:30">
      <c r="A25" s="29" t="s">
        <v>299</v>
      </c>
      <c r="B25" s="71">
        <f t="shared" si="2"/>
        <v>44166.479166666664</v>
      </c>
      <c r="C25" s="44">
        <v>1</v>
      </c>
      <c r="D25" s="80">
        <v>564.77</v>
      </c>
      <c r="E25" s="81">
        <v>107.91</v>
      </c>
      <c r="F25" s="72">
        <f t="shared" si="3"/>
        <v>5.7223423376754423E-3</v>
      </c>
      <c r="G25" s="72">
        <f t="shared" si="4"/>
        <v>5.9292149291746768E-3</v>
      </c>
      <c r="H25" s="96">
        <v>0.47916666666666669</v>
      </c>
      <c r="I25" s="73">
        <f>jar_information!M10</f>
        <v>44165.4375</v>
      </c>
      <c r="J25" s="74">
        <f t="shared" si="5"/>
        <v>1.0416666666642413</v>
      </c>
      <c r="K25" s="74">
        <f t="shared" si="6"/>
        <v>24.999999999941792</v>
      </c>
      <c r="L25" s="75">
        <f>jar_information!H10</f>
        <v>365.12977338665411</v>
      </c>
      <c r="M25" s="74">
        <f t="shared" si="7"/>
        <v>2.0893975609962907</v>
      </c>
      <c r="N25" s="74">
        <f t="shared" si="8"/>
        <v>3.823597536623212</v>
      </c>
      <c r="O25" s="76">
        <f t="shared" si="17"/>
        <v>1.0427993281699668</v>
      </c>
      <c r="P25" s="77">
        <f t="shared" si="9"/>
        <v>0.54516207024817687</v>
      </c>
      <c r="Q25" s="78"/>
      <c r="R25" s="78">
        <f t="shared" si="10"/>
        <v>0</v>
      </c>
      <c r="S25" s="78">
        <f t="shared" si="11"/>
        <v>0</v>
      </c>
      <c r="T25" s="79">
        <f t="shared" si="12"/>
        <v>5722.3423376754426</v>
      </c>
      <c r="U25" s="7">
        <f t="shared" si="13"/>
        <v>0.57223423376754423</v>
      </c>
      <c r="V25" s="90">
        <f t="shared" si="18"/>
        <v>4.1711973126895792E-2</v>
      </c>
      <c r="W25" s="97">
        <f t="shared" si="19"/>
        <v>5.0054367752274951</v>
      </c>
      <c r="X25" s="97">
        <f t="shared" si="14"/>
        <v>7.0076114853184936</v>
      </c>
      <c r="Y25" s="98">
        <f t="shared" si="15"/>
        <v>2.6167779371973419</v>
      </c>
      <c r="Z25" s="98">
        <f t="shared" si="16"/>
        <v>3.6634891120762787</v>
      </c>
      <c r="AA25" s="156">
        <v>7.2774688706044239</v>
      </c>
      <c r="AB25" s="156">
        <f t="shared" si="20"/>
        <v>3.4538713339812119</v>
      </c>
      <c r="AC25" s="156">
        <f t="shared" si="21"/>
        <v>1.98476423743757</v>
      </c>
      <c r="AD25" s="156">
        <f t="shared" si="22"/>
        <v>1.9826084381490998</v>
      </c>
    </row>
    <row r="26" spans="1:30">
      <c r="A26" s="29" t="s">
        <v>300</v>
      </c>
      <c r="B26" s="71">
        <f t="shared" si="2"/>
        <v>44166.479166666664</v>
      </c>
      <c r="C26" s="44">
        <v>1</v>
      </c>
      <c r="D26" s="80">
        <v>205.69</v>
      </c>
      <c r="E26" s="81">
        <v>45.343000000000004</v>
      </c>
      <c r="F26" s="72">
        <f t="shared" si="3"/>
        <v>2.0784267177163902E-3</v>
      </c>
      <c r="G26" s="72">
        <f t="shared" si="4"/>
        <v>2.2945347418078421E-3</v>
      </c>
      <c r="H26" s="96">
        <v>0.47916666666666669</v>
      </c>
      <c r="I26" s="73">
        <f>jar_information!M11</f>
        <v>44165.4375</v>
      </c>
      <c r="J26" s="74">
        <f t="shared" si="5"/>
        <v>1.0416666666642413</v>
      </c>
      <c r="K26" s="74">
        <f t="shared" si="6"/>
        <v>24.999999999941792</v>
      </c>
      <c r="L26" s="75">
        <f>jar_information!H11</f>
        <v>368.18572718286885</v>
      </c>
      <c r="M26" s="74">
        <f t="shared" si="7"/>
        <v>0.76524705245871238</v>
      </c>
      <c r="N26" s="74">
        <f t="shared" si="8"/>
        <v>1.4004021059994438</v>
      </c>
      <c r="O26" s="76">
        <f t="shared" si="17"/>
        <v>0.38192784709075739</v>
      </c>
      <c r="P26" s="77">
        <f t="shared" si="9"/>
        <v>0.19887265986645353</v>
      </c>
      <c r="Q26" s="78"/>
      <c r="R26" s="78">
        <f t="shared" si="10"/>
        <v>0</v>
      </c>
      <c r="S26" s="78">
        <f t="shared" si="11"/>
        <v>0</v>
      </c>
      <c r="T26" s="79">
        <f t="shared" si="12"/>
        <v>2078.4267177163902</v>
      </c>
      <c r="U26" s="7">
        <f t="shared" si="13"/>
        <v>0.20784267177163901</v>
      </c>
      <c r="V26" s="90">
        <f t="shared" si="18"/>
        <v>1.5277113883665865E-2</v>
      </c>
      <c r="W26" s="97">
        <f t="shared" si="19"/>
        <v>1.8332536660399037</v>
      </c>
      <c r="X26" s="97">
        <f t="shared" si="14"/>
        <v>2.5665551324558651</v>
      </c>
      <c r="Y26" s="98">
        <f t="shared" si="15"/>
        <v>0.95458876736119946</v>
      </c>
      <c r="Z26" s="98">
        <f t="shared" si="16"/>
        <v>1.3364242743056791</v>
      </c>
      <c r="AA26" s="156">
        <v>2.1910681839872916</v>
      </c>
      <c r="AB26" s="156">
        <f t="shared" si="20"/>
        <v>0.79066607798784783</v>
      </c>
      <c r="AC26" s="156">
        <f t="shared" si="21"/>
        <v>0.59756405017835224</v>
      </c>
      <c r="AD26" s="156">
        <f t="shared" si="22"/>
        <v>1.6297909592325486</v>
      </c>
    </row>
    <row r="27" spans="1:30">
      <c r="A27" s="29" t="s">
        <v>301</v>
      </c>
      <c r="B27" s="71">
        <f t="shared" si="2"/>
        <v>44166.479166666664</v>
      </c>
      <c r="C27" s="44">
        <v>1</v>
      </c>
      <c r="D27" s="80">
        <v>155.62</v>
      </c>
      <c r="E27" s="81">
        <v>34.853000000000002</v>
      </c>
      <c r="F27" s="72">
        <f t="shared" si="3"/>
        <v>1.5703202927098466E-3</v>
      </c>
      <c r="G27" s="72">
        <f t="shared" si="4"/>
        <v>1.6851432867999612E-3</v>
      </c>
      <c r="H27" s="96">
        <v>0.47916666666666669</v>
      </c>
      <c r="I27" s="73">
        <f>jar_information!M12</f>
        <v>44165.4375</v>
      </c>
      <c r="J27" s="74">
        <f t="shared" si="5"/>
        <v>1.0416666666642413</v>
      </c>
      <c r="K27" s="74">
        <f t="shared" si="6"/>
        <v>24.999999999941792</v>
      </c>
      <c r="L27" s="75">
        <f>jar_information!H12</f>
        <v>374.31908006509644</v>
      </c>
      <c r="M27" s="74">
        <f t="shared" si="7"/>
        <v>0.58780084737470273</v>
      </c>
      <c r="N27" s="74">
        <f t="shared" si="8"/>
        <v>1.0756755506957061</v>
      </c>
      <c r="O27" s="76">
        <f t="shared" si="17"/>
        <v>0.29336605928064707</v>
      </c>
      <c r="P27" s="77">
        <f t="shared" si="9"/>
        <v>0.15154789121610385</v>
      </c>
      <c r="Q27" s="78"/>
      <c r="R27" s="78">
        <f t="shared" si="10"/>
        <v>0</v>
      </c>
      <c r="S27" s="78">
        <f t="shared" si="11"/>
        <v>0</v>
      </c>
      <c r="T27" s="79">
        <f t="shared" si="12"/>
        <v>1570.3202927098466</v>
      </c>
      <c r="U27" s="7">
        <f t="shared" si="13"/>
        <v>0.15703202927098467</v>
      </c>
      <c r="V27" s="90">
        <f t="shared" si="18"/>
        <v>1.1734642371253205E-2</v>
      </c>
      <c r="W27" s="97">
        <f t="shared" si="19"/>
        <v>1.4081570845503846</v>
      </c>
      <c r="X27" s="97">
        <f t="shared" si="14"/>
        <v>1.9714199183705385</v>
      </c>
      <c r="Y27" s="98">
        <f t="shared" si="15"/>
        <v>0.72742987783899205</v>
      </c>
      <c r="Z27" s="98">
        <f t="shared" si="16"/>
        <v>1.0184018289745891</v>
      </c>
      <c r="AA27" s="156">
        <v>2.1910681839872916</v>
      </c>
      <c r="AB27" s="156">
        <f t="shared" si="20"/>
        <v>1.1153926332915856</v>
      </c>
      <c r="AC27" s="156">
        <f t="shared" si="21"/>
        <v>0.59756405017835224</v>
      </c>
      <c r="AD27" s="156">
        <f t="shared" si="22"/>
        <v>2.1217947086107602</v>
      </c>
    </row>
    <row r="28" spans="1:30">
      <c r="A28" t="s">
        <v>302</v>
      </c>
      <c r="B28" s="71">
        <f t="shared" si="2"/>
        <v>44166.479166666664</v>
      </c>
      <c r="C28" s="44">
        <v>1</v>
      </c>
      <c r="D28" s="80">
        <v>170.65</v>
      </c>
      <c r="E28" s="81">
        <v>38.188000000000002</v>
      </c>
      <c r="F28" s="72">
        <f t="shared" si="3"/>
        <v>1.7228435515045011E-3</v>
      </c>
      <c r="G28" s="72">
        <f t="shared" si="4"/>
        <v>1.8788821335541349E-3</v>
      </c>
      <c r="H28" s="96">
        <v>0.47916666666666669</v>
      </c>
      <c r="I28" s="73">
        <f>jar_information!M13</f>
        <v>44165.4375</v>
      </c>
      <c r="J28" s="74">
        <f t="shared" si="5"/>
        <v>1.0416666666642413</v>
      </c>
      <c r="K28" s="74">
        <f t="shared" si="6"/>
        <v>24.999999999941792</v>
      </c>
      <c r="L28" s="75">
        <f>jar_information!H13</f>
        <v>371.24882105804681</v>
      </c>
      <c r="M28" s="74">
        <f t="shared" si="7"/>
        <v>0.63960363736350434</v>
      </c>
      <c r="N28" s="74">
        <f t="shared" si="8"/>
        <v>1.1704746563752131</v>
      </c>
      <c r="O28" s="76">
        <f t="shared" si="17"/>
        <v>0.31922036082960353</v>
      </c>
      <c r="P28" s="77">
        <f t="shared" si="9"/>
        <v>0.165560245728053</v>
      </c>
      <c r="Q28" s="78"/>
      <c r="R28" s="78">
        <f t="shared" si="10"/>
        <v>0</v>
      </c>
      <c r="S28" s="78">
        <f t="shared" si="11"/>
        <v>0</v>
      </c>
      <c r="T28" s="79">
        <f t="shared" si="12"/>
        <v>1722.8435515045012</v>
      </c>
      <c r="U28" s="7">
        <f t="shared" si="13"/>
        <v>0.1722843551504501</v>
      </c>
      <c r="V28" s="90">
        <f t="shared" si="18"/>
        <v>1.2768814433213871E-2</v>
      </c>
      <c r="W28" s="97">
        <f t="shared" si="19"/>
        <v>1.5322577319856645</v>
      </c>
      <c r="X28" s="97">
        <f t="shared" si="14"/>
        <v>2.1451608247799303</v>
      </c>
      <c r="Y28" s="98">
        <f t="shared" si="15"/>
        <v>0.79468917949650475</v>
      </c>
      <c r="Z28" s="98">
        <f t="shared" si="16"/>
        <v>1.1125648512951065</v>
      </c>
      <c r="AA28" s="156">
        <v>8.5449497240071572</v>
      </c>
      <c r="AB28" s="156">
        <f t="shared" si="20"/>
        <v>7.3744750676319439</v>
      </c>
      <c r="AC28" s="156">
        <f t="shared" si="21"/>
        <v>2.3304408338201337</v>
      </c>
      <c r="AD28" s="156">
        <f t="shared" si="22"/>
        <v>7.6045980554462522</v>
      </c>
    </row>
    <row r="29" spans="1:30">
      <c r="A29" t="s">
        <v>303</v>
      </c>
      <c r="B29" s="71">
        <f t="shared" si="2"/>
        <v>44166.479166666664</v>
      </c>
      <c r="C29" s="44">
        <v>1</v>
      </c>
      <c r="D29" s="80">
        <v>205.47</v>
      </c>
      <c r="E29" s="81">
        <v>40.884</v>
      </c>
      <c r="F29" s="72">
        <f t="shared" si="3"/>
        <v>2.0761941750061558E-3</v>
      </c>
      <c r="G29" s="72">
        <f t="shared" si="4"/>
        <v>2.0354998039737006E-3</v>
      </c>
      <c r="H29" s="96">
        <v>0.47916666666666669</v>
      </c>
      <c r="I29" s="73">
        <f>jar_information!M14</f>
        <v>44165.4375</v>
      </c>
      <c r="J29" s="74">
        <f t="shared" si="5"/>
        <v>1.0416666666642413</v>
      </c>
      <c r="K29" s="74">
        <f t="shared" si="6"/>
        <v>24.999999999941792</v>
      </c>
      <c r="L29" s="75">
        <f>jar_information!H14</f>
        <v>368.18572718286885</v>
      </c>
      <c r="M29" s="74">
        <f t="shared" si="7"/>
        <v>0.76442506209747796</v>
      </c>
      <c r="N29" s="74">
        <f t="shared" si="8"/>
        <v>1.3988978636383846</v>
      </c>
      <c r="O29" s="76">
        <f t="shared" si="17"/>
        <v>0.38151759917410488</v>
      </c>
      <c r="P29" s="77">
        <f t="shared" si="9"/>
        <v>0.19865904073652932</v>
      </c>
      <c r="Q29" s="78"/>
      <c r="R29" s="78">
        <f t="shared" si="10"/>
        <v>0</v>
      </c>
      <c r="S29" s="78">
        <f t="shared" si="11"/>
        <v>0</v>
      </c>
      <c r="T29" s="79">
        <f t="shared" si="12"/>
        <v>2076.194175006156</v>
      </c>
      <c r="U29" s="7">
        <f t="shared" si="13"/>
        <v>0.20761941750061558</v>
      </c>
      <c r="V29" s="90">
        <f t="shared" si="18"/>
        <v>1.5260703966999727E-2</v>
      </c>
      <c r="W29" s="97">
        <f t="shared" si="19"/>
        <v>1.8312844760399671</v>
      </c>
      <c r="X29" s="97">
        <f t="shared" si="14"/>
        <v>2.563798266455954</v>
      </c>
      <c r="Y29" s="98">
        <f t="shared" si="15"/>
        <v>0.95356339553756087</v>
      </c>
      <c r="Z29" s="98">
        <f t="shared" si="16"/>
        <v>1.3349887537525853</v>
      </c>
      <c r="AA29" s="156">
        <v>8.5449497240071572</v>
      </c>
      <c r="AB29" s="156">
        <f t="shared" si="20"/>
        <v>7.1460518603687726</v>
      </c>
      <c r="AC29" s="156">
        <f t="shared" si="21"/>
        <v>2.3304408338201337</v>
      </c>
      <c r="AD29" s="156">
        <f t="shared" si="22"/>
        <v>6.3628585954585262</v>
      </c>
    </row>
    <row r="30" spans="1:30">
      <c r="A30" t="s">
        <v>304</v>
      </c>
      <c r="B30" s="71">
        <f t="shared" si="2"/>
        <v>44166.479166666664</v>
      </c>
      <c r="C30" s="44">
        <v>1</v>
      </c>
      <c r="D30" s="80">
        <v>558.71</v>
      </c>
      <c r="E30" s="81">
        <v>106.07</v>
      </c>
      <c r="F30" s="72">
        <f t="shared" si="3"/>
        <v>5.6608459339298938E-3</v>
      </c>
      <c r="G30" s="72">
        <f t="shared" si="4"/>
        <v>5.8223245309654767E-3</v>
      </c>
      <c r="H30" s="96">
        <v>0.47916666666666669</v>
      </c>
      <c r="I30" s="73">
        <f>jar_information!M15</f>
        <v>44165.4375</v>
      </c>
      <c r="J30" s="74">
        <f t="shared" si="5"/>
        <v>1.0416666666642413</v>
      </c>
      <c r="K30" s="74">
        <f t="shared" si="6"/>
        <v>24.999999999941792</v>
      </c>
      <c r="L30" s="75">
        <f>jar_information!H15</f>
        <v>368.18572718286885</v>
      </c>
      <c r="M30" s="74">
        <f t="shared" si="7"/>
        <v>2.0842426766541644</v>
      </c>
      <c r="N30" s="74">
        <f t="shared" si="8"/>
        <v>3.814164098277121</v>
      </c>
      <c r="O30" s="76">
        <f t="shared" si="17"/>
        <v>1.0402265722573965</v>
      </c>
      <c r="P30" s="77">
        <f t="shared" si="9"/>
        <v>0.54165368371118794</v>
      </c>
      <c r="Q30" s="78"/>
      <c r="R30" s="78">
        <f t="shared" si="10"/>
        <v>0</v>
      </c>
      <c r="S30" s="78">
        <f t="shared" si="11"/>
        <v>0</v>
      </c>
      <c r="T30" s="79">
        <f t="shared" si="12"/>
        <v>5660.8459339298934</v>
      </c>
      <c r="U30" s="7">
        <f t="shared" si="13"/>
        <v>0.56608459339298933</v>
      </c>
      <c r="V30" s="90">
        <f t="shared" si="18"/>
        <v>4.1609062890392734E-2</v>
      </c>
      <c r="W30" s="97">
        <f t="shared" si="19"/>
        <v>4.9930875468471285</v>
      </c>
      <c r="X30" s="97">
        <f t="shared" si="14"/>
        <v>6.9903225655859789</v>
      </c>
      <c r="Y30" s="98">
        <f t="shared" si="15"/>
        <v>2.5999376818197555</v>
      </c>
      <c r="Z30" s="98">
        <f t="shared" si="16"/>
        <v>3.6399127545476575</v>
      </c>
      <c r="AA30" s="156">
        <v>3.0495230150456694</v>
      </c>
      <c r="AB30" s="156" t="str">
        <f t="shared" si="20"/>
        <v>!</v>
      </c>
      <c r="AC30" s="156">
        <f t="shared" si="21"/>
        <v>0.83168809501245522</v>
      </c>
      <c r="AD30" s="156">
        <f t="shared" si="22"/>
        <v>0.83283948780111261</v>
      </c>
    </row>
    <row r="31" spans="1:30">
      <c r="A31" t="s">
        <v>305</v>
      </c>
      <c r="B31" s="71">
        <f t="shared" si="2"/>
        <v>44166.479166666664</v>
      </c>
      <c r="C31" s="44">
        <v>1</v>
      </c>
      <c r="D31" s="80">
        <v>437.69</v>
      </c>
      <c r="E31" s="81">
        <v>85.724000000000004</v>
      </c>
      <c r="F31" s="72">
        <f t="shared" si="3"/>
        <v>4.4327444848727346E-3</v>
      </c>
      <c r="G31" s="72">
        <f t="shared" si="4"/>
        <v>4.6403723342457112E-3</v>
      </c>
      <c r="H31" s="96">
        <v>0.47916666666666669</v>
      </c>
      <c r="I31" s="73">
        <f>jar_information!M16</f>
        <v>44165.4375</v>
      </c>
      <c r="J31" s="74">
        <f t="shared" si="5"/>
        <v>1.0416666666642413</v>
      </c>
      <c r="K31" s="74">
        <f t="shared" si="6"/>
        <v>24.999999999941792</v>
      </c>
      <c r="L31" s="75">
        <f>jar_information!H16</f>
        <v>377.39652937427036</v>
      </c>
      <c r="M31" s="74">
        <f t="shared" si="7"/>
        <v>1.6729023841939079</v>
      </c>
      <c r="N31" s="74">
        <f t="shared" si="8"/>
        <v>3.0614113630748516</v>
      </c>
      <c r="O31" s="76">
        <f t="shared" si="17"/>
        <v>0.83493037174768669</v>
      </c>
      <c r="P31" s="77">
        <f t="shared" si="9"/>
        <v>0.42960334408476231</v>
      </c>
      <c r="Q31" s="78"/>
      <c r="R31" s="78">
        <f t="shared" si="10"/>
        <v>0</v>
      </c>
      <c r="S31" s="78">
        <f t="shared" si="11"/>
        <v>0</v>
      </c>
      <c r="T31" s="79">
        <f t="shared" si="12"/>
        <v>4432.7444848727346</v>
      </c>
      <c r="U31" s="7">
        <f t="shared" si="13"/>
        <v>0.44327444848727349</v>
      </c>
      <c r="V31" s="90">
        <f t="shared" si="18"/>
        <v>3.3397214869985224E-2</v>
      </c>
      <c r="W31" s="97">
        <f t="shared" si="19"/>
        <v>4.0076657843982266</v>
      </c>
      <c r="X31" s="97">
        <f t="shared" si="14"/>
        <v>5.6107320981575173</v>
      </c>
      <c r="Y31" s="98">
        <f t="shared" si="15"/>
        <v>2.0620960516116598</v>
      </c>
      <c r="Z31" s="98">
        <f t="shared" si="16"/>
        <v>2.8869344722563239</v>
      </c>
      <c r="AA31" s="156">
        <v>3.0495230150456694</v>
      </c>
      <c r="AB31" s="156" t="str">
        <f t="shared" si="20"/>
        <v>!</v>
      </c>
      <c r="AC31" s="156">
        <f t="shared" si="21"/>
        <v>0.83168809501245522</v>
      </c>
      <c r="AD31" s="156">
        <f t="shared" si="22"/>
        <v>1.0376215729492746</v>
      </c>
    </row>
    <row r="32" spans="1:30">
      <c r="A32" t="s">
        <v>306</v>
      </c>
      <c r="B32" s="71">
        <f t="shared" si="2"/>
        <v>44166.479166666664</v>
      </c>
      <c r="C32" s="44">
        <v>1</v>
      </c>
      <c r="D32" s="80">
        <v>298.8</v>
      </c>
      <c r="E32" s="81">
        <v>63.631</v>
      </c>
      <c r="F32" s="72">
        <f t="shared" si="3"/>
        <v>3.0232996802160767E-3</v>
      </c>
      <c r="G32" s="72">
        <f t="shared" si="4"/>
        <v>3.3569323518349279E-3</v>
      </c>
      <c r="H32" s="96">
        <v>0.47916666666666669</v>
      </c>
      <c r="I32" s="73">
        <f>jar_information!M17</f>
        <v>44165.4375</v>
      </c>
      <c r="J32" s="74">
        <f t="shared" si="5"/>
        <v>1.0416666666642413</v>
      </c>
      <c r="K32" s="74">
        <f t="shared" si="6"/>
        <v>24.999999999941792</v>
      </c>
      <c r="L32" s="75">
        <f>jar_information!H17</f>
        <v>371.24882105804681</v>
      </c>
      <c r="M32" s="74">
        <f t="shared" si="7"/>
        <v>1.1223964419853885</v>
      </c>
      <c r="N32" s="74">
        <f t="shared" si="8"/>
        <v>2.0539854888332609</v>
      </c>
      <c r="O32" s="76">
        <f t="shared" si="17"/>
        <v>0.56017786059088925</v>
      </c>
      <c r="P32" s="77">
        <f t="shared" si="9"/>
        <v>0.29053029076784981</v>
      </c>
      <c r="Q32" s="78"/>
      <c r="R32" s="78">
        <f t="shared" si="10"/>
        <v>0</v>
      </c>
      <c r="S32" s="78">
        <f t="shared" si="11"/>
        <v>0</v>
      </c>
      <c r="T32" s="79">
        <f t="shared" si="12"/>
        <v>3023.2996802160769</v>
      </c>
      <c r="U32" s="7">
        <f t="shared" si="13"/>
        <v>0.30232996802160766</v>
      </c>
      <c r="V32" s="90">
        <f t="shared" si="18"/>
        <v>2.240711442368774E-2</v>
      </c>
      <c r="W32" s="97">
        <f t="shared" si="19"/>
        <v>2.6888537308425287</v>
      </c>
      <c r="X32" s="97">
        <f t="shared" si="14"/>
        <v>3.7643952231795401</v>
      </c>
      <c r="Y32" s="98">
        <f t="shared" si="15"/>
        <v>1.3945453956889258</v>
      </c>
      <c r="Z32" s="98">
        <f t="shared" si="16"/>
        <v>1.9523635539644961</v>
      </c>
      <c r="AA32" s="156">
        <v>1.8008701733564285</v>
      </c>
      <c r="AB32" s="156" t="str">
        <f t="shared" si="20"/>
        <v>!</v>
      </c>
      <c r="AC32" s="156">
        <f t="shared" si="21"/>
        <v>0.49114641091538958</v>
      </c>
      <c r="AD32" s="156">
        <f t="shared" si="22"/>
        <v>0.9133007223146592</v>
      </c>
    </row>
    <row r="33" spans="1:30">
      <c r="A33" t="s">
        <v>307</v>
      </c>
      <c r="B33" s="71">
        <f t="shared" si="2"/>
        <v>44166.479166666664</v>
      </c>
      <c r="C33" s="44">
        <v>1</v>
      </c>
      <c r="D33" s="80">
        <v>272.02999999999997</v>
      </c>
      <c r="E33" s="81">
        <v>60.055</v>
      </c>
      <c r="F33" s="72">
        <f t="shared" si="3"/>
        <v>2.7516398240661826E-3</v>
      </c>
      <c r="G33" s="72">
        <f t="shared" si="4"/>
        <v>3.1491931866196579E-3</v>
      </c>
      <c r="H33" s="96">
        <v>0.47916666666666669</v>
      </c>
      <c r="I33" s="73">
        <f>jar_information!M18</f>
        <v>44165.4375</v>
      </c>
      <c r="J33" s="74">
        <f t="shared" si="5"/>
        <v>1.0416666666642413</v>
      </c>
      <c r="K33" s="74">
        <f t="shared" si="6"/>
        <v>24.999999999941792</v>
      </c>
      <c r="L33" s="75">
        <f>jar_information!H18</f>
        <v>368.18572718286885</v>
      </c>
      <c r="M33" s="74">
        <f t="shared" si="7"/>
        <v>1.0131145095691487</v>
      </c>
      <c r="N33" s="74">
        <f t="shared" si="8"/>
        <v>1.8539995525115422</v>
      </c>
      <c r="O33" s="76">
        <f t="shared" si="17"/>
        <v>0.50563624159405696</v>
      </c>
      <c r="P33" s="77">
        <f t="shared" si="9"/>
        <v>0.26328853749905129</v>
      </c>
      <c r="Q33" s="78"/>
      <c r="R33" s="78">
        <f t="shared" si="10"/>
        <v>0</v>
      </c>
      <c r="S33" s="78">
        <f t="shared" si="11"/>
        <v>0</v>
      </c>
      <c r="T33" s="79">
        <f t="shared" si="12"/>
        <v>2751.6398240661824</v>
      </c>
      <c r="U33" s="7">
        <f t="shared" si="13"/>
        <v>0.27516398240661827</v>
      </c>
      <c r="V33" s="90">
        <f t="shared" si="18"/>
        <v>2.0225449663809368E-2</v>
      </c>
      <c r="W33" s="97">
        <f t="shared" si="19"/>
        <v>2.4270539596571243</v>
      </c>
      <c r="X33" s="97">
        <f t="shared" si="14"/>
        <v>3.3978755435199739</v>
      </c>
      <c r="Y33" s="98">
        <f t="shared" si="15"/>
        <v>1.2637849799983889</v>
      </c>
      <c r="Z33" s="98">
        <f t="shared" si="16"/>
        <v>1.7692989719977441</v>
      </c>
      <c r="AA33" s="156">
        <v>1.8008701733564285</v>
      </c>
      <c r="AB33" s="156" t="str">
        <f t="shared" si="20"/>
        <v>!</v>
      </c>
      <c r="AC33" s="156">
        <f t="shared" si="21"/>
        <v>0.49114641091538958</v>
      </c>
      <c r="AD33" s="156">
        <f t="shared" si="22"/>
        <v>1.0118160104375573</v>
      </c>
    </row>
    <row r="34" spans="1:30">
      <c r="A34" t="s">
        <v>308</v>
      </c>
      <c r="B34" s="71">
        <f t="shared" si="2"/>
        <v>44166.479166666664</v>
      </c>
      <c r="C34" s="44">
        <v>1</v>
      </c>
      <c r="D34" s="80">
        <v>471.81</v>
      </c>
      <c r="E34" s="81">
        <v>94.150999999999996</v>
      </c>
      <c r="F34" s="72">
        <f t="shared" si="3"/>
        <v>4.7789915633872793E-3</v>
      </c>
      <c r="G34" s="72">
        <f t="shared" si="4"/>
        <v>5.1299187395222991E-3</v>
      </c>
      <c r="H34" s="96">
        <v>0.47916666666666669</v>
      </c>
      <c r="I34" s="73">
        <f>jar_information!M19</f>
        <v>44165.4375</v>
      </c>
      <c r="J34" s="74">
        <f t="shared" si="5"/>
        <v>1.0416666666642413</v>
      </c>
      <c r="K34" s="74">
        <f t="shared" si="6"/>
        <v>24.999999999941792</v>
      </c>
      <c r="L34" s="75">
        <f>jar_information!H19</f>
        <v>374.31908006509644</v>
      </c>
      <c r="M34" s="74">
        <f t="shared" si="7"/>
        <v>1.7888677256459835</v>
      </c>
      <c r="N34" s="74">
        <f t="shared" si="8"/>
        <v>3.27362793793215</v>
      </c>
      <c r="O34" s="76">
        <f t="shared" si="17"/>
        <v>0.89280761943604081</v>
      </c>
      <c r="P34" s="77">
        <f t="shared" si="9"/>
        <v>0.46120915391158029</v>
      </c>
      <c r="Q34" s="78"/>
      <c r="R34" s="78">
        <f t="shared" si="10"/>
        <v>0</v>
      </c>
      <c r="S34" s="78">
        <f t="shared" si="11"/>
        <v>0</v>
      </c>
      <c r="T34" s="79">
        <f t="shared" si="12"/>
        <v>4778.9915633872797</v>
      </c>
      <c r="U34" s="7">
        <f t="shared" si="13"/>
        <v>0.47789915633872793</v>
      </c>
      <c r="V34" s="90">
        <f t="shared" si="18"/>
        <v>3.5712304777524781E-2</v>
      </c>
      <c r="W34" s="97">
        <f t="shared" si="19"/>
        <v>4.285476573302974</v>
      </c>
      <c r="X34" s="97">
        <f t="shared" si="14"/>
        <v>5.9996672026241633</v>
      </c>
      <c r="Y34" s="98">
        <f t="shared" si="15"/>
        <v>2.2138039387807398</v>
      </c>
      <c r="Z34" s="98">
        <f t="shared" si="16"/>
        <v>3.0993255142930356</v>
      </c>
      <c r="AA34" s="156">
        <v>7.2843237118773541</v>
      </c>
      <c r="AB34" s="156">
        <f t="shared" si="20"/>
        <v>4.010695773945204</v>
      </c>
      <c r="AC34" s="156">
        <f t="shared" si="21"/>
        <v>1.9866337396029146</v>
      </c>
      <c r="AD34" s="156">
        <f t="shared" si="22"/>
        <v>2.3178679262639665</v>
      </c>
    </row>
    <row r="35" spans="1:30">
      <c r="A35" t="s">
        <v>309</v>
      </c>
      <c r="B35" s="71">
        <f t="shared" si="2"/>
        <v>44166.479166666664</v>
      </c>
      <c r="C35" s="44">
        <v>1</v>
      </c>
      <c r="D35" s="80">
        <v>522.66</v>
      </c>
      <c r="E35" s="81">
        <v>103.69</v>
      </c>
      <c r="F35" s="72">
        <f t="shared" si="3"/>
        <v>5.2950133670937455E-3</v>
      </c>
      <c r="G35" s="72">
        <f t="shared" si="4"/>
        <v>5.6840641245861868E-3</v>
      </c>
      <c r="H35" s="96">
        <v>0.47916666666666669</v>
      </c>
      <c r="I35" s="73">
        <f>jar_information!M20</f>
        <v>44165.4375</v>
      </c>
      <c r="J35" s="74">
        <f t="shared" si="5"/>
        <v>1.0416666666642413</v>
      </c>
      <c r="K35" s="74">
        <f t="shared" si="6"/>
        <v>24.999999999941792</v>
      </c>
      <c r="L35" s="75">
        <f>jar_information!H20</f>
        <v>368.18572718286885</v>
      </c>
      <c r="M35" s="74">
        <f t="shared" si="7"/>
        <v>1.9495483470064214</v>
      </c>
      <c r="N35" s="74">
        <f t="shared" si="8"/>
        <v>3.5676734750217514</v>
      </c>
      <c r="O35" s="76">
        <f t="shared" si="17"/>
        <v>0.97300185682411389</v>
      </c>
      <c r="P35" s="77">
        <f t="shared" si="9"/>
        <v>0.50664927628497214</v>
      </c>
      <c r="Q35" s="78"/>
      <c r="R35" s="78">
        <f t="shared" si="10"/>
        <v>0</v>
      </c>
      <c r="S35" s="78">
        <f t="shared" si="11"/>
        <v>0</v>
      </c>
      <c r="T35" s="79">
        <f t="shared" si="12"/>
        <v>5295.0133670937457</v>
      </c>
      <c r="U35" s="7">
        <f t="shared" si="13"/>
        <v>0.5295013367093746</v>
      </c>
      <c r="V35" s="90">
        <f t="shared" si="18"/>
        <v>3.8920074273055175E-2</v>
      </c>
      <c r="W35" s="97">
        <f t="shared" si="19"/>
        <v>4.6704089127666206</v>
      </c>
      <c r="X35" s="97">
        <f t="shared" si="14"/>
        <v>6.5385724778732692</v>
      </c>
      <c r="Y35" s="98">
        <f t="shared" si="15"/>
        <v>2.431916526173528</v>
      </c>
      <c r="Z35" s="98">
        <f t="shared" si="16"/>
        <v>3.4046831366429395</v>
      </c>
      <c r="AA35" s="156">
        <v>7.2843237118773541</v>
      </c>
      <c r="AB35" s="156">
        <f t="shared" si="20"/>
        <v>3.7166502368556027</v>
      </c>
      <c r="AC35" s="156">
        <f t="shared" si="21"/>
        <v>1.9866337396029146</v>
      </c>
      <c r="AD35" s="156">
        <f t="shared" si="22"/>
        <v>2.1268306230878697</v>
      </c>
    </row>
    <row r="36" spans="1:30">
      <c r="A36" t="s">
        <v>310</v>
      </c>
      <c r="B36" s="71">
        <f t="shared" si="2"/>
        <v>44166.479166666664</v>
      </c>
      <c r="C36" s="44">
        <v>1</v>
      </c>
      <c r="D36" s="80">
        <v>235.74</v>
      </c>
      <c r="E36" s="81">
        <v>46.828000000000003</v>
      </c>
      <c r="F36" s="72">
        <f t="shared" si="3"/>
        <v>2.3833717560915982E-3</v>
      </c>
      <c r="G36" s="72">
        <f t="shared" si="4"/>
        <v>2.3808022642755932E-3</v>
      </c>
      <c r="H36" s="96">
        <v>0.47916666666666669</v>
      </c>
      <c r="I36" s="73">
        <f>jar_information!M21</f>
        <v>44165.4375</v>
      </c>
      <c r="J36" s="74">
        <f t="shared" si="5"/>
        <v>1.0416666666642413</v>
      </c>
      <c r="K36" s="74">
        <f t="shared" si="6"/>
        <v>24.999999999941792</v>
      </c>
      <c r="L36" s="75">
        <f>jar_information!H21</f>
        <v>380.48119427385262</v>
      </c>
      <c r="M36" s="74">
        <f t="shared" si="7"/>
        <v>0.90682813215630065</v>
      </c>
      <c r="N36" s="74">
        <f t="shared" si="8"/>
        <v>1.6594954818460304</v>
      </c>
      <c r="O36" s="76">
        <f t="shared" si="17"/>
        <v>0.45258967686709917</v>
      </c>
      <c r="P36" s="77">
        <f t="shared" si="9"/>
        <v>0.23195417400834697</v>
      </c>
      <c r="Q36" s="78"/>
      <c r="R36" s="78">
        <f t="shared" si="10"/>
        <v>0</v>
      </c>
      <c r="S36" s="78">
        <f t="shared" si="11"/>
        <v>0</v>
      </c>
      <c r="T36" s="79">
        <f t="shared" si="12"/>
        <v>2383.3717560915984</v>
      </c>
      <c r="U36" s="7">
        <f t="shared" si="13"/>
        <v>0.23833717560915982</v>
      </c>
      <c r="V36" s="90">
        <f t="shared" si="18"/>
        <v>1.8103587074726118E-2</v>
      </c>
      <c r="W36" s="97">
        <f t="shared" si="19"/>
        <v>2.172430448967134</v>
      </c>
      <c r="X36" s="97">
        <f t="shared" si="14"/>
        <v>3.0414026285539881</v>
      </c>
      <c r="Y36" s="98">
        <f t="shared" si="15"/>
        <v>1.1133800352426577</v>
      </c>
      <c r="Z36" s="98">
        <f t="shared" si="16"/>
        <v>1.558732049339721</v>
      </c>
      <c r="AA36" s="156">
        <v>1.7764194121898629</v>
      </c>
      <c r="AB36" s="156">
        <f t="shared" si="20"/>
        <v>0.11692393034383253</v>
      </c>
      <c r="AC36" s="156">
        <f t="shared" si="21"/>
        <v>0.48447802150632618</v>
      </c>
      <c r="AD36" s="156">
        <f t="shared" si="22"/>
        <v>1.1150599130496159</v>
      </c>
    </row>
    <row r="37" spans="1:30">
      <c r="A37" t="s">
        <v>311</v>
      </c>
      <c r="B37" s="71">
        <f t="shared" si="2"/>
        <v>44166.479166666664</v>
      </c>
      <c r="C37" s="44">
        <v>1</v>
      </c>
      <c r="D37" s="80">
        <v>259.64</v>
      </c>
      <c r="E37" s="81">
        <v>53.948</v>
      </c>
      <c r="F37" s="72">
        <f t="shared" si="3"/>
        <v>2.625907077794342E-3</v>
      </c>
      <c r="G37" s="72">
        <f t="shared" si="4"/>
        <v>2.7944216312590165E-3</v>
      </c>
      <c r="H37" s="96">
        <v>0.47916666666666669</v>
      </c>
      <c r="I37" s="73">
        <f>jar_information!M22</f>
        <v>44165.4375</v>
      </c>
      <c r="J37" s="74">
        <f t="shared" si="5"/>
        <v>1.0416666666642413</v>
      </c>
      <c r="K37" s="74">
        <f t="shared" si="6"/>
        <v>24.999999999941792</v>
      </c>
      <c r="L37" s="75">
        <f>jar_information!H22</f>
        <v>368.18572718286885</v>
      </c>
      <c r="M37" s="74">
        <f t="shared" si="7"/>
        <v>0.96682150695235192</v>
      </c>
      <c r="N37" s="74">
        <f t="shared" si="8"/>
        <v>1.769283357722804</v>
      </c>
      <c r="O37" s="76">
        <f t="shared" si="17"/>
        <v>0.48253182483349194</v>
      </c>
      <c r="P37" s="77">
        <f t="shared" si="9"/>
        <v>0.25125789650013836</v>
      </c>
      <c r="Q37" s="78"/>
      <c r="R37" s="78">
        <f t="shared" si="10"/>
        <v>0</v>
      </c>
      <c r="S37" s="78">
        <f t="shared" si="11"/>
        <v>0</v>
      </c>
      <c r="T37" s="79">
        <f t="shared" si="12"/>
        <v>2625.9070777943421</v>
      </c>
      <c r="U37" s="7">
        <f t="shared" si="13"/>
        <v>0.26259070777943422</v>
      </c>
      <c r="V37" s="90">
        <f t="shared" si="18"/>
        <v>1.9301272993384615E-2</v>
      </c>
      <c r="W37" s="97">
        <f t="shared" si="19"/>
        <v>2.3161527592061537</v>
      </c>
      <c r="X37" s="97">
        <f t="shared" si="14"/>
        <v>3.2426138628886152</v>
      </c>
      <c r="Y37" s="98">
        <f t="shared" si="15"/>
        <v>1.2060379032034718</v>
      </c>
      <c r="Z37" s="98">
        <f t="shared" si="16"/>
        <v>1.6884530644848605</v>
      </c>
      <c r="AA37" s="156">
        <v>1.7764194121898629</v>
      </c>
      <c r="AB37" s="156">
        <f t="shared" si="20"/>
        <v>7.1360544670588943E-3</v>
      </c>
      <c r="AC37" s="156">
        <f t="shared" si="21"/>
        <v>0.48447802150632618</v>
      </c>
      <c r="AD37" s="156">
        <f t="shared" si="22"/>
        <v>1.045868023127235</v>
      </c>
    </row>
    <row r="38" spans="1:30">
      <c r="A38" t="s">
        <v>312</v>
      </c>
      <c r="B38" s="71">
        <f t="shared" si="2"/>
        <v>44166.479166666664</v>
      </c>
      <c r="C38" s="44">
        <v>1</v>
      </c>
      <c r="D38" s="80">
        <v>87.617999999999995</v>
      </c>
      <c r="E38" s="81">
        <v>21.727</v>
      </c>
      <c r="F38" s="72">
        <f t="shared" si="3"/>
        <v>8.8024134097637358E-4</v>
      </c>
      <c r="G38" s="72">
        <f t="shared" si="4"/>
        <v>9.2261971783585755E-4</v>
      </c>
      <c r="H38" s="96">
        <v>0.47916666666666669</v>
      </c>
      <c r="I38" s="73">
        <f>jar_information!M23</f>
        <v>44165.4375</v>
      </c>
      <c r="J38" s="74">
        <f t="shared" si="5"/>
        <v>1.0416666666642413</v>
      </c>
      <c r="K38" s="74">
        <f t="shared" si="6"/>
        <v>24.999999999941792</v>
      </c>
      <c r="L38" s="75">
        <f>jar_information!H23</f>
        <v>389.7787371829466</v>
      </c>
      <c r="M38" s="74">
        <f t="shared" si="7"/>
        <v>0.34309935830199439</v>
      </c>
      <c r="N38" s="74">
        <f t="shared" si="8"/>
        <v>0.62787182569264977</v>
      </c>
      <c r="O38" s="76">
        <f t="shared" si="17"/>
        <v>0.17123777064344992</v>
      </c>
      <c r="P38" s="77">
        <f t="shared" si="9"/>
        <v>8.6726959124899264E-2</v>
      </c>
      <c r="Q38" s="78"/>
      <c r="R38" s="78">
        <f t="shared" si="10"/>
        <v>0</v>
      </c>
      <c r="S38" s="78">
        <f t="shared" si="11"/>
        <v>0</v>
      </c>
      <c r="T38" s="79">
        <f t="shared" si="12"/>
        <v>880.24134097637352</v>
      </c>
      <c r="U38" s="7">
        <f t="shared" si="13"/>
        <v>8.802413409763736E-2</v>
      </c>
      <c r="V38" s="90">
        <f t="shared" si="18"/>
        <v>6.849510825753944E-3</v>
      </c>
      <c r="W38" s="97">
        <f t="shared" si="19"/>
        <v>0.82194129909047331</v>
      </c>
      <c r="X38" s="97">
        <f t="shared" si="14"/>
        <v>1.1507178187266627</v>
      </c>
      <c r="Y38" s="98">
        <f t="shared" si="15"/>
        <v>0.41628940380048574</v>
      </c>
      <c r="Z38" s="98">
        <f t="shared" si="16"/>
        <v>0.58280516532068005</v>
      </c>
      <c r="AA38" s="156">
        <v>7.5103187433032836</v>
      </c>
      <c r="AB38" s="156">
        <f t="shared" si="20"/>
        <v>6.8824469176106335</v>
      </c>
      <c r="AC38" s="156">
        <f t="shared" si="21"/>
        <v>2.0482687481736228</v>
      </c>
      <c r="AD38" s="156">
        <f t="shared" si="22"/>
        <v>12.459945439170374</v>
      </c>
    </row>
    <row r="39" spans="1:30">
      <c r="A39" t="s">
        <v>313</v>
      </c>
      <c r="B39" s="71">
        <f t="shared" si="2"/>
        <v>44166.479166666664</v>
      </c>
      <c r="C39" s="44">
        <v>1</v>
      </c>
      <c r="D39" s="80">
        <v>84.225999999999999</v>
      </c>
      <c r="E39" s="81">
        <v>20.702000000000002</v>
      </c>
      <c r="F39" s="72">
        <f t="shared" si="3"/>
        <v>8.4581959155312228E-4</v>
      </c>
      <c r="G39" s="72">
        <f t="shared" si="4"/>
        <v>8.6307479492040676E-4</v>
      </c>
      <c r="H39" s="96">
        <v>0.47916666666666669</v>
      </c>
      <c r="I39" s="73">
        <f>jar_information!M24</f>
        <v>44165.4375</v>
      </c>
      <c r="J39" s="74">
        <f t="shared" si="5"/>
        <v>1.0416666666642413</v>
      </c>
      <c r="K39" s="74">
        <f t="shared" si="6"/>
        <v>24.999999999941792</v>
      </c>
      <c r="L39" s="75">
        <f>jar_information!H24</f>
        <v>380.48119427385262</v>
      </c>
      <c r="M39" s="74">
        <f t="shared" si="7"/>
        <v>0.32181844833435419</v>
      </c>
      <c r="N39" s="74">
        <f t="shared" si="8"/>
        <v>0.58892776045186823</v>
      </c>
      <c r="O39" s="76">
        <f t="shared" si="17"/>
        <v>0.1606166619414186</v>
      </c>
      <c r="P39" s="77">
        <f t="shared" si="9"/>
        <v>8.2316736454286416E-2</v>
      </c>
      <c r="Q39" s="78"/>
      <c r="R39" s="78">
        <f t="shared" si="10"/>
        <v>0</v>
      </c>
      <c r="S39" s="78">
        <f t="shared" si="11"/>
        <v>0</v>
      </c>
      <c r="T39" s="79">
        <f t="shared" si="12"/>
        <v>845.81959155312234</v>
      </c>
      <c r="U39" s="7">
        <f t="shared" si="13"/>
        <v>8.4581959155312234E-2</v>
      </c>
      <c r="V39" s="90">
        <f t="shared" si="18"/>
        <v>6.4246664776717024E-3</v>
      </c>
      <c r="W39" s="97">
        <f t="shared" si="19"/>
        <v>0.77095997732060428</v>
      </c>
      <c r="X39" s="97">
        <f t="shared" si="14"/>
        <v>1.0793439682488459</v>
      </c>
      <c r="Y39" s="98">
        <f t="shared" si="15"/>
        <v>0.39512033498149474</v>
      </c>
      <c r="Z39" s="98">
        <f t="shared" si="16"/>
        <v>0.55316846897409255</v>
      </c>
      <c r="AA39" s="156">
        <v>7.5103187433032836</v>
      </c>
      <c r="AB39" s="156">
        <f t="shared" si="20"/>
        <v>6.9213909828514151</v>
      </c>
      <c r="AC39" s="156">
        <f t="shared" si="21"/>
        <v>2.0482687481736228</v>
      </c>
      <c r="AD39" s="156">
        <f t="shared" si="22"/>
        <v>13.283885081117829</v>
      </c>
    </row>
  </sheetData>
  <mergeCells count="1">
    <mergeCell ref="W13:Z13"/>
  </mergeCells>
  <conditionalFormatting sqref="O18:O39">
    <cfRule type="cellIs" dxfId="16" priority="1" operator="greaterThan">
      <formula>4</formula>
    </cfRule>
    <cfRule type="cellIs" dxfId="15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opLeftCell="N1" workbookViewId="0">
      <selection activeCell="AC18" sqref="AC18:AC39"/>
    </sheetView>
  </sheetViews>
  <sheetFormatPr baseColWidth="10" defaultRowHeight="14" x14ac:dyDescent="0"/>
  <cols>
    <col min="1" max="1" width="31.1640625" bestFit="1" customWidth="1"/>
    <col min="2" max="2" width="15.1640625" bestFit="1" customWidth="1"/>
    <col min="9" max="9" width="12.83203125" bestFit="1" customWidth="1"/>
    <col min="27" max="27" width="15.1640625" bestFit="1" customWidth="1"/>
    <col min="28" max="28" width="15.33203125" bestFit="1" customWidth="1"/>
    <col min="30" max="30" width="17.5" bestFit="1" customWidth="1"/>
    <col min="31" max="31" width="15.1640625" bestFit="1" customWidth="1"/>
  </cols>
  <sheetData>
    <row r="1" spans="1:30">
      <c r="A1" s="47" t="s">
        <v>60</v>
      </c>
      <c r="B1" s="48" t="s">
        <v>46</v>
      </c>
      <c r="C1" s="48" t="s">
        <v>61</v>
      </c>
      <c r="D1" s="48" t="s">
        <v>62</v>
      </c>
      <c r="E1" s="48" t="s">
        <v>63</v>
      </c>
      <c r="F1" s="48" t="s">
        <v>64</v>
      </c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30" ht="16">
      <c r="A2" s="51" t="s">
        <v>65</v>
      </c>
      <c r="B2" s="51" t="s">
        <v>66</v>
      </c>
      <c r="C2" s="51" t="s">
        <v>67</v>
      </c>
      <c r="D2" s="51" t="s">
        <v>68</v>
      </c>
      <c r="E2" s="51" t="s">
        <v>68</v>
      </c>
      <c r="F2" s="51" t="s">
        <v>69</v>
      </c>
      <c r="G2" s="51"/>
      <c r="H2" s="51"/>
      <c r="I2" s="51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30">
      <c r="A3" s="44">
        <v>5</v>
      </c>
      <c r="B3" s="52">
        <v>44167</v>
      </c>
      <c r="C3" s="53">
        <v>2992</v>
      </c>
      <c r="D3" s="42">
        <v>1432</v>
      </c>
      <c r="E3" s="54">
        <v>265.33</v>
      </c>
      <c r="F3" s="55">
        <f>A3/1000*C3</f>
        <v>14.96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30">
      <c r="A4" s="44">
        <v>4.4000000000000004</v>
      </c>
      <c r="B4" s="52">
        <v>44167</v>
      </c>
      <c r="C4" s="53">
        <v>2992</v>
      </c>
      <c r="D4" s="54">
        <v>1306.8</v>
      </c>
      <c r="E4" s="54">
        <v>239</v>
      </c>
      <c r="F4" s="55">
        <f t="shared" ref="F4:F15" si="0">A4/1000*C4</f>
        <v>13.164800000000001</v>
      </c>
      <c r="G4" s="56"/>
      <c r="H4" s="56"/>
      <c r="I4" s="56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30">
      <c r="A5" s="44">
        <v>4</v>
      </c>
      <c r="B5" s="52">
        <v>44167</v>
      </c>
      <c r="C5" s="53">
        <v>2992</v>
      </c>
      <c r="D5" s="42">
        <v>1209.8</v>
      </c>
      <c r="E5" s="54">
        <v>212.7</v>
      </c>
      <c r="F5" s="55">
        <f t="shared" si="0"/>
        <v>11.968</v>
      </c>
      <c r="G5" s="44"/>
      <c r="H5" s="44"/>
      <c r="I5" s="57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30">
      <c r="A6" s="44">
        <v>3.4</v>
      </c>
      <c r="B6" s="52">
        <v>44167</v>
      </c>
      <c r="C6" s="53">
        <v>2992</v>
      </c>
      <c r="D6" s="54">
        <v>1042.9000000000001</v>
      </c>
      <c r="E6" s="54">
        <v>182.72</v>
      </c>
      <c r="F6" s="55">
        <f t="shared" si="0"/>
        <v>10.172799999999999</v>
      </c>
      <c r="G6" s="56"/>
      <c r="H6" s="56"/>
      <c r="I6" s="56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30">
      <c r="A7" s="44">
        <v>3</v>
      </c>
      <c r="B7" s="52">
        <v>44167</v>
      </c>
      <c r="C7" s="53">
        <v>2992</v>
      </c>
      <c r="D7" s="42">
        <v>921.55</v>
      </c>
      <c r="E7" s="54">
        <v>162.81</v>
      </c>
      <c r="F7" s="55">
        <f t="shared" si="0"/>
        <v>8.9760000000000009</v>
      </c>
      <c r="G7" s="44"/>
      <c r="H7" s="44"/>
      <c r="I7" s="57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30">
      <c r="A8" s="44">
        <v>2.4</v>
      </c>
      <c r="B8" s="52">
        <v>44167</v>
      </c>
      <c r="C8" s="53">
        <v>2992</v>
      </c>
      <c r="D8" s="54">
        <v>729.64</v>
      </c>
      <c r="E8" s="54">
        <v>136.07</v>
      </c>
      <c r="F8" s="55">
        <f t="shared" si="0"/>
        <v>7.1807999999999996</v>
      </c>
      <c r="G8" s="56"/>
      <c r="H8" s="56"/>
      <c r="I8" s="56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30">
      <c r="A9" s="44">
        <v>2</v>
      </c>
      <c r="B9" s="52">
        <v>44167</v>
      </c>
      <c r="C9" s="53">
        <v>2992</v>
      </c>
      <c r="D9" s="42">
        <v>623.26</v>
      </c>
      <c r="E9" s="54">
        <v>112.4</v>
      </c>
      <c r="F9" s="55">
        <f t="shared" si="0"/>
        <v>5.984</v>
      </c>
      <c r="G9" s="58" t="s">
        <v>70</v>
      </c>
      <c r="H9" s="58"/>
      <c r="I9" s="59">
        <f>SLOPE(F3:F15,D3:D15)</f>
        <v>1.0065037931369571E-2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30">
      <c r="A10" s="44">
        <v>1.4</v>
      </c>
      <c r="B10" s="52">
        <v>44167</v>
      </c>
      <c r="C10" s="53">
        <v>2992</v>
      </c>
      <c r="D10" s="42">
        <v>446.65</v>
      </c>
      <c r="E10" s="54">
        <v>81.471999999999994</v>
      </c>
      <c r="F10" s="55">
        <f t="shared" si="0"/>
        <v>4.1887999999999996</v>
      </c>
      <c r="G10" s="58" t="s">
        <v>71</v>
      </c>
      <c r="H10" s="58"/>
      <c r="I10" s="59">
        <f>INTERCEPT(F3:F15,D3:D15)</f>
        <v>-6.7343425134502866E-2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30">
      <c r="A11" s="44">
        <v>1</v>
      </c>
      <c r="B11" s="52">
        <v>44167</v>
      </c>
      <c r="C11" s="53">
        <v>2992</v>
      </c>
      <c r="D11" s="42">
        <v>320.12</v>
      </c>
      <c r="E11" s="54">
        <v>62.49</v>
      </c>
      <c r="F11" s="55">
        <f t="shared" si="0"/>
        <v>2.992</v>
      </c>
      <c r="G11" s="44"/>
      <c r="H11" s="44"/>
      <c r="I11" s="59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30">
      <c r="A12" s="60">
        <v>0.4</v>
      </c>
      <c r="B12" s="52">
        <v>44167</v>
      </c>
      <c r="C12" s="53">
        <v>2992</v>
      </c>
      <c r="D12" s="60">
        <v>100.4</v>
      </c>
      <c r="E12" s="60">
        <v>24.183</v>
      </c>
      <c r="F12" s="55">
        <f t="shared" si="0"/>
        <v>1.1968000000000001</v>
      </c>
      <c r="G12" s="61" t="s">
        <v>72</v>
      </c>
      <c r="H12" s="61"/>
      <c r="I12" s="62">
        <f>SLOPE(F3:F15,E3:E15)</f>
        <v>5.642135493988798E-2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30">
      <c r="A13" s="60">
        <v>0.2</v>
      </c>
      <c r="B13" s="52">
        <v>44167</v>
      </c>
      <c r="C13" s="53">
        <v>2992</v>
      </c>
      <c r="D13" s="60">
        <v>50.741</v>
      </c>
      <c r="E13" s="60">
        <v>13.039</v>
      </c>
      <c r="F13" s="55">
        <f t="shared" si="0"/>
        <v>0.59840000000000004</v>
      </c>
      <c r="G13" s="63" t="s">
        <v>73</v>
      </c>
      <c r="H13" s="63"/>
      <c r="I13" s="62">
        <f>INTERCEPT(F3:F15,E3:E15)</f>
        <v>-0.21737338908651527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30">
      <c r="A14" s="60">
        <v>0.1</v>
      </c>
      <c r="B14" s="52">
        <v>44167</v>
      </c>
      <c r="C14" s="53">
        <v>2992</v>
      </c>
      <c r="D14" s="60">
        <v>18.498999999999999</v>
      </c>
      <c r="E14" s="60">
        <v>5.5780000000000003</v>
      </c>
      <c r="F14" s="55">
        <f t="shared" si="0"/>
        <v>0.29920000000000002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W14" s="122" t="s">
        <v>121</v>
      </c>
      <c r="X14" s="122" t="s">
        <v>122</v>
      </c>
      <c r="Y14" s="122" t="s">
        <v>121</v>
      </c>
      <c r="Z14" s="122" t="s">
        <v>122</v>
      </c>
    </row>
    <row r="15" spans="1:30">
      <c r="A15" s="60">
        <v>0</v>
      </c>
      <c r="B15" s="52">
        <v>44167</v>
      </c>
      <c r="C15" s="53">
        <v>2992</v>
      </c>
      <c r="D15" s="60">
        <v>0</v>
      </c>
      <c r="E15" s="60">
        <v>0</v>
      </c>
      <c r="F15" s="55">
        <f t="shared" si="0"/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W15" s="122"/>
      <c r="X15" s="122"/>
      <c r="Y15" s="122"/>
      <c r="Z15" s="122"/>
    </row>
    <row r="16" spans="1:30" ht="16">
      <c r="A16" s="64" t="s">
        <v>74</v>
      </c>
      <c r="B16" s="64" t="s">
        <v>75</v>
      </c>
      <c r="C16" s="64" t="s">
        <v>76</v>
      </c>
      <c r="D16" s="64" t="s">
        <v>62</v>
      </c>
      <c r="E16" s="64" t="s">
        <v>63</v>
      </c>
      <c r="F16" s="65" t="s">
        <v>77</v>
      </c>
      <c r="G16" s="65" t="s">
        <v>78</v>
      </c>
      <c r="H16" s="65" t="s">
        <v>118</v>
      </c>
      <c r="I16" s="66" t="s">
        <v>79</v>
      </c>
      <c r="J16" s="64" t="s">
        <v>80</v>
      </c>
      <c r="K16" s="64" t="s">
        <v>80</v>
      </c>
      <c r="L16" s="64" t="s">
        <v>81</v>
      </c>
      <c r="M16" s="64" t="s">
        <v>82</v>
      </c>
      <c r="N16" s="64" t="s">
        <v>83</v>
      </c>
      <c r="O16" s="64" t="s">
        <v>84</v>
      </c>
      <c r="P16" s="67" t="s">
        <v>85</v>
      </c>
      <c r="Q16" s="67" t="s">
        <v>86</v>
      </c>
      <c r="R16" s="67" t="s">
        <v>86</v>
      </c>
      <c r="S16" s="67" t="s">
        <v>86</v>
      </c>
      <c r="T16" s="67" t="s">
        <v>87</v>
      </c>
      <c r="U16" s="64" t="s">
        <v>88</v>
      </c>
      <c r="V16" s="64" t="s">
        <v>114</v>
      </c>
      <c r="W16" s="64" t="s">
        <v>84</v>
      </c>
      <c r="X16" s="64" t="s">
        <v>84</v>
      </c>
      <c r="Y16" s="67" t="s">
        <v>85</v>
      </c>
      <c r="Z16" s="67" t="s">
        <v>85</v>
      </c>
      <c r="AA16" s="155" t="s">
        <v>278</v>
      </c>
      <c r="AB16" s="155" t="s">
        <v>279</v>
      </c>
      <c r="AC16" s="155" t="s">
        <v>280</v>
      </c>
      <c r="AD16" s="155" t="s">
        <v>282</v>
      </c>
    </row>
    <row r="17" spans="1:34" ht="16">
      <c r="A17" s="68" t="s">
        <v>89</v>
      </c>
      <c r="B17" s="68" t="s">
        <v>90</v>
      </c>
      <c r="C17" s="68" t="s">
        <v>65</v>
      </c>
      <c r="D17" s="51" t="s">
        <v>68</v>
      </c>
      <c r="E17" s="51" t="s">
        <v>68</v>
      </c>
      <c r="F17" s="69" t="s">
        <v>91</v>
      </c>
      <c r="G17" s="69" t="s">
        <v>92</v>
      </c>
      <c r="H17" s="69"/>
      <c r="I17" s="70" t="s">
        <v>93</v>
      </c>
      <c r="J17" s="68" t="s">
        <v>94</v>
      </c>
      <c r="K17" s="68" t="s">
        <v>93</v>
      </c>
      <c r="L17" s="68" t="s">
        <v>65</v>
      </c>
      <c r="M17" s="68" t="s">
        <v>65</v>
      </c>
      <c r="N17" s="68" t="s">
        <v>95</v>
      </c>
      <c r="O17" s="68" t="s">
        <v>95</v>
      </c>
      <c r="P17" s="68" t="s">
        <v>95</v>
      </c>
      <c r="Q17" s="68" t="s">
        <v>96</v>
      </c>
      <c r="R17" s="68" t="s">
        <v>95</v>
      </c>
      <c r="S17" s="68" t="s">
        <v>97</v>
      </c>
      <c r="V17" s="91" t="s">
        <v>113</v>
      </c>
      <c r="AA17" s="156"/>
      <c r="AB17" s="157"/>
      <c r="AC17" s="157"/>
      <c r="AD17" s="156"/>
    </row>
    <row r="18" spans="1:34" s="4" customFormat="1">
      <c r="A18" s="29" t="s">
        <v>292</v>
      </c>
      <c r="B18" s="71">
        <f t="shared" ref="B18:B39" si="1">$B$3+H18</f>
        <v>44167.416666666664</v>
      </c>
      <c r="C18" s="44">
        <v>1</v>
      </c>
      <c r="D18" s="186">
        <v>977.2</v>
      </c>
      <c r="E18" s="187">
        <v>182.8</v>
      </c>
      <c r="F18" s="72">
        <f t="shared" ref="F18:F39" si="2">((I$9*D18)+I$10)/C18/1000</f>
        <v>9.7682116413998418E-3</v>
      </c>
      <c r="G18" s="72">
        <f t="shared" ref="G18:G39" si="3">((I$12*E18)+I$13)/C18/1000</f>
        <v>1.0096450293925009E-2</v>
      </c>
      <c r="H18" s="96">
        <v>0.41666666666666669</v>
      </c>
      <c r="I18" s="73">
        <f>jar_information!M3</f>
        <v>44165.4375</v>
      </c>
      <c r="J18" s="74">
        <f t="shared" ref="J18:J39" si="4">B18-I18</f>
        <v>1.9791666666642413</v>
      </c>
      <c r="K18" s="74">
        <f t="shared" ref="K18:K39" si="5">J18*24</f>
        <v>47.499999999941792</v>
      </c>
      <c r="L18" s="75">
        <f>jar_information!H3</f>
        <v>371.24882105804681</v>
      </c>
      <c r="M18" s="74">
        <f t="shared" ref="M18:M39" si="6">F18*L18</f>
        <v>3.6264370557151797</v>
      </c>
      <c r="N18" s="74">
        <f t="shared" ref="N18:N39" si="7">M18*1.83</f>
        <v>6.6363798119587791</v>
      </c>
      <c r="O18" s="76">
        <f t="shared" ref="O18:O39" si="8">N18*(12/(12+(16*2)))</f>
        <v>1.8099217668978487</v>
      </c>
      <c r="P18" s="77">
        <f t="shared" ref="P18:P39" si="9">O18*(400/(400+L18))</f>
        <v>0.93869667867492423</v>
      </c>
      <c r="Q18" s="78"/>
      <c r="R18" s="78">
        <f t="shared" ref="R18:R39" si="10">Q18/314.7</f>
        <v>0</v>
      </c>
      <c r="S18" s="78">
        <f t="shared" ref="S18:S39" si="11">R18/P18*100</f>
        <v>0</v>
      </c>
      <c r="T18" s="188">
        <f t="shared" ref="T18:T39" si="12">F18*1000000</f>
        <v>9768.211641399841</v>
      </c>
      <c r="U18" s="142">
        <f t="shared" ref="U18:U39" si="13">M18/L18*100</f>
        <v>0.97682116413998421</v>
      </c>
      <c r="V18" s="189">
        <f t="shared" ref="V18:V39" si="14">O18/K18</f>
        <v>3.8103616145264557E-2</v>
      </c>
      <c r="W18" s="142">
        <f>V18*24*5</f>
        <v>4.5724339374317466</v>
      </c>
      <c r="X18" s="142">
        <f t="shared" ref="X18:X39" si="15">V18*24*7</f>
        <v>6.4014075124044458</v>
      </c>
      <c r="Y18" s="77">
        <f t="shared" ref="Y18:Y39" si="16">W18*(400/(400+L18))</f>
        <v>2.371444240865872</v>
      </c>
      <c r="Z18" s="77">
        <f t="shared" ref="Z18:Z39" si="17">X18*(400/(400+L18))</f>
        <v>3.3200219372122213</v>
      </c>
      <c r="AA18" s="137">
        <f>AC18*44/12</f>
        <v>21.650063430477442</v>
      </c>
      <c r="AB18" s="137">
        <f>IF((AA18-N18)&lt;=0,"!",AA18-N18)</f>
        <v>15.013683618518662</v>
      </c>
      <c r="AC18" s="137">
        <f>VLOOKUP(AH18,[2]summary!$B$2:$K$24,10,FALSE)*(12/44)</f>
        <v>5.9045627537665748</v>
      </c>
      <c r="AD18" s="137">
        <f>IF(AC18/V18/24-J18&lt;1,"&lt;1",AC18/V18/24-J18)</f>
        <v>4.4775288641661737</v>
      </c>
      <c r="AE18" s="4" t="str">
        <f>LEFT(RIGHT(A18, LEN(A18)-6),4)</f>
        <v>ANpp</v>
      </c>
      <c r="AF18" s="4" t="str">
        <f>RIGHT(A18,LEN(A18)-16)</f>
        <v>0-6_2001_a</v>
      </c>
      <c r="AG18" s="4" t="str">
        <f>IF(ISNUMBER(LEFT(AF18,2)*1),LEFT(AF18,5),IF(ISNUMBER(RIGHT(LEFT(AF18,4),2)*1),LEFT(AF18,4),LEFT(AF18,3)))</f>
        <v>0-6</v>
      </c>
      <c r="AH18" s="4" t="str">
        <f>AE18&amp;"_"&amp;AG18</f>
        <v>ANpp_0-6</v>
      </c>
    </row>
    <row r="19" spans="1:34" s="4" customFormat="1">
      <c r="A19" s="29" t="s">
        <v>293</v>
      </c>
      <c r="B19" s="71">
        <f t="shared" si="1"/>
        <v>44167.416666666664</v>
      </c>
      <c r="C19" s="44">
        <v>1</v>
      </c>
      <c r="D19" s="186">
        <v>756.99</v>
      </c>
      <c r="E19" s="187">
        <v>137.18</v>
      </c>
      <c r="F19" s="72">
        <f t="shared" si="2"/>
        <v>7.5517896385329485E-3</v>
      </c>
      <c r="G19" s="72">
        <f t="shared" si="3"/>
        <v>7.5225080815673187E-3</v>
      </c>
      <c r="H19" s="96">
        <v>0.41666666666666669</v>
      </c>
      <c r="I19" s="73">
        <f>jar_information!M4</f>
        <v>44165.4375</v>
      </c>
      <c r="J19" s="74">
        <f t="shared" si="4"/>
        <v>1.9791666666642413</v>
      </c>
      <c r="K19" s="74">
        <f t="shared" si="5"/>
        <v>47.499999999941792</v>
      </c>
      <c r="L19" s="75">
        <f>jar_information!H4</f>
        <v>396.0136460677399</v>
      </c>
      <c r="M19" s="74">
        <f t="shared" si="6"/>
        <v>2.9906117490920123</v>
      </c>
      <c r="N19" s="74">
        <f t="shared" si="7"/>
        <v>5.4728195008383826</v>
      </c>
      <c r="O19" s="76">
        <f t="shared" si="8"/>
        <v>1.492587136592286</v>
      </c>
      <c r="P19" s="77">
        <f t="shared" si="9"/>
        <v>0.75003092922618997</v>
      </c>
      <c r="Q19" s="78"/>
      <c r="R19" s="78">
        <f t="shared" si="10"/>
        <v>0</v>
      </c>
      <c r="S19" s="78">
        <f t="shared" si="11"/>
        <v>0</v>
      </c>
      <c r="T19" s="188">
        <f t="shared" si="12"/>
        <v>7551.7896385329486</v>
      </c>
      <c r="U19" s="142">
        <f t="shared" si="13"/>
        <v>0.75517896385329486</v>
      </c>
      <c r="V19" s="189">
        <f t="shared" si="14"/>
        <v>3.1422887086191897E-2</v>
      </c>
      <c r="W19" s="142">
        <f t="shared" ref="W19:W39" si="18">V19*24*5</f>
        <v>3.7707464503430277</v>
      </c>
      <c r="X19" s="142">
        <f t="shared" si="15"/>
        <v>5.2790450304802388</v>
      </c>
      <c r="Y19" s="77">
        <f t="shared" si="16"/>
        <v>1.894814979100065</v>
      </c>
      <c r="Z19" s="77">
        <f t="shared" si="17"/>
        <v>2.6527409707400911</v>
      </c>
      <c r="AA19" s="137">
        <f t="shared" ref="AA19:AA39" si="19">AC19*44/12</f>
        <v>21.650063430477442</v>
      </c>
      <c r="AB19" s="137">
        <f t="shared" ref="AB19:AB39" si="20">IF((AA19-N19)&lt;=0,"!",AA19-N19)</f>
        <v>16.177243929639058</v>
      </c>
      <c r="AC19" s="137">
        <f>VLOOKUP(AH19,[2]summary!$B$2:$K$24,10,FALSE)*(12/44)</f>
        <v>5.9045627537665748</v>
      </c>
      <c r="AD19" s="137">
        <f t="shared" ref="AD19:AD39" si="21">IF(AC19/V19/24-J19&lt;1,"&lt;1",AC19/V19/24-J19)</f>
        <v>5.8502682098566021</v>
      </c>
      <c r="AE19" s="4" t="str">
        <f t="shared" ref="AE19:AE39" si="22">LEFT(RIGHT(A19, LEN(A19)-6),4)</f>
        <v>ANpp</v>
      </c>
      <c r="AF19" s="4" t="str">
        <f t="shared" ref="AF19:AF39" si="23">RIGHT(A19,LEN(A19)-16)</f>
        <v>0-6_2001_b</v>
      </c>
      <c r="AG19" s="4" t="str">
        <f t="shared" ref="AG19:AG39" si="24">IF(ISNUMBER(LEFT(AF19,2)*1),LEFT(AF19,5),IF(ISNUMBER(RIGHT(LEFT(AF19,4),2)*1),LEFT(AF19,4),LEFT(AF19,3)))</f>
        <v>0-6</v>
      </c>
      <c r="AH19" s="4" t="str">
        <f t="shared" ref="AH19:AH39" si="25">AE19&amp;"_"&amp;AG19</f>
        <v>ANpp_0-6</v>
      </c>
    </row>
    <row r="20" spans="1:34" s="4" customFormat="1">
      <c r="A20" s="29" t="s">
        <v>294</v>
      </c>
      <c r="B20" s="71">
        <f t="shared" si="1"/>
        <v>44167.416666666664</v>
      </c>
      <c r="C20" s="44">
        <v>1</v>
      </c>
      <c r="D20" s="186">
        <v>567.03</v>
      </c>
      <c r="E20" s="187">
        <v>103.84</v>
      </c>
      <c r="F20" s="72">
        <f t="shared" si="2"/>
        <v>5.6398350330899849E-3</v>
      </c>
      <c r="G20" s="72">
        <f t="shared" si="3"/>
        <v>5.6414201078714525E-3</v>
      </c>
      <c r="H20" s="96">
        <v>0.41666666666666669</v>
      </c>
      <c r="I20" s="73">
        <f>jar_information!M5</f>
        <v>44165.4375</v>
      </c>
      <c r="J20" s="74">
        <f t="shared" si="4"/>
        <v>1.9791666666642413</v>
      </c>
      <c r="K20" s="74">
        <f t="shared" si="5"/>
        <v>47.499999999941792</v>
      </c>
      <c r="L20" s="75">
        <f>jar_information!H5</f>
        <v>356.00450368854933</v>
      </c>
      <c r="M20" s="74">
        <f t="shared" si="6"/>
        <v>2.0078066718404934</v>
      </c>
      <c r="N20" s="74">
        <f t="shared" si="7"/>
        <v>3.6742862094681032</v>
      </c>
      <c r="O20" s="76">
        <f t="shared" si="8"/>
        <v>1.0020780571276644</v>
      </c>
      <c r="P20" s="77">
        <f t="shared" si="9"/>
        <v>0.53019687170566898</v>
      </c>
      <c r="Q20" s="78"/>
      <c r="R20" s="78">
        <f t="shared" si="10"/>
        <v>0</v>
      </c>
      <c r="S20" s="78">
        <f t="shared" si="11"/>
        <v>0</v>
      </c>
      <c r="T20" s="188">
        <f t="shared" si="12"/>
        <v>5639.8350330899848</v>
      </c>
      <c r="U20" s="142">
        <f t="shared" si="13"/>
        <v>0.56398350330899849</v>
      </c>
      <c r="V20" s="189">
        <f t="shared" si="14"/>
        <v>2.1096380150081945E-2</v>
      </c>
      <c r="W20" s="142">
        <f t="shared" si="18"/>
        <v>2.5315656180098332</v>
      </c>
      <c r="X20" s="142">
        <f t="shared" si="15"/>
        <v>3.5441918652137669</v>
      </c>
      <c r="Y20" s="77">
        <f t="shared" si="16"/>
        <v>1.3394447285212261</v>
      </c>
      <c r="Z20" s="77">
        <f t="shared" si="17"/>
        <v>1.8752226199297168</v>
      </c>
      <c r="AA20" s="137">
        <f t="shared" si="19"/>
        <v>8.9690216559265394</v>
      </c>
      <c r="AB20" s="137">
        <f t="shared" si="20"/>
        <v>5.2947354464584357</v>
      </c>
      <c r="AC20" s="137">
        <f>VLOOKUP(AH20,[2]summary!$B$2:$K$24,10,FALSE)*(12/44)</f>
        <v>2.4460968152526927</v>
      </c>
      <c r="AD20" s="137">
        <f t="shared" si="21"/>
        <v>2.8520271168405076</v>
      </c>
      <c r="AE20" s="4" t="str">
        <f t="shared" si="22"/>
        <v>ANpp</v>
      </c>
      <c r="AF20" s="4" t="str">
        <f t="shared" si="23"/>
        <v>6-13_2001_a</v>
      </c>
      <c r="AG20" s="4" t="str">
        <f t="shared" si="24"/>
        <v>6-13</v>
      </c>
      <c r="AH20" s="4" t="str">
        <f t="shared" si="25"/>
        <v>ANpp_6-13</v>
      </c>
    </row>
    <row r="21" spans="1:34" s="4" customFormat="1">
      <c r="A21" s="29" t="s">
        <v>295</v>
      </c>
      <c r="B21" s="71">
        <f t="shared" si="1"/>
        <v>44167.416666666664</v>
      </c>
      <c r="C21" s="44">
        <v>1</v>
      </c>
      <c r="D21" s="186">
        <v>557.87</v>
      </c>
      <c r="E21" s="187">
        <v>106.71</v>
      </c>
      <c r="F21" s="72">
        <f t="shared" si="2"/>
        <v>5.5476392856386395E-3</v>
      </c>
      <c r="G21" s="72">
        <f t="shared" si="3"/>
        <v>5.8033493965489302E-3</v>
      </c>
      <c r="H21" s="96">
        <v>0.41666666666666669</v>
      </c>
      <c r="I21" s="73">
        <f>jar_information!M6</f>
        <v>44165.4375</v>
      </c>
      <c r="J21" s="74">
        <f t="shared" si="4"/>
        <v>1.9791666666642413</v>
      </c>
      <c r="K21" s="74">
        <f t="shared" si="5"/>
        <v>47.499999999941792</v>
      </c>
      <c r="L21" s="75">
        <f>jar_information!H6</f>
        <v>362.08093473315461</v>
      </c>
      <c r="M21" s="74">
        <f t="shared" si="6"/>
        <v>2.0086944181064088</v>
      </c>
      <c r="N21" s="74">
        <f t="shared" si="7"/>
        <v>3.6759107851347284</v>
      </c>
      <c r="O21" s="76">
        <f t="shared" si="8"/>
        <v>1.0025211232185622</v>
      </c>
      <c r="P21" s="77">
        <f t="shared" si="9"/>
        <v>0.52620191768455593</v>
      </c>
      <c r="Q21" s="78"/>
      <c r="R21" s="78">
        <f t="shared" si="10"/>
        <v>0</v>
      </c>
      <c r="S21" s="78">
        <f t="shared" si="11"/>
        <v>0</v>
      </c>
      <c r="T21" s="188">
        <f t="shared" si="12"/>
        <v>5547.6392856386392</v>
      </c>
      <c r="U21" s="142">
        <f t="shared" si="13"/>
        <v>0.55476392856386392</v>
      </c>
      <c r="V21" s="189">
        <f t="shared" si="14"/>
        <v>2.1105707857258751E-2</v>
      </c>
      <c r="W21" s="142">
        <f t="shared" si="18"/>
        <v>2.5326849428710503</v>
      </c>
      <c r="X21" s="142">
        <f t="shared" si="15"/>
        <v>3.5457589200194701</v>
      </c>
      <c r="Y21" s="77">
        <f t="shared" si="16"/>
        <v>1.3293522130994546</v>
      </c>
      <c r="Z21" s="77">
        <f t="shared" si="17"/>
        <v>1.8610930983392362</v>
      </c>
      <c r="AA21" s="137">
        <f t="shared" si="19"/>
        <v>8.9690216559265394</v>
      </c>
      <c r="AB21" s="137">
        <f t="shared" si="20"/>
        <v>5.2931108707918106</v>
      </c>
      <c r="AC21" s="137">
        <f>VLOOKUP(AH21,[2]summary!$B$2:$K$24,10,FALSE)*(12/44)</f>
        <v>2.4460968152526927</v>
      </c>
      <c r="AD21" s="137">
        <f t="shared" si="21"/>
        <v>2.8498919616857163</v>
      </c>
      <c r="AE21" s="4" t="str">
        <f t="shared" si="22"/>
        <v>ANpp</v>
      </c>
      <c r="AF21" s="4" t="str">
        <f t="shared" si="23"/>
        <v>6-13_2001_b</v>
      </c>
      <c r="AG21" s="4" t="str">
        <f t="shared" si="24"/>
        <v>6-13</v>
      </c>
      <c r="AH21" s="4" t="str">
        <f t="shared" si="25"/>
        <v>ANpp_6-13</v>
      </c>
    </row>
    <row r="22" spans="1:34" s="4" customFormat="1">
      <c r="A22" s="29" t="s">
        <v>296</v>
      </c>
      <c r="B22" s="71">
        <f t="shared" si="1"/>
        <v>44167.416666666664</v>
      </c>
      <c r="C22" s="44">
        <v>1</v>
      </c>
      <c r="D22" s="186">
        <v>220.12</v>
      </c>
      <c r="E22" s="187">
        <v>43.432000000000002</v>
      </c>
      <c r="F22" s="72">
        <f t="shared" si="2"/>
        <v>2.1481727243185672E-3</v>
      </c>
      <c r="G22" s="72">
        <f t="shared" si="3"/>
        <v>2.2331188986626995E-3</v>
      </c>
      <c r="H22" s="96">
        <v>0.41666666666666669</v>
      </c>
      <c r="I22" s="73">
        <f>jar_information!M7</f>
        <v>44165.4375</v>
      </c>
      <c r="J22" s="74">
        <f t="shared" si="4"/>
        <v>1.9791666666642413</v>
      </c>
      <c r="K22" s="74">
        <f t="shared" si="5"/>
        <v>47.499999999941792</v>
      </c>
      <c r="L22" s="75">
        <f>jar_information!H7</f>
        <v>368.18572718286885</v>
      </c>
      <c r="M22" s="74">
        <f t="shared" si="6"/>
        <v>0.79092653661763612</v>
      </c>
      <c r="N22" s="74">
        <f t="shared" si="7"/>
        <v>1.4473955620102741</v>
      </c>
      <c r="O22" s="76">
        <f t="shared" si="8"/>
        <v>0.39474424418462017</v>
      </c>
      <c r="P22" s="77">
        <f t="shared" si="9"/>
        <v>0.20554625279605077</v>
      </c>
      <c r="Q22" s="78"/>
      <c r="R22" s="78">
        <f t="shared" si="10"/>
        <v>0</v>
      </c>
      <c r="S22" s="78">
        <f t="shared" si="11"/>
        <v>0</v>
      </c>
      <c r="T22" s="188">
        <f t="shared" si="12"/>
        <v>2148.1727243185674</v>
      </c>
      <c r="U22" s="142">
        <f t="shared" si="13"/>
        <v>0.21481727243185672</v>
      </c>
      <c r="V22" s="189">
        <f t="shared" si="14"/>
        <v>8.3104051407390297E-3</v>
      </c>
      <c r="W22" s="142">
        <f t="shared" si="18"/>
        <v>0.99724861688868349</v>
      </c>
      <c r="X22" s="142">
        <f t="shared" si="15"/>
        <v>1.3961480636441568</v>
      </c>
      <c r="Y22" s="77">
        <f t="shared" si="16"/>
        <v>0.51927474390644879</v>
      </c>
      <c r="Z22" s="77">
        <f t="shared" si="17"/>
        <v>0.7269846414690283</v>
      </c>
      <c r="AA22" s="137">
        <f t="shared" si="19"/>
        <v>4.4310190566310377</v>
      </c>
      <c r="AB22" s="137">
        <f t="shared" si="20"/>
        <v>2.9836234946207636</v>
      </c>
      <c r="AC22" s="137">
        <f>VLOOKUP(AH22,[2]summary!$B$2:$K$24,10,FALSE)*(12/44)</f>
        <v>1.2084597427175559</v>
      </c>
      <c r="AD22" s="137">
        <f t="shared" si="21"/>
        <v>4.079802592615505</v>
      </c>
      <c r="AE22" s="4" t="str">
        <f t="shared" si="22"/>
        <v>ANpp</v>
      </c>
      <c r="AF22" s="4" t="str">
        <f t="shared" si="23"/>
        <v>13-33_2001_a</v>
      </c>
      <c r="AG22" s="4" t="str">
        <f t="shared" si="24"/>
        <v>13-33</v>
      </c>
      <c r="AH22" s="4" t="str">
        <f t="shared" si="25"/>
        <v>ANpp_13-33</v>
      </c>
    </row>
    <row r="23" spans="1:34" s="4" customFormat="1">
      <c r="A23" s="29" t="s">
        <v>297</v>
      </c>
      <c r="B23" s="71">
        <f t="shared" si="1"/>
        <v>44167.416666666664</v>
      </c>
      <c r="C23" s="44">
        <v>1</v>
      </c>
      <c r="D23" s="186">
        <v>173.65</v>
      </c>
      <c r="E23" s="187">
        <v>37.125999999999998</v>
      </c>
      <c r="F23" s="72">
        <f t="shared" si="2"/>
        <v>1.6804504116478232E-3</v>
      </c>
      <c r="G23" s="72">
        <f t="shared" si="3"/>
        <v>1.8773258344117658E-3</v>
      </c>
      <c r="H23" s="96">
        <v>0.41666666666666669</v>
      </c>
      <c r="I23" s="73">
        <f>jar_information!M8</f>
        <v>44165.4375</v>
      </c>
      <c r="J23" s="74">
        <f t="shared" si="4"/>
        <v>1.9791666666642413</v>
      </c>
      <c r="K23" s="74">
        <f t="shared" si="5"/>
        <v>47.499999999941792</v>
      </c>
      <c r="L23" s="75">
        <f>jar_information!H8</f>
        <v>405.42134882290139</v>
      </c>
      <c r="M23" s="74">
        <f t="shared" si="6"/>
        <v>0.68129047252026043</v>
      </c>
      <c r="N23" s="74">
        <f t="shared" si="7"/>
        <v>1.2467615647120767</v>
      </c>
      <c r="O23" s="76">
        <f t="shared" si="8"/>
        <v>0.3400258812851118</v>
      </c>
      <c r="P23" s="77">
        <f t="shared" si="9"/>
        <v>0.16886857135438449</v>
      </c>
      <c r="Q23" s="78"/>
      <c r="R23" s="78">
        <f t="shared" si="10"/>
        <v>0</v>
      </c>
      <c r="S23" s="78">
        <f t="shared" si="11"/>
        <v>0</v>
      </c>
      <c r="T23" s="188">
        <f t="shared" si="12"/>
        <v>1680.4504116478233</v>
      </c>
      <c r="U23" s="142">
        <f t="shared" si="13"/>
        <v>0.16804504116478233</v>
      </c>
      <c r="V23" s="189">
        <f t="shared" si="14"/>
        <v>7.1584396060111258E-3</v>
      </c>
      <c r="W23" s="142">
        <f t="shared" si="18"/>
        <v>0.85901275272133515</v>
      </c>
      <c r="X23" s="142">
        <f t="shared" si="15"/>
        <v>1.2026178538098691</v>
      </c>
      <c r="Y23" s="77">
        <f t="shared" si="16"/>
        <v>0.42661533815896785</v>
      </c>
      <c r="Z23" s="77">
        <f t="shared" si="17"/>
        <v>0.59726147342255487</v>
      </c>
      <c r="AA23" s="137">
        <f t="shared" si="19"/>
        <v>4.4310190566310377</v>
      </c>
      <c r="AB23" s="137">
        <f t="shared" si="20"/>
        <v>3.1842574919189612</v>
      </c>
      <c r="AC23" s="137">
        <f>VLOOKUP(AH23,[2]summary!$B$2:$K$24,10,FALSE)*(12/44)</f>
        <v>1.2084597427175559</v>
      </c>
      <c r="AD23" s="137">
        <f t="shared" si="21"/>
        <v>5.0548368384594005</v>
      </c>
      <c r="AE23" s="4" t="str">
        <f t="shared" si="22"/>
        <v>ANpp</v>
      </c>
      <c r="AF23" s="4" t="str">
        <f t="shared" si="23"/>
        <v>13-33_2001_b</v>
      </c>
      <c r="AG23" s="4" t="str">
        <f t="shared" si="24"/>
        <v>13-33</v>
      </c>
      <c r="AH23" s="4" t="str">
        <f t="shared" si="25"/>
        <v>ANpp_13-33</v>
      </c>
    </row>
    <row r="24" spans="1:34" s="4" customFormat="1">
      <c r="A24" s="29" t="s">
        <v>298</v>
      </c>
      <c r="B24" s="71">
        <f t="shared" si="1"/>
        <v>44167.416666666664</v>
      </c>
      <c r="C24" s="44">
        <v>1</v>
      </c>
      <c r="D24" s="186">
        <v>1163.3</v>
      </c>
      <c r="E24" s="187">
        <v>206.83</v>
      </c>
      <c r="F24" s="72">
        <f t="shared" si="2"/>
        <v>1.1641315200427717E-2</v>
      </c>
      <c r="G24" s="72">
        <f t="shared" si="3"/>
        <v>1.1452255453130515E-2</v>
      </c>
      <c r="H24" s="96">
        <v>0.41666666666666669</v>
      </c>
      <c r="I24" s="73">
        <f>jar_information!M9</f>
        <v>44165.4375</v>
      </c>
      <c r="J24" s="74">
        <f t="shared" si="4"/>
        <v>1.9791666666642413</v>
      </c>
      <c r="K24" s="74">
        <f t="shared" si="5"/>
        <v>47.499999999941792</v>
      </c>
      <c r="L24" s="75">
        <f>jar_information!H9</f>
        <v>368.18572718286885</v>
      </c>
      <c r="M24" s="74">
        <f t="shared" si="6"/>
        <v>4.2861661024344633</v>
      </c>
      <c r="N24" s="74">
        <f t="shared" si="7"/>
        <v>7.8436839674550685</v>
      </c>
      <c r="O24" s="76">
        <f t="shared" si="8"/>
        <v>2.1391865365786549</v>
      </c>
      <c r="P24" s="77">
        <f t="shared" si="9"/>
        <v>1.1138902798538537</v>
      </c>
      <c r="Q24" s="78"/>
      <c r="R24" s="78">
        <f t="shared" si="10"/>
        <v>0</v>
      </c>
      <c r="S24" s="78">
        <f t="shared" si="11"/>
        <v>0</v>
      </c>
      <c r="T24" s="188">
        <f t="shared" si="12"/>
        <v>11641.315200427716</v>
      </c>
      <c r="U24" s="142">
        <f t="shared" si="13"/>
        <v>1.1641315200427715</v>
      </c>
      <c r="V24" s="189">
        <f t="shared" si="14"/>
        <v>4.5035506033290026E-2</v>
      </c>
      <c r="W24" s="142">
        <f t="shared" si="18"/>
        <v>5.4042607239948026</v>
      </c>
      <c r="X24" s="142">
        <f t="shared" si="15"/>
        <v>7.5659650135927237</v>
      </c>
      <c r="Y24" s="77">
        <f t="shared" si="16"/>
        <v>2.8140386017394996</v>
      </c>
      <c r="Z24" s="77">
        <f t="shared" si="17"/>
        <v>3.9396540424352993</v>
      </c>
      <c r="AA24" s="137">
        <f t="shared" si="19"/>
        <v>7.8060465850108978</v>
      </c>
      <c r="AB24" s="137" t="str">
        <f t="shared" si="20"/>
        <v>!</v>
      </c>
      <c r="AC24" s="137">
        <f>VLOOKUP(AH24,[2]summary!$B$2:$K$24,10,FALSE)*(12/44)</f>
        <v>2.128921795912063</v>
      </c>
      <c r="AD24" s="137" t="str">
        <f t="shared" si="21"/>
        <v>&lt;1</v>
      </c>
      <c r="AE24" s="4" t="str">
        <f t="shared" si="22"/>
        <v>BSrf</v>
      </c>
      <c r="AF24" s="4" t="str">
        <f t="shared" si="23"/>
        <v>0-8_2001_a</v>
      </c>
      <c r="AG24" s="4" t="str">
        <f t="shared" si="24"/>
        <v>0-8</v>
      </c>
      <c r="AH24" s="4" t="str">
        <f t="shared" si="25"/>
        <v>BSrf_0-8</v>
      </c>
    </row>
    <row r="25" spans="1:34" s="4" customFormat="1">
      <c r="A25" s="29" t="s">
        <v>299</v>
      </c>
      <c r="B25" s="71">
        <f t="shared" si="1"/>
        <v>44167.416666666664</v>
      </c>
      <c r="C25" s="44">
        <v>1</v>
      </c>
      <c r="D25" s="186">
        <v>934.3</v>
      </c>
      <c r="E25" s="187">
        <v>166.43</v>
      </c>
      <c r="F25" s="72">
        <f t="shared" si="2"/>
        <v>9.3364215141440877E-3</v>
      </c>
      <c r="G25" s="72">
        <f t="shared" si="3"/>
        <v>9.1728327135590423E-3</v>
      </c>
      <c r="H25" s="96">
        <v>0.41666666666666669</v>
      </c>
      <c r="I25" s="73">
        <f>jar_information!M10</f>
        <v>44165.4375</v>
      </c>
      <c r="J25" s="74">
        <f t="shared" si="4"/>
        <v>1.9791666666642413</v>
      </c>
      <c r="K25" s="74">
        <f t="shared" si="5"/>
        <v>47.499999999941792</v>
      </c>
      <c r="L25" s="75">
        <f>jar_information!H10</f>
        <v>365.12977338665411</v>
      </c>
      <c r="M25" s="74">
        <f t="shared" si="6"/>
        <v>3.4090054717017129</v>
      </c>
      <c r="N25" s="74">
        <f t="shared" si="7"/>
        <v>6.2384800132141347</v>
      </c>
      <c r="O25" s="76">
        <f t="shared" si="8"/>
        <v>1.7014036399674912</v>
      </c>
      <c r="P25" s="77">
        <f t="shared" si="9"/>
        <v>0.88947192967627287</v>
      </c>
      <c r="Q25" s="78"/>
      <c r="R25" s="78">
        <f t="shared" si="10"/>
        <v>0</v>
      </c>
      <c r="S25" s="78">
        <f t="shared" si="11"/>
        <v>0</v>
      </c>
      <c r="T25" s="188">
        <f t="shared" si="12"/>
        <v>9336.4215141440873</v>
      </c>
      <c r="U25" s="142">
        <f t="shared" si="13"/>
        <v>0.93364215141440876</v>
      </c>
      <c r="V25" s="189">
        <f t="shared" si="14"/>
        <v>3.5819023999359496E-2</v>
      </c>
      <c r="W25" s="142">
        <f t="shared" si="18"/>
        <v>4.2982828799231401</v>
      </c>
      <c r="X25" s="142">
        <f t="shared" si="15"/>
        <v>6.0175960318923956</v>
      </c>
      <c r="Y25" s="77">
        <f t="shared" si="16"/>
        <v>2.2470869802375484</v>
      </c>
      <c r="Z25" s="77">
        <f t="shared" si="17"/>
        <v>3.1459217723325676</v>
      </c>
      <c r="AA25" s="137">
        <f t="shared" si="19"/>
        <v>7.8060465850108978</v>
      </c>
      <c r="AB25" s="137">
        <f t="shared" si="20"/>
        <v>1.5675665717967631</v>
      </c>
      <c r="AC25" s="137">
        <f>VLOOKUP(AH25,[2]summary!$B$2:$K$24,10,FALSE)*(12/44)</f>
        <v>2.128921795912063</v>
      </c>
      <c r="AD25" s="137" t="str">
        <f t="shared" si="21"/>
        <v>&lt;1</v>
      </c>
      <c r="AE25" s="4" t="str">
        <f t="shared" si="22"/>
        <v>BSrf</v>
      </c>
      <c r="AF25" s="4" t="str">
        <f t="shared" si="23"/>
        <v>0-8_2001_b</v>
      </c>
      <c r="AG25" s="4" t="str">
        <f t="shared" si="24"/>
        <v>0-8</v>
      </c>
      <c r="AH25" s="4" t="str">
        <f t="shared" si="25"/>
        <v>BSrf_0-8</v>
      </c>
    </row>
    <row r="26" spans="1:34" s="4" customFormat="1">
      <c r="A26" s="29" t="s">
        <v>300</v>
      </c>
      <c r="B26" s="71">
        <f t="shared" si="1"/>
        <v>44167.416666666664</v>
      </c>
      <c r="C26" s="44">
        <v>1</v>
      </c>
      <c r="D26" s="186">
        <v>346.26</v>
      </c>
      <c r="E26" s="187">
        <v>70.016999999999996</v>
      </c>
      <c r="F26" s="72">
        <f t="shared" si="2"/>
        <v>3.4177766089815249E-3</v>
      </c>
      <c r="G26" s="72">
        <f t="shared" si="3"/>
        <v>3.7330806197396213E-3</v>
      </c>
      <c r="H26" s="96">
        <v>0.41666666666666669</v>
      </c>
      <c r="I26" s="73">
        <f>jar_information!M11</f>
        <v>44165.4375</v>
      </c>
      <c r="J26" s="74">
        <f t="shared" si="4"/>
        <v>1.9791666666642413</v>
      </c>
      <c r="K26" s="74">
        <f t="shared" si="5"/>
        <v>47.499999999941792</v>
      </c>
      <c r="L26" s="75">
        <f>jar_information!H11</f>
        <v>368.18572718286885</v>
      </c>
      <c r="M26" s="74">
        <f t="shared" si="6"/>
        <v>1.2583765661264623</v>
      </c>
      <c r="N26" s="74">
        <f t="shared" si="7"/>
        <v>2.3028291160114263</v>
      </c>
      <c r="O26" s="76">
        <f t="shared" si="8"/>
        <v>0.62804430436675251</v>
      </c>
      <c r="P26" s="77">
        <f t="shared" si="9"/>
        <v>0.32702732276474317</v>
      </c>
      <c r="Q26" s="78"/>
      <c r="R26" s="78">
        <f t="shared" si="10"/>
        <v>0</v>
      </c>
      <c r="S26" s="78">
        <f t="shared" si="11"/>
        <v>0</v>
      </c>
      <c r="T26" s="188">
        <f t="shared" si="12"/>
        <v>3417.776608981525</v>
      </c>
      <c r="U26" s="142">
        <f t="shared" si="13"/>
        <v>0.34177766089815248</v>
      </c>
      <c r="V26" s="189">
        <f t="shared" si="14"/>
        <v>1.322198535510573E-2</v>
      </c>
      <c r="W26" s="142">
        <f t="shared" si="18"/>
        <v>1.5866382426126877</v>
      </c>
      <c r="X26" s="142">
        <f t="shared" si="15"/>
        <v>2.2212935396577627</v>
      </c>
      <c r="Y26" s="77">
        <f t="shared" si="16"/>
        <v>0.82617428909088997</v>
      </c>
      <c r="Z26" s="77">
        <f t="shared" si="17"/>
        <v>1.1566440047272459</v>
      </c>
      <c r="AA26" s="137">
        <f t="shared" si="19"/>
        <v>6.8280955876189529</v>
      </c>
      <c r="AB26" s="137">
        <f t="shared" si="20"/>
        <v>4.5252664716075266</v>
      </c>
      <c r="AC26" s="137">
        <f>VLOOKUP(AH26,[2]summary!$B$2:$K$24,10,FALSE)*(12/44)</f>
        <v>1.8622078875324415</v>
      </c>
      <c r="AD26" s="137">
        <f t="shared" si="21"/>
        <v>3.8892406284542043</v>
      </c>
      <c r="AE26" s="4" t="str">
        <f t="shared" si="22"/>
        <v>BSrf</v>
      </c>
      <c r="AF26" s="4" t="str">
        <f t="shared" si="23"/>
        <v>8-15_2001_a</v>
      </c>
      <c r="AG26" s="4" t="str">
        <f t="shared" si="24"/>
        <v>8-15</v>
      </c>
      <c r="AH26" s="4" t="str">
        <f t="shared" si="25"/>
        <v>BSrf_8-15</v>
      </c>
    </row>
    <row r="27" spans="1:34" s="4" customFormat="1">
      <c r="A27" s="29" t="s">
        <v>301</v>
      </c>
      <c r="B27" s="71">
        <f t="shared" si="1"/>
        <v>44167.416666666664</v>
      </c>
      <c r="C27" s="44">
        <v>1</v>
      </c>
      <c r="D27" s="186">
        <v>247.77</v>
      </c>
      <c r="E27" s="187">
        <v>53.085000000000001</v>
      </c>
      <c r="F27" s="72">
        <f t="shared" si="2"/>
        <v>2.4264710231209356E-3</v>
      </c>
      <c r="G27" s="72">
        <f t="shared" si="3"/>
        <v>2.7777542378974382E-3</v>
      </c>
      <c r="H27" s="96">
        <v>0.41666666666666669</v>
      </c>
      <c r="I27" s="73">
        <f>jar_information!M12</f>
        <v>44165.4375</v>
      </c>
      <c r="J27" s="74">
        <f t="shared" si="4"/>
        <v>1.9791666666642413</v>
      </c>
      <c r="K27" s="74">
        <f t="shared" si="5"/>
        <v>47.499999999941792</v>
      </c>
      <c r="L27" s="75">
        <f>jar_information!H12</f>
        <v>374.31908006509644</v>
      </c>
      <c r="M27" s="74">
        <f t="shared" si="6"/>
        <v>0.90827440117924196</v>
      </c>
      <c r="N27" s="74">
        <f t="shared" si="7"/>
        <v>1.6621421541580128</v>
      </c>
      <c r="O27" s="76">
        <f t="shared" si="8"/>
        <v>0.45331149658854891</v>
      </c>
      <c r="P27" s="77">
        <f t="shared" si="9"/>
        <v>0.23417296990818789</v>
      </c>
      <c r="Q27" s="78"/>
      <c r="R27" s="78">
        <f t="shared" si="10"/>
        <v>0</v>
      </c>
      <c r="S27" s="78">
        <f t="shared" si="11"/>
        <v>0</v>
      </c>
      <c r="T27" s="188">
        <f t="shared" si="12"/>
        <v>2426.4710231209356</v>
      </c>
      <c r="U27" s="142">
        <f t="shared" si="13"/>
        <v>0.24264710231209358</v>
      </c>
      <c r="V27" s="189">
        <f t="shared" si="14"/>
        <v>9.5433999281916721E-3</v>
      </c>
      <c r="W27" s="142">
        <f t="shared" si="18"/>
        <v>1.1452079913830007</v>
      </c>
      <c r="X27" s="142">
        <f t="shared" si="15"/>
        <v>1.6032911879362011</v>
      </c>
      <c r="Y27" s="77">
        <f t="shared" si="16"/>
        <v>0.59159487134772604</v>
      </c>
      <c r="Z27" s="77">
        <f t="shared" si="17"/>
        <v>0.82823281988681641</v>
      </c>
      <c r="AA27" s="137">
        <f t="shared" si="19"/>
        <v>6.8280955876189529</v>
      </c>
      <c r="AB27" s="137">
        <f t="shared" si="20"/>
        <v>5.16595343346094</v>
      </c>
      <c r="AC27" s="137">
        <f>VLOOKUP(AH27,[2]summary!$B$2:$K$24,10,FALSE)*(12/44)</f>
        <v>1.8622078875324415</v>
      </c>
      <c r="AD27" s="137">
        <f t="shared" si="21"/>
        <v>6.15126859725477</v>
      </c>
      <c r="AE27" s="4" t="str">
        <f t="shared" si="22"/>
        <v>BSrf</v>
      </c>
      <c r="AF27" s="4" t="str">
        <f t="shared" si="23"/>
        <v>8-15_2001_b</v>
      </c>
      <c r="AG27" s="4" t="str">
        <f t="shared" si="24"/>
        <v>8-15</v>
      </c>
      <c r="AH27" s="4" t="str">
        <f t="shared" si="25"/>
        <v>BSrf_8-15</v>
      </c>
    </row>
    <row r="28" spans="1:34" s="4" customFormat="1">
      <c r="A28" s="4" t="s">
        <v>302</v>
      </c>
      <c r="B28" s="71">
        <f t="shared" si="1"/>
        <v>44167.416666666664</v>
      </c>
      <c r="C28" s="44">
        <v>1</v>
      </c>
      <c r="D28" s="186">
        <v>260.72000000000003</v>
      </c>
      <c r="E28" s="187">
        <v>55.584000000000003</v>
      </c>
      <c r="F28" s="72">
        <f t="shared" si="2"/>
        <v>2.5568132643321718E-3</v>
      </c>
      <c r="G28" s="72">
        <f t="shared" si="3"/>
        <v>2.9187512038922185E-3</v>
      </c>
      <c r="H28" s="96">
        <v>0.41666666666666669</v>
      </c>
      <c r="I28" s="73">
        <f>jar_information!M13</f>
        <v>44165.4375</v>
      </c>
      <c r="J28" s="74">
        <f t="shared" si="4"/>
        <v>1.9791666666642413</v>
      </c>
      <c r="K28" s="74">
        <f t="shared" si="5"/>
        <v>47.499999999941792</v>
      </c>
      <c r="L28" s="75">
        <f>jar_information!H13</f>
        <v>371.24882105804681</v>
      </c>
      <c r="M28" s="74">
        <f t="shared" si="6"/>
        <v>0.94921391004889499</v>
      </c>
      <c r="N28" s="74">
        <f t="shared" si="7"/>
        <v>1.7370614553894779</v>
      </c>
      <c r="O28" s="76">
        <f t="shared" si="8"/>
        <v>0.47374403328803938</v>
      </c>
      <c r="P28" s="77">
        <f t="shared" si="9"/>
        <v>0.24570230532767778</v>
      </c>
      <c r="Q28" s="78"/>
      <c r="R28" s="78">
        <f t="shared" si="10"/>
        <v>0</v>
      </c>
      <c r="S28" s="78">
        <f t="shared" si="11"/>
        <v>0</v>
      </c>
      <c r="T28" s="188">
        <f t="shared" si="12"/>
        <v>2556.8132643321719</v>
      </c>
      <c r="U28" s="142">
        <f t="shared" si="13"/>
        <v>0.25568132643321717</v>
      </c>
      <c r="V28" s="189">
        <f t="shared" si="14"/>
        <v>9.9735585955498928E-3</v>
      </c>
      <c r="W28" s="142">
        <f t="shared" si="18"/>
        <v>1.196827031465987</v>
      </c>
      <c r="X28" s="142">
        <f t="shared" si="15"/>
        <v>1.675557844052382</v>
      </c>
      <c r="Y28" s="77">
        <f t="shared" si="16"/>
        <v>0.62072161346015708</v>
      </c>
      <c r="Z28" s="77">
        <f t="shared" si="17"/>
        <v>0.86901025884422001</v>
      </c>
      <c r="AA28" s="137">
        <f t="shared" si="19"/>
        <v>3.8242757661929319</v>
      </c>
      <c r="AB28" s="137">
        <f t="shared" si="20"/>
        <v>2.087214310803454</v>
      </c>
      <c r="AC28" s="137">
        <f>VLOOKUP(AH28,[2]summary!$B$2:$K$24,10,FALSE)*(12/44)</f>
        <v>1.0429842998707997</v>
      </c>
      <c r="AD28" s="137">
        <f t="shared" si="21"/>
        <v>2.3781225340703616</v>
      </c>
      <c r="AE28" s="4" t="str">
        <f t="shared" si="22"/>
        <v>BSrf</v>
      </c>
      <c r="AF28" s="4" t="str">
        <f t="shared" si="23"/>
        <v>15-30_2001_a</v>
      </c>
      <c r="AG28" s="4" t="str">
        <f t="shared" si="24"/>
        <v>15-30</v>
      </c>
      <c r="AH28" s="4" t="str">
        <f t="shared" si="25"/>
        <v>BSrf_15-30</v>
      </c>
    </row>
    <row r="29" spans="1:34" s="4" customFormat="1">
      <c r="A29" s="4" t="s">
        <v>303</v>
      </c>
      <c r="B29" s="71">
        <f t="shared" si="1"/>
        <v>44167.416666666664</v>
      </c>
      <c r="C29" s="44">
        <v>1</v>
      </c>
      <c r="D29" s="186">
        <v>317.23</v>
      </c>
      <c r="E29" s="187">
        <v>62.514000000000003</v>
      </c>
      <c r="F29" s="72">
        <f t="shared" si="2"/>
        <v>3.1255885578338662E-3</v>
      </c>
      <c r="G29" s="72">
        <f t="shared" si="3"/>
        <v>3.3097511936256421E-3</v>
      </c>
      <c r="H29" s="96">
        <v>0.41666666666666669</v>
      </c>
      <c r="I29" s="73">
        <f>jar_information!M14</f>
        <v>44165.4375</v>
      </c>
      <c r="J29" s="74">
        <f t="shared" si="4"/>
        <v>1.9791666666642413</v>
      </c>
      <c r="K29" s="74">
        <f t="shared" si="5"/>
        <v>47.499999999941792</v>
      </c>
      <c r="L29" s="75">
        <f>jar_information!H14</f>
        <v>368.18572718286885</v>
      </c>
      <c r="M29" s="74">
        <f t="shared" si="6"/>
        <v>1.1507970960405163</v>
      </c>
      <c r="N29" s="74">
        <f t="shared" si="7"/>
        <v>2.1059586857541448</v>
      </c>
      <c r="O29" s="76">
        <f t="shared" si="8"/>
        <v>0.57435236884203944</v>
      </c>
      <c r="P29" s="77">
        <f t="shared" si="9"/>
        <v>0.29906953410776566</v>
      </c>
      <c r="Q29" s="78"/>
      <c r="R29" s="78">
        <f t="shared" si="10"/>
        <v>0</v>
      </c>
      <c r="S29" s="78">
        <f t="shared" si="11"/>
        <v>0</v>
      </c>
      <c r="T29" s="188">
        <f t="shared" si="12"/>
        <v>3125.5885578338662</v>
      </c>
      <c r="U29" s="142">
        <f t="shared" si="13"/>
        <v>0.3125588557833866</v>
      </c>
      <c r="V29" s="189">
        <f t="shared" si="14"/>
        <v>1.2091628817741963E-2</v>
      </c>
      <c r="W29" s="142">
        <f t="shared" si="18"/>
        <v>1.4509954581290354</v>
      </c>
      <c r="X29" s="142">
        <f t="shared" si="15"/>
        <v>2.0313936413806495</v>
      </c>
      <c r="Y29" s="77">
        <f t="shared" si="16"/>
        <v>0.75554408616791269</v>
      </c>
      <c r="Z29" s="77">
        <f t="shared" si="17"/>
        <v>1.0577617206350778</v>
      </c>
      <c r="AA29" s="137">
        <f t="shared" si="19"/>
        <v>3.8242757661929319</v>
      </c>
      <c r="AB29" s="137">
        <f t="shared" si="20"/>
        <v>1.7183170804387871</v>
      </c>
      <c r="AC29" s="137">
        <f>VLOOKUP(AH29,[2]summary!$B$2:$K$24,10,FALSE)*(12/44)</f>
        <v>1.0429842998707997</v>
      </c>
      <c r="AD29" s="137">
        <f t="shared" si="21"/>
        <v>1.6148635352485208</v>
      </c>
      <c r="AE29" s="4" t="str">
        <f t="shared" si="22"/>
        <v>BSrf</v>
      </c>
      <c r="AF29" s="4" t="str">
        <f t="shared" si="23"/>
        <v>15-30_2001_b</v>
      </c>
      <c r="AG29" s="4" t="str">
        <f t="shared" si="24"/>
        <v>15-30</v>
      </c>
      <c r="AH29" s="4" t="str">
        <f t="shared" si="25"/>
        <v>BSrf_15-30</v>
      </c>
    </row>
    <row r="30" spans="1:34" s="4" customFormat="1">
      <c r="A30" s="4" t="s">
        <v>304</v>
      </c>
      <c r="B30" s="71">
        <f t="shared" si="1"/>
        <v>44167.416666666664</v>
      </c>
      <c r="C30" s="44">
        <v>1</v>
      </c>
      <c r="D30" s="186">
        <v>862.03</v>
      </c>
      <c r="E30" s="187">
        <v>168.2</v>
      </c>
      <c r="F30" s="72">
        <f t="shared" si="2"/>
        <v>8.6090212228440086E-3</v>
      </c>
      <c r="G30" s="72">
        <f t="shared" si="3"/>
        <v>9.2726985118026413E-3</v>
      </c>
      <c r="H30" s="96">
        <v>0.41666666666666669</v>
      </c>
      <c r="I30" s="73">
        <f>jar_information!M15</f>
        <v>44165.4375</v>
      </c>
      <c r="J30" s="74">
        <f t="shared" si="4"/>
        <v>1.9791666666642413</v>
      </c>
      <c r="K30" s="74">
        <f t="shared" si="5"/>
        <v>47.499999999941792</v>
      </c>
      <c r="L30" s="75">
        <f>jar_information!H15</f>
        <v>368.18572718286885</v>
      </c>
      <c r="M30" s="74">
        <f t="shared" si="6"/>
        <v>3.1697187392655719</v>
      </c>
      <c r="N30" s="74">
        <f t="shared" si="7"/>
        <v>5.8005852928559971</v>
      </c>
      <c r="O30" s="76">
        <f t="shared" si="8"/>
        <v>1.5819778071425445</v>
      </c>
      <c r="P30" s="77">
        <f t="shared" si="9"/>
        <v>0.82374756581018849</v>
      </c>
      <c r="Q30" s="78"/>
      <c r="R30" s="78">
        <f t="shared" si="10"/>
        <v>0</v>
      </c>
      <c r="S30" s="78">
        <f t="shared" si="11"/>
        <v>0</v>
      </c>
      <c r="T30" s="188">
        <f t="shared" si="12"/>
        <v>8609.0212228440087</v>
      </c>
      <c r="U30" s="142">
        <f t="shared" si="13"/>
        <v>0.86090212228440088</v>
      </c>
      <c r="V30" s="189">
        <f t="shared" si="14"/>
        <v>3.3304795939883856E-2</v>
      </c>
      <c r="W30" s="142">
        <f t="shared" si="18"/>
        <v>3.9965755127860625</v>
      </c>
      <c r="X30" s="142">
        <f t="shared" si="15"/>
        <v>5.5952057179004875</v>
      </c>
      <c r="Y30" s="77">
        <f t="shared" si="16"/>
        <v>2.081046482049342</v>
      </c>
      <c r="Z30" s="77">
        <f t="shared" si="17"/>
        <v>2.9134650748690789</v>
      </c>
      <c r="AA30" s="137">
        <f t="shared" si="19"/>
        <v>13.11505575573193</v>
      </c>
      <c r="AB30" s="137">
        <f t="shared" si="20"/>
        <v>7.3144704628759332</v>
      </c>
      <c r="AC30" s="137">
        <f>VLOOKUP(AH30,[2]summary!$B$2:$K$24,10,FALSE)*(12/44)</f>
        <v>3.5768333879268903</v>
      </c>
      <c r="AD30" s="137">
        <f t="shared" si="21"/>
        <v>2.4957061043914903</v>
      </c>
      <c r="AE30" s="4" t="str">
        <f t="shared" si="22"/>
        <v>BSwf</v>
      </c>
      <c r="AF30" s="4" t="str">
        <f t="shared" si="23"/>
        <v>0-10_2001_a</v>
      </c>
      <c r="AG30" s="4" t="str">
        <f t="shared" si="24"/>
        <v>0-10</v>
      </c>
      <c r="AH30" s="4" t="str">
        <f t="shared" si="25"/>
        <v>BSwf_0-10</v>
      </c>
    </row>
    <row r="31" spans="1:34" s="4" customFormat="1">
      <c r="A31" s="4" t="s">
        <v>305</v>
      </c>
      <c r="B31" s="71">
        <f t="shared" si="1"/>
        <v>44167.416666666664</v>
      </c>
      <c r="C31" s="44">
        <v>1</v>
      </c>
      <c r="D31" s="186">
        <v>715.79</v>
      </c>
      <c r="E31" s="187">
        <v>139.99</v>
      </c>
      <c r="F31" s="72">
        <f t="shared" si="2"/>
        <v>7.1371100757605223E-3</v>
      </c>
      <c r="G31" s="72">
        <f t="shared" si="3"/>
        <v>7.6810520889484032E-3</v>
      </c>
      <c r="H31" s="96">
        <v>0.41666666666666669</v>
      </c>
      <c r="I31" s="73">
        <f>jar_information!M16</f>
        <v>44165.4375</v>
      </c>
      <c r="J31" s="74">
        <f t="shared" si="4"/>
        <v>1.9791666666642413</v>
      </c>
      <c r="K31" s="74">
        <f t="shared" si="5"/>
        <v>47.499999999941792</v>
      </c>
      <c r="L31" s="75">
        <f>jar_information!H16</f>
        <v>377.39652937427036</v>
      </c>
      <c r="M31" s="74">
        <f t="shared" si="6"/>
        <v>2.6935205723541569</v>
      </c>
      <c r="N31" s="74">
        <f t="shared" si="7"/>
        <v>4.9291426474081073</v>
      </c>
      <c r="O31" s="76">
        <f t="shared" si="8"/>
        <v>1.3443116311113019</v>
      </c>
      <c r="P31" s="77">
        <f t="shared" si="9"/>
        <v>0.69169932219447594</v>
      </c>
      <c r="Q31" s="78"/>
      <c r="R31" s="78">
        <f t="shared" si="10"/>
        <v>0</v>
      </c>
      <c r="S31" s="78">
        <f t="shared" si="11"/>
        <v>0</v>
      </c>
      <c r="T31" s="188">
        <f t="shared" si="12"/>
        <v>7137.1100757605227</v>
      </c>
      <c r="U31" s="142">
        <f t="shared" si="13"/>
        <v>0.71371100757605221</v>
      </c>
      <c r="V31" s="189">
        <f t="shared" si="14"/>
        <v>2.830129749711472E-2</v>
      </c>
      <c r="W31" s="142">
        <f t="shared" si="18"/>
        <v>3.3961556996537667</v>
      </c>
      <c r="X31" s="142">
        <f t="shared" si="15"/>
        <v>4.7546179795152739</v>
      </c>
      <c r="Y31" s="77">
        <f t="shared" si="16"/>
        <v>1.7474509192302912</v>
      </c>
      <c r="Z31" s="77">
        <f t="shared" si="17"/>
        <v>2.4464312869224076</v>
      </c>
      <c r="AA31" s="137">
        <f t="shared" si="19"/>
        <v>13.11505575573193</v>
      </c>
      <c r="AB31" s="137">
        <f t="shared" si="20"/>
        <v>8.1859131083238239</v>
      </c>
      <c r="AC31" s="137">
        <f>VLOOKUP(AH31,[2]summary!$B$2:$K$24,10,FALSE)*(12/44)</f>
        <v>3.5768333879268903</v>
      </c>
      <c r="AD31" s="137">
        <f t="shared" si="21"/>
        <v>3.286836579729238</v>
      </c>
      <c r="AE31" s="4" t="str">
        <f t="shared" si="22"/>
        <v>BSwf</v>
      </c>
      <c r="AF31" s="4" t="str">
        <f t="shared" si="23"/>
        <v>0-10_2001_b</v>
      </c>
      <c r="AG31" s="4" t="str">
        <f t="shared" si="24"/>
        <v>0-10</v>
      </c>
      <c r="AH31" s="4" t="str">
        <f t="shared" si="25"/>
        <v>BSwf_0-10</v>
      </c>
    </row>
    <row r="32" spans="1:34" s="4" customFormat="1">
      <c r="A32" s="4" t="s">
        <v>306</v>
      </c>
      <c r="B32" s="71">
        <f t="shared" si="1"/>
        <v>44167.416666666664</v>
      </c>
      <c r="C32" s="44">
        <v>1</v>
      </c>
      <c r="D32" s="186">
        <v>457.13</v>
      </c>
      <c r="E32" s="187">
        <v>89.379000000000005</v>
      </c>
      <c r="F32" s="72">
        <f t="shared" si="2"/>
        <v>4.5336873644324684E-3</v>
      </c>
      <c r="G32" s="72">
        <f t="shared" si="3"/>
        <v>4.8255108940857333E-3</v>
      </c>
      <c r="H32" s="96">
        <v>0.41666666666666669</v>
      </c>
      <c r="I32" s="73">
        <f>jar_information!M17</f>
        <v>44165.4375</v>
      </c>
      <c r="J32" s="74">
        <f t="shared" si="4"/>
        <v>1.9791666666642413</v>
      </c>
      <c r="K32" s="74">
        <f t="shared" si="5"/>
        <v>47.499999999941792</v>
      </c>
      <c r="L32" s="75">
        <f>jar_information!H17</f>
        <v>371.24882105804681</v>
      </c>
      <c r="M32" s="74">
        <f t="shared" si="6"/>
        <v>1.6831260890913173</v>
      </c>
      <c r="N32" s="74">
        <f t="shared" si="7"/>
        <v>3.0801207430371109</v>
      </c>
      <c r="O32" s="76">
        <f t="shared" si="8"/>
        <v>0.84003292991921197</v>
      </c>
      <c r="P32" s="77">
        <f t="shared" si="9"/>
        <v>0.43567414664792764</v>
      </c>
      <c r="Q32" s="78"/>
      <c r="R32" s="78">
        <f t="shared" si="10"/>
        <v>0</v>
      </c>
      <c r="S32" s="78">
        <f t="shared" si="11"/>
        <v>0</v>
      </c>
      <c r="T32" s="188">
        <f t="shared" si="12"/>
        <v>4533.6873644324687</v>
      </c>
      <c r="U32" s="142">
        <f t="shared" si="13"/>
        <v>0.45336873644324682</v>
      </c>
      <c r="V32" s="189">
        <f t="shared" si="14"/>
        <v>1.7684903787794554E-2</v>
      </c>
      <c r="W32" s="142">
        <f t="shared" si="18"/>
        <v>2.1221884545353467</v>
      </c>
      <c r="X32" s="142">
        <f t="shared" si="15"/>
        <v>2.9710638363494848</v>
      </c>
      <c r="Y32" s="77">
        <f t="shared" si="16"/>
        <v>1.1006504757434818</v>
      </c>
      <c r="Z32" s="77">
        <f t="shared" si="17"/>
        <v>1.5409106660408742</v>
      </c>
      <c r="AA32" s="137">
        <f t="shared" si="19"/>
        <v>4.5824768522907515</v>
      </c>
      <c r="AB32" s="137">
        <f t="shared" si="20"/>
        <v>1.5023561092536406</v>
      </c>
      <c r="AC32" s="137">
        <f>VLOOKUP(AH32,[2]summary!$B$2:$K$24,10,FALSE)*(12/44)</f>
        <v>1.249766414261114</v>
      </c>
      <c r="AD32" s="137" t="str">
        <f t="shared" si="21"/>
        <v>&lt;1</v>
      </c>
      <c r="AE32" s="4" t="str">
        <f t="shared" si="22"/>
        <v>BSwf</v>
      </c>
      <c r="AF32" s="4" t="str">
        <f t="shared" si="23"/>
        <v>10-19_2001_a</v>
      </c>
      <c r="AG32" s="4" t="str">
        <f t="shared" si="24"/>
        <v>10-19</v>
      </c>
      <c r="AH32" s="4" t="str">
        <f t="shared" si="25"/>
        <v>BSwf_10-19</v>
      </c>
    </row>
    <row r="33" spans="1:34" s="4" customFormat="1">
      <c r="A33" s="4" t="s">
        <v>307</v>
      </c>
      <c r="B33" s="71">
        <f t="shared" si="1"/>
        <v>44167.416666666664</v>
      </c>
      <c r="C33" s="44">
        <v>1</v>
      </c>
      <c r="D33" s="186">
        <v>412.89</v>
      </c>
      <c r="E33" s="187">
        <v>79.061000000000007</v>
      </c>
      <c r="F33" s="72">
        <f t="shared" si="2"/>
        <v>4.0884100863486789E-3</v>
      </c>
      <c r="G33" s="72">
        <f t="shared" si="3"/>
        <v>4.2433553538159686E-3</v>
      </c>
      <c r="H33" s="96">
        <v>0.41666666666666669</v>
      </c>
      <c r="I33" s="73">
        <f>jar_information!M18</f>
        <v>44165.4375</v>
      </c>
      <c r="J33" s="74">
        <f t="shared" si="4"/>
        <v>1.9791666666642413</v>
      </c>
      <c r="K33" s="74">
        <f t="shared" si="5"/>
        <v>47.499999999941792</v>
      </c>
      <c r="L33" s="75">
        <f>jar_information!H18</f>
        <v>368.18572718286885</v>
      </c>
      <c r="M33" s="74">
        <f t="shared" si="6"/>
        <v>1.5052942406640639</v>
      </c>
      <c r="N33" s="74">
        <f t="shared" si="7"/>
        <v>2.7546884604152373</v>
      </c>
      <c r="O33" s="76">
        <f t="shared" si="8"/>
        <v>0.75127867102233736</v>
      </c>
      <c r="P33" s="77">
        <f t="shared" si="9"/>
        <v>0.39119637058473661</v>
      </c>
      <c r="Q33" s="78"/>
      <c r="R33" s="78">
        <f t="shared" si="10"/>
        <v>0</v>
      </c>
      <c r="S33" s="78">
        <f t="shared" si="11"/>
        <v>0</v>
      </c>
      <c r="T33" s="188">
        <f t="shared" si="12"/>
        <v>4088.4100863486788</v>
      </c>
      <c r="U33" s="142">
        <f t="shared" si="13"/>
        <v>0.40884100863486789</v>
      </c>
      <c r="V33" s="189">
        <f t="shared" si="14"/>
        <v>1.5816393074173853E-2</v>
      </c>
      <c r="W33" s="142">
        <f t="shared" si="18"/>
        <v>1.8979671689008624</v>
      </c>
      <c r="X33" s="142">
        <f t="shared" si="15"/>
        <v>2.6571540364612072</v>
      </c>
      <c r="Y33" s="77">
        <f t="shared" si="16"/>
        <v>0.98828556779422982</v>
      </c>
      <c r="Z33" s="77">
        <f t="shared" si="17"/>
        <v>1.3835997949119216</v>
      </c>
      <c r="AA33" s="137">
        <f t="shared" si="19"/>
        <v>4.5824768522907515</v>
      </c>
      <c r="AB33" s="137">
        <f t="shared" si="20"/>
        <v>1.8277883918755142</v>
      </c>
      <c r="AC33" s="137">
        <f>VLOOKUP(AH33,[2]summary!$B$2:$K$24,10,FALSE)*(12/44)</f>
        <v>1.249766414261114</v>
      </c>
      <c r="AD33" s="137">
        <f t="shared" si="21"/>
        <v>1.3132148738048439</v>
      </c>
      <c r="AE33" s="4" t="str">
        <f t="shared" si="22"/>
        <v>BSwf</v>
      </c>
      <c r="AF33" s="4" t="str">
        <f t="shared" si="23"/>
        <v>10-19_2001_b</v>
      </c>
      <c r="AG33" s="4" t="str">
        <f t="shared" si="24"/>
        <v>10-19</v>
      </c>
      <c r="AH33" s="4" t="str">
        <f t="shared" si="25"/>
        <v>BSwf_10-19</v>
      </c>
    </row>
    <row r="34" spans="1:34" s="4" customFormat="1">
      <c r="A34" s="4" t="s">
        <v>308</v>
      </c>
      <c r="B34" s="71">
        <f t="shared" si="1"/>
        <v>44167.416666666664</v>
      </c>
      <c r="C34" s="44">
        <v>1</v>
      </c>
      <c r="D34" s="186">
        <v>739.76</v>
      </c>
      <c r="E34" s="187">
        <v>142.09</v>
      </c>
      <c r="F34" s="72">
        <f t="shared" si="2"/>
        <v>7.3783690349754506E-3</v>
      </c>
      <c r="G34" s="72">
        <f t="shared" si="3"/>
        <v>7.7995369343221684E-3</v>
      </c>
      <c r="H34" s="96">
        <v>0.41666666666666669</v>
      </c>
      <c r="I34" s="73">
        <f>jar_information!M19</f>
        <v>44165.4375</v>
      </c>
      <c r="J34" s="74">
        <f t="shared" si="4"/>
        <v>1.9791666666642413</v>
      </c>
      <c r="K34" s="74">
        <f t="shared" si="5"/>
        <v>47.499999999941792</v>
      </c>
      <c r="L34" s="75">
        <f>jar_information!H19</f>
        <v>374.31908006509644</v>
      </c>
      <c r="M34" s="74">
        <f t="shared" si="6"/>
        <v>2.7618643095528039</v>
      </c>
      <c r="N34" s="74">
        <f t="shared" si="7"/>
        <v>5.0542116864816311</v>
      </c>
      <c r="O34" s="76">
        <f t="shared" si="8"/>
        <v>1.3784213690404448</v>
      </c>
      <c r="P34" s="77">
        <f t="shared" si="9"/>
        <v>0.71206891553004836</v>
      </c>
      <c r="Q34" s="78"/>
      <c r="R34" s="78">
        <f t="shared" si="10"/>
        <v>0</v>
      </c>
      <c r="S34" s="78">
        <f t="shared" si="11"/>
        <v>0</v>
      </c>
      <c r="T34" s="188">
        <f t="shared" si="12"/>
        <v>7378.3690349754506</v>
      </c>
      <c r="U34" s="142">
        <f t="shared" si="13"/>
        <v>0.73783690349754505</v>
      </c>
      <c r="V34" s="189">
        <f t="shared" si="14"/>
        <v>2.9019397242992292E-2</v>
      </c>
      <c r="W34" s="142">
        <f t="shared" si="18"/>
        <v>3.482327669159075</v>
      </c>
      <c r="X34" s="142">
        <f t="shared" si="15"/>
        <v>4.8752587368227047</v>
      </c>
      <c r="Y34" s="77">
        <f t="shared" si="16"/>
        <v>1.7989109444991687</v>
      </c>
      <c r="Z34" s="77">
        <f t="shared" si="17"/>
        <v>2.5184753222988361</v>
      </c>
      <c r="AA34" s="137">
        <f t="shared" si="19"/>
        <v>12.14735031673621</v>
      </c>
      <c r="AB34" s="137">
        <f t="shared" si="20"/>
        <v>7.0931386302545789</v>
      </c>
      <c r="AC34" s="137">
        <f>VLOOKUP(AH34,[2]summary!$B$2:$K$24,10,FALSE)*(12/44)</f>
        <v>3.3129137227462393</v>
      </c>
      <c r="AD34" s="137">
        <f t="shared" si="21"/>
        <v>2.7775851922816654</v>
      </c>
      <c r="AE34" s="4" t="str">
        <f t="shared" si="22"/>
        <v>BSpp</v>
      </c>
      <c r="AF34" s="4" t="str">
        <f t="shared" si="23"/>
        <v>0-7_2001_a</v>
      </c>
      <c r="AG34" s="4" t="str">
        <f t="shared" si="24"/>
        <v>0-7</v>
      </c>
      <c r="AH34" s="4" t="str">
        <f t="shared" si="25"/>
        <v>BSpp_0-7</v>
      </c>
    </row>
    <row r="35" spans="1:34" s="4" customFormat="1">
      <c r="A35" s="4" t="s">
        <v>309</v>
      </c>
      <c r="B35" s="71">
        <f t="shared" si="1"/>
        <v>44167.416666666664</v>
      </c>
      <c r="C35" s="44">
        <v>1</v>
      </c>
      <c r="D35" s="186">
        <v>940.88</v>
      </c>
      <c r="E35" s="187">
        <v>170.45</v>
      </c>
      <c r="F35" s="72">
        <f t="shared" si="2"/>
        <v>9.4026494637324976E-3</v>
      </c>
      <c r="G35" s="72">
        <f t="shared" si="3"/>
        <v>9.3996465604173907E-3</v>
      </c>
      <c r="H35" s="96">
        <v>0.41666666666666669</v>
      </c>
      <c r="I35" s="73">
        <f>jar_information!M20</f>
        <v>44165.4375</v>
      </c>
      <c r="J35" s="74">
        <f t="shared" si="4"/>
        <v>1.9791666666642413</v>
      </c>
      <c r="K35" s="74">
        <f t="shared" si="5"/>
        <v>47.499999999941792</v>
      </c>
      <c r="L35" s="75">
        <f>jar_information!H20</f>
        <v>368.18572718286885</v>
      </c>
      <c r="M35" s="74">
        <f t="shared" si="6"/>
        <v>3.4619213302499614</v>
      </c>
      <c r="N35" s="74">
        <f t="shared" si="7"/>
        <v>6.3353160343574295</v>
      </c>
      <c r="O35" s="76">
        <f t="shared" si="8"/>
        <v>1.7278134639156624</v>
      </c>
      <c r="P35" s="77">
        <f t="shared" si="9"/>
        <v>0.89968527285816191</v>
      </c>
      <c r="Q35" s="78"/>
      <c r="R35" s="78">
        <f t="shared" si="10"/>
        <v>0</v>
      </c>
      <c r="S35" s="78">
        <f t="shared" si="11"/>
        <v>0</v>
      </c>
      <c r="T35" s="188">
        <f t="shared" si="12"/>
        <v>9402.6494637324977</v>
      </c>
      <c r="U35" s="142">
        <f t="shared" si="13"/>
        <v>0.94026494637324975</v>
      </c>
      <c r="V35" s="189">
        <f t="shared" si="14"/>
        <v>3.6375020293005891E-2</v>
      </c>
      <c r="W35" s="142">
        <f t="shared" si="18"/>
        <v>4.3650024351607071</v>
      </c>
      <c r="X35" s="142">
        <f t="shared" si="15"/>
        <v>6.1110034092249901</v>
      </c>
      <c r="Y35" s="77">
        <f t="shared" si="16"/>
        <v>2.2728891103812998</v>
      </c>
      <c r="Z35" s="77">
        <f t="shared" si="17"/>
        <v>3.1820447545338197</v>
      </c>
      <c r="AA35" s="137">
        <f t="shared" si="19"/>
        <v>12.14735031673621</v>
      </c>
      <c r="AB35" s="137">
        <f t="shared" si="20"/>
        <v>5.8120342823787805</v>
      </c>
      <c r="AC35" s="137">
        <f>VLOOKUP(AH35,[2]summary!$B$2:$K$24,10,FALSE)*(12/44)</f>
        <v>3.3129137227462393</v>
      </c>
      <c r="AD35" s="137">
        <f t="shared" si="21"/>
        <v>1.8156922961398276</v>
      </c>
      <c r="AE35" s="4" t="str">
        <f t="shared" si="22"/>
        <v>BSpp</v>
      </c>
      <c r="AF35" s="4" t="str">
        <f t="shared" si="23"/>
        <v>0-7_2001_b</v>
      </c>
      <c r="AG35" s="4" t="str">
        <f t="shared" si="24"/>
        <v>0-7</v>
      </c>
      <c r="AH35" s="4" t="str">
        <f t="shared" si="25"/>
        <v>BSpp_0-7</v>
      </c>
    </row>
    <row r="36" spans="1:34" s="4" customFormat="1">
      <c r="A36" s="4" t="s">
        <v>310</v>
      </c>
      <c r="B36" s="71">
        <f t="shared" si="1"/>
        <v>44167.416666666664</v>
      </c>
      <c r="C36" s="44">
        <v>1</v>
      </c>
      <c r="D36" s="186">
        <v>352.9</v>
      </c>
      <c r="E36" s="187">
        <v>71.697000000000003</v>
      </c>
      <c r="F36" s="72">
        <f t="shared" si="2"/>
        <v>3.4846084608458187E-3</v>
      </c>
      <c r="G36" s="72">
        <f t="shared" si="3"/>
        <v>3.8278684960386337E-3</v>
      </c>
      <c r="H36" s="96">
        <v>0.41666666666666669</v>
      </c>
      <c r="I36" s="73">
        <f>jar_information!M21</f>
        <v>44165.4375</v>
      </c>
      <c r="J36" s="74">
        <f t="shared" si="4"/>
        <v>1.9791666666642413</v>
      </c>
      <c r="K36" s="74">
        <f t="shared" si="5"/>
        <v>47.499999999941792</v>
      </c>
      <c r="L36" s="75">
        <f>jar_information!H21</f>
        <v>380.48119427385262</v>
      </c>
      <c r="M36" s="74">
        <f t="shared" si="6"/>
        <v>1.3258279887593885</v>
      </c>
      <c r="N36" s="74">
        <f t="shared" si="7"/>
        <v>2.426265219429681</v>
      </c>
      <c r="O36" s="76">
        <f t="shared" si="8"/>
        <v>0.6617086962080948</v>
      </c>
      <c r="P36" s="77">
        <f t="shared" si="9"/>
        <v>0.33912857917030947</v>
      </c>
      <c r="Q36" s="78"/>
      <c r="R36" s="78">
        <f t="shared" si="10"/>
        <v>0</v>
      </c>
      <c r="S36" s="78">
        <f t="shared" si="11"/>
        <v>0</v>
      </c>
      <c r="T36" s="188">
        <f t="shared" si="12"/>
        <v>3484.6084608458186</v>
      </c>
      <c r="U36" s="142">
        <f t="shared" si="13"/>
        <v>0.34846084608458189</v>
      </c>
      <c r="V36" s="189">
        <f t="shared" si="14"/>
        <v>1.3930709393871699E-2</v>
      </c>
      <c r="W36" s="142">
        <f t="shared" si="18"/>
        <v>1.6716851272646038</v>
      </c>
      <c r="X36" s="142">
        <f t="shared" si="15"/>
        <v>2.3403591781704454</v>
      </c>
      <c r="Y36" s="77">
        <f t="shared" si="16"/>
        <v>0.85674588422077902</v>
      </c>
      <c r="Z36" s="77">
        <f t="shared" si="17"/>
        <v>1.1994442379090906</v>
      </c>
      <c r="AA36" s="137">
        <f t="shared" si="19"/>
        <v>4.7370562835765471</v>
      </c>
      <c r="AB36" s="137">
        <f t="shared" si="20"/>
        <v>2.3107910641468661</v>
      </c>
      <c r="AC36" s="137">
        <f>VLOOKUP(AH36,[2]summary!$B$2:$K$24,10,FALSE)*(12/44)</f>
        <v>1.2919244409754218</v>
      </c>
      <c r="AD36" s="137">
        <f t="shared" si="21"/>
        <v>1.8849714413579659</v>
      </c>
      <c r="AE36" s="4" t="str">
        <f t="shared" si="22"/>
        <v>BSpp</v>
      </c>
      <c r="AF36" s="4" t="str">
        <f t="shared" si="23"/>
        <v>7-18_2001_a</v>
      </c>
      <c r="AG36" s="4" t="str">
        <f t="shared" si="24"/>
        <v>7-18</v>
      </c>
      <c r="AH36" s="4" t="str">
        <f t="shared" si="25"/>
        <v>BSpp_7-18</v>
      </c>
    </row>
    <row r="37" spans="1:34" s="4" customFormat="1">
      <c r="A37" s="4" t="s">
        <v>311</v>
      </c>
      <c r="B37" s="71">
        <f t="shared" si="1"/>
        <v>44167.416666666664</v>
      </c>
      <c r="C37" s="44">
        <v>1</v>
      </c>
      <c r="D37" s="186">
        <v>442.2</v>
      </c>
      <c r="E37" s="187">
        <v>82.778000000000006</v>
      </c>
      <c r="F37" s="72">
        <f t="shared" si="2"/>
        <v>4.3834163481171213E-3</v>
      </c>
      <c r="G37" s="72">
        <f t="shared" si="3"/>
        <v>4.4530735301275323E-3</v>
      </c>
      <c r="H37" s="96">
        <v>0.41666666666666669</v>
      </c>
      <c r="I37" s="73">
        <f>jar_information!M22</f>
        <v>44165.4375</v>
      </c>
      <c r="J37" s="74">
        <f t="shared" si="4"/>
        <v>1.9791666666642413</v>
      </c>
      <c r="K37" s="74">
        <f t="shared" si="5"/>
        <v>47.499999999941792</v>
      </c>
      <c r="L37" s="75">
        <f>jar_information!H22</f>
        <v>368.18572718286885</v>
      </c>
      <c r="M37" s="74">
        <f t="shared" si="6"/>
        <v>1.6139113356767776</v>
      </c>
      <c r="N37" s="74">
        <f t="shared" si="7"/>
        <v>2.9534577442885031</v>
      </c>
      <c r="O37" s="76">
        <f t="shared" si="8"/>
        <v>0.80548847571504623</v>
      </c>
      <c r="P37" s="77">
        <f t="shared" si="9"/>
        <v>0.41942381755463015</v>
      </c>
      <c r="Q37" s="78"/>
      <c r="R37" s="78">
        <f t="shared" si="10"/>
        <v>0</v>
      </c>
      <c r="S37" s="78">
        <f t="shared" si="11"/>
        <v>0</v>
      </c>
      <c r="T37" s="188">
        <f t="shared" si="12"/>
        <v>4383.4163481171217</v>
      </c>
      <c r="U37" s="142">
        <f t="shared" si="13"/>
        <v>0.43834163481171212</v>
      </c>
      <c r="V37" s="189">
        <f t="shared" si="14"/>
        <v>1.6957652120337542E-2</v>
      </c>
      <c r="W37" s="142">
        <f t="shared" si="18"/>
        <v>2.0349182544405049</v>
      </c>
      <c r="X37" s="142">
        <f t="shared" si="15"/>
        <v>2.848885556216707</v>
      </c>
      <c r="Y37" s="77">
        <f t="shared" si="16"/>
        <v>1.0595970127708902</v>
      </c>
      <c r="Z37" s="77">
        <f t="shared" si="17"/>
        <v>1.4834358178792464</v>
      </c>
      <c r="AA37" s="137">
        <f t="shared" si="19"/>
        <v>4.7370562835765471</v>
      </c>
      <c r="AB37" s="137">
        <f t="shared" si="20"/>
        <v>1.783598539288044</v>
      </c>
      <c r="AC37" s="137">
        <f>VLOOKUP(AH37,[2]summary!$B$2:$K$24,10,FALSE)*(12/44)</f>
        <v>1.2919244409754218</v>
      </c>
      <c r="AD37" s="137">
        <f t="shared" si="21"/>
        <v>1.1952223736724985</v>
      </c>
      <c r="AE37" s="4" t="str">
        <f t="shared" si="22"/>
        <v>BSpp</v>
      </c>
      <c r="AF37" s="4" t="str">
        <f t="shared" si="23"/>
        <v>7-18_2001_b</v>
      </c>
      <c r="AG37" s="4" t="str">
        <f t="shared" si="24"/>
        <v>7-18</v>
      </c>
      <c r="AH37" s="4" t="str">
        <f t="shared" si="25"/>
        <v>BSpp_7-18</v>
      </c>
    </row>
    <row r="38" spans="1:34" s="4" customFormat="1">
      <c r="A38" s="4" t="s">
        <v>312</v>
      </c>
      <c r="B38" s="71">
        <f t="shared" si="1"/>
        <v>44167.416666666664</v>
      </c>
      <c r="C38" s="44">
        <v>1</v>
      </c>
      <c r="D38" s="186">
        <v>139.59</v>
      </c>
      <c r="E38" s="187">
        <v>29.042999999999999</v>
      </c>
      <c r="F38" s="72">
        <f t="shared" si="2"/>
        <v>1.3376352197053756E-3</v>
      </c>
      <c r="G38" s="72">
        <f t="shared" si="3"/>
        <v>1.4212720224326513E-3</v>
      </c>
      <c r="H38" s="96">
        <v>0.41666666666666669</v>
      </c>
      <c r="I38" s="73">
        <f>jar_information!M23</f>
        <v>44165.4375</v>
      </c>
      <c r="J38" s="74">
        <f t="shared" si="4"/>
        <v>1.9791666666642413</v>
      </c>
      <c r="K38" s="74">
        <f t="shared" si="5"/>
        <v>47.499999999941792</v>
      </c>
      <c r="L38" s="75">
        <f>jar_information!H23</f>
        <v>389.7787371829466</v>
      </c>
      <c r="M38" s="74">
        <f t="shared" si="6"/>
        <v>0.52138176674819459</v>
      </c>
      <c r="N38" s="74">
        <f t="shared" si="7"/>
        <v>0.95412863314919616</v>
      </c>
      <c r="O38" s="76">
        <f t="shared" si="8"/>
        <v>0.26021689994978076</v>
      </c>
      <c r="P38" s="77">
        <f t="shared" si="9"/>
        <v>0.13179230470445211</v>
      </c>
      <c r="Q38" s="78"/>
      <c r="R38" s="78">
        <f t="shared" si="10"/>
        <v>0</v>
      </c>
      <c r="S38" s="78">
        <f t="shared" si="11"/>
        <v>0</v>
      </c>
      <c r="T38" s="188">
        <f t="shared" si="12"/>
        <v>1337.6352197053757</v>
      </c>
      <c r="U38" s="142">
        <f t="shared" si="13"/>
        <v>0.13376352197053754</v>
      </c>
      <c r="V38" s="189">
        <f t="shared" si="14"/>
        <v>5.4782505252652554E-3</v>
      </c>
      <c r="W38" s="142">
        <f t="shared" si="18"/>
        <v>0.65739006303183067</v>
      </c>
      <c r="X38" s="142">
        <f t="shared" si="15"/>
        <v>0.92034608824456288</v>
      </c>
      <c r="Y38" s="77">
        <f t="shared" si="16"/>
        <v>0.33294898030639231</v>
      </c>
      <c r="Z38" s="77">
        <f t="shared" si="17"/>
        <v>0.46612857242894923</v>
      </c>
      <c r="AA38" s="137">
        <f t="shared" si="19"/>
        <v>4.0044384396609969</v>
      </c>
      <c r="AB38" s="137">
        <f t="shared" si="20"/>
        <v>3.0503098065118008</v>
      </c>
      <c r="AC38" s="137">
        <f>VLOOKUP(AH38,[2]summary!$B$2:$K$24,10,FALSE)*(12/44)</f>
        <v>1.0921195744529992</v>
      </c>
      <c r="AD38" s="137">
        <f t="shared" si="21"/>
        <v>6.3273140353426509</v>
      </c>
      <c r="AE38" s="4" t="str">
        <f t="shared" si="22"/>
        <v>BSpp</v>
      </c>
      <c r="AF38" s="4" t="str">
        <f t="shared" si="23"/>
        <v>18-28_2001_a</v>
      </c>
      <c r="AG38" s="4" t="str">
        <f t="shared" si="24"/>
        <v>18-28</v>
      </c>
      <c r="AH38" s="4" t="str">
        <f t="shared" si="25"/>
        <v>BSpp_18-28</v>
      </c>
    </row>
    <row r="39" spans="1:34" s="4" customFormat="1">
      <c r="A39" s="4" t="s">
        <v>313</v>
      </c>
      <c r="B39" s="71">
        <f t="shared" si="1"/>
        <v>44167.416666666664</v>
      </c>
      <c r="C39" s="44">
        <v>1</v>
      </c>
      <c r="D39" s="186">
        <v>140.47999999999999</v>
      </c>
      <c r="E39" s="187">
        <v>31.259</v>
      </c>
      <c r="F39" s="72">
        <f t="shared" si="2"/>
        <v>1.3465931034642943E-3</v>
      </c>
      <c r="G39" s="72">
        <f t="shared" si="3"/>
        <v>1.5463017449794431E-3</v>
      </c>
      <c r="H39" s="96">
        <v>0.41666666666666669</v>
      </c>
      <c r="I39" s="73">
        <f>jar_information!M24</f>
        <v>44165.4375</v>
      </c>
      <c r="J39" s="74">
        <f t="shared" si="4"/>
        <v>1.9791666666642413</v>
      </c>
      <c r="K39" s="74">
        <f t="shared" si="5"/>
        <v>47.499999999941792</v>
      </c>
      <c r="L39" s="75">
        <f>jar_information!H24</f>
        <v>380.48119427385262</v>
      </c>
      <c r="M39" s="74">
        <f t="shared" si="6"/>
        <v>0.51235335220702827</v>
      </c>
      <c r="N39" s="74">
        <f t="shared" si="7"/>
        <v>0.93760663453886173</v>
      </c>
      <c r="O39" s="76">
        <f t="shared" si="8"/>
        <v>0.25571090032878047</v>
      </c>
      <c r="P39" s="77">
        <f t="shared" si="9"/>
        <v>0.13105294641554552</v>
      </c>
      <c r="Q39" s="78"/>
      <c r="R39" s="78">
        <f t="shared" si="10"/>
        <v>0</v>
      </c>
      <c r="S39" s="78">
        <f t="shared" si="11"/>
        <v>0</v>
      </c>
      <c r="T39" s="188">
        <f t="shared" si="12"/>
        <v>1346.5931034642942</v>
      </c>
      <c r="U39" s="142">
        <f t="shared" si="13"/>
        <v>0.13465931034642942</v>
      </c>
      <c r="V39" s="189">
        <f t="shared" si="14"/>
        <v>5.3833873753493435E-3</v>
      </c>
      <c r="W39" s="142">
        <f t="shared" si="18"/>
        <v>0.64600648504192115</v>
      </c>
      <c r="X39" s="142">
        <f t="shared" si="15"/>
        <v>0.90440907905868961</v>
      </c>
      <c r="Y39" s="77">
        <f t="shared" si="16"/>
        <v>0.33108112778704701</v>
      </c>
      <c r="Z39" s="77">
        <f t="shared" si="17"/>
        <v>0.46351357890186579</v>
      </c>
      <c r="AA39" s="137">
        <f t="shared" si="19"/>
        <v>4.0044384396609969</v>
      </c>
      <c r="AB39" s="137">
        <f t="shared" si="20"/>
        <v>3.0668318051221353</v>
      </c>
      <c r="AC39" s="137">
        <f>VLOOKUP(AH39,[2]summary!$B$2:$K$24,10,FALSE)*(12/44)</f>
        <v>1.0921195744529992</v>
      </c>
      <c r="AD39" s="137">
        <f t="shared" si="21"/>
        <v>6.4736863598973144</v>
      </c>
      <c r="AE39" s="4" t="str">
        <f t="shared" si="22"/>
        <v>BSpp</v>
      </c>
      <c r="AF39" s="4" t="str">
        <f t="shared" si="23"/>
        <v>18-28_2001_b</v>
      </c>
      <c r="AG39" s="4" t="str">
        <f t="shared" si="24"/>
        <v>18-28</v>
      </c>
      <c r="AH39" s="4" t="str">
        <f t="shared" si="25"/>
        <v>BSpp_18-28</v>
      </c>
    </row>
    <row r="40" spans="1:34">
      <c r="AA40" s="125"/>
      <c r="AC40" s="157"/>
      <c r="AD40" s="156"/>
    </row>
  </sheetData>
  <conditionalFormatting sqref="O18:O39">
    <cfRule type="cellIs" dxfId="14" priority="1" operator="greaterThan">
      <formula>4</formula>
    </cfRule>
    <cfRule type="cellIs" dxfId="13" priority="2" operator="between">
      <formula>2</formula>
      <formula>3.9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Methods</vt:lpstr>
      <vt:lpstr>Samples</vt:lpstr>
      <vt:lpstr>Dryweights</vt:lpstr>
      <vt:lpstr>WHC</vt:lpstr>
      <vt:lpstr>Leakage</vt:lpstr>
      <vt:lpstr>jar_information</vt:lpstr>
      <vt:lpstr>13C</vt:lpstr>
      <vt:lpstr>2001_Inc_01.12.20</vt:lpstr>
      <vt:lpstr>2001_Inc_02.12.20</vt:lpstr>
      <vt:lpstr>2001_Inc_04.12.20</vt:lpstr>
      <vt:lpstr>C development</vt:lpstr>
      <vt:lpstr>2001_Inc_07.12.20</vt:lpstr>
      <vt:lpstr>CO2 Template</vt:lpstr>
      <vt:lpstr>2001_Inc_08.12.20</vt:lpstr>
      <vt:lpstr>2001_Inc_11.12.20</vt:lpstr>
      <vt:lpstr>2001_Inc_14.12.20</vt:lpstr>
      <vt:lpstr>S01_2_flux</vt:lpstr>
      <vt:lpstr>14C</vt:lpstr>
      <vt:lpstr>Retrieval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2020-12-14T13:42:39Z</cp:lastPrinted>
  <dcterms:created xsi:type="dcterms:W3CDTF">2018-06-07T19:49:10Z</dcterms:created>
  <dcterms:modified xsi:type="dcterms:W3CDTF">2021-01-27T09:46:36Z</dcterms:modified>
</cp:coreProperties>
</file>