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5012D43E-30BE-456A-82F4-A70BB45C508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ver" sheetId="1" r:id="rId1"/>
    <sheet name="Values_Master" sheetId="13" r:id="rId2"/>
    <sheet name="CAM_calc" sheetId="12" r:id="rId3"/>
  </sheets>
  <definedNames>
    <definedName name="_xlnm._FilterDatabase" localSheetId="1" hidden="1">Values_Master!$A$1:$E$71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B26" i="12" a="1"/>
  <c r="B26" i="12" s="1"/>
  <c r="B27" i="12" a="1"/>
  <c r="B27" i="12" s="1"/>
  <c r="B11" i="12" s="1"/>
  <c r="B28" i="12" a="1"/>
  <c r="B28" i="12" s="1"/>
  <c r="D12" i="12" s="1"/>
  <c r="B29" i="12" a="1"/>
  <c r="B29" i="12" s="1"/>
  <c r="B13" i="12" s="1"/>
  <c r="B30" i="12" a="1"/>
  <c r="B30" i="12" s="1"/>
  <c r="J25" i="12"/>
  <c r="I25" i="12"/>
  <c r="H25" i="12"/>
  <c r="J24" i="12"/>
  <c r="I24" i="12"/>
  <c r="H24" i="12"/>
  <c r="B24" i="12" s="1" a="1"/>
  <c r="B24" i="12" s="1"/>
  <c r="B8" i="12" s="1"/>
  <c r="J23" i="12"/>
  <c r="I23" i="12"/>
  <c r="H23" i="12"/>
  <c r="B23" i="12" s="1" a="1"/>
  <c r="B23" i="12" s="1"/>
  <c r="B7" i="12" s="1"/>
  <c r="J22" i="12"/>
  <c r="I22" i="12"/>
  <c r="H22" i="12"/>
  <c r="B22" i="12" s="1" a="1"/>
  <c r="B22" i="12" s="1"/>
  <c r="B25" i="12" l="1" a="1"/>
  <c r="B25" i="12" s="1"/>
  <c r="I13" i="12"/>
  <c r="K12" i="12"/>
  <c r="C12" i="12"/>
  <c r="E11" i="12"/>
  <c r="B6" i="12"/>
  <c r="H6" i="12"/>
  <c r="I6" i="12"/>
  <c r="J6" i="12"/>
  <c r="C6" i="12"/>
  <c r="K6" i="12"/>
  <c r="D6" i="12"/>
  <c r="L6" i="12"/>
  <c r="F6" i="12"/>
  <c r="E6" i="12"/>
  <c r="G6" i="12"/>
  <c r="B10" i="12"/>
  <c r="H10" i="12"/>
  <c r="I10" i="12"/>
  <c r="J10" i="12"/>
  <c r="G10" i="12"/>
  <c r="C10" i="12"/>
  <c r="K10" i="12"/>
  <c r="D10" i="12"/>
  <c r="L10" i="12"/>
  <c r="F10" i="12"/>
  <c r="E10" i="12"/>
  <c r="B9" i="12"/>
  <c r="J9" i="12"/>
  <c r="C9" i="12"/>
  <c r="K9" i="12"/>
  <c r="D9" i="12"/>
  <c r="L9" i="12"/>
  <c r="E9" i="12"/>
  <c r="F9" i="12"/>
  <c r="H9" i="12"/>
  <c r="G9" i="12"/>
  <c r="I9" i="12"/>
  <c r="H14" i="12"/>
  <c r="G14" i="12"/>
  <c r="I14" i="12"/>
  <c r="J14" i="12"/>
  <c r="C14" i="12"/>
  <c r="K14" i="12"/>
  <c r="D14" i="12"/>
  <c r="L14" i="12"/>
  <c r="F14" i="12"/>
  <c r="E14" i="12"/>
  <c r="K8" i="12"/>
  <c r="B12" i="12"/>
  <c r="B16" i="12" s="1"/>
  <c r="G13" i="12"/>
  <c r="I12" i="12"/>
  <c r="K11" i="12"/>
  <c r="C11" i="12"/>
  <c r="I8" i="12"/>
  <c r="K7" i="12"/>
  <c r="C7" i="12"/>
  <c r="H13" i="12"/>
  <c r="J12" i="12"/>
  <c r="L11" i="12"/>
  <c r="D11" i="12"/>
  <c r="J8" i="12"/>
  <c r="L7" i="12"/>
  <c r="D7" i="12"/>
  <c r="F13" i="12"/>
  <c r="H12" i="12"/>
  <c r="J11" i="12"/>
  <c r="H8" i="12"/>
  <c r="J7" i="12"/>
  <c r="E13" i="12"/>
  <c r="G12" i="12"/>
  <c r="I11" i="12"/>
  <c r="G8" i="12"/>
  <c r="I7" i="12"/>
  <c r="L13" i="12"/>
  <c r="D13" i="12"/>
  <c r="F12" i="12"/>
  <c r="H11" i="12"/>
  <c r="F8" i="12"/>
  <c r="H7" i="12"/>
  <c r="K13" i="12"/>
  <c r="C13" i="12"/>
  <c r="E12" i="12"/>
  <c r="G11" i="12"/>
  <c r="E8" i="12"/>
  <c r="G7" i="12"/>
  <c r="C8" i="12"/>
  <c r="C16" i="12" s="1"/>
  <c r="E7" i="12"/>
  <c r="J13" i="12"/>
  <c r="L12" i="12"/>
  <c r="F11" i="12"/>
  <c r="L8" i="12"/>
  <c r="D8" i="12"/>
  <c r="D16" i="12" s="1"/>
  <c r="F7" i="12"/>
  <c r="B14" i="12"/>
  <c r="D22" i="12"/>
  <c r="D24" i="12"/>
  <c r="D23" i="12"/>
  <c r="D26" i="12"/>
  <c r="D27" i="12"/>
  <c r="D25" i="12"/>
  <c r="D29" i="12"/>
  <c r="D30" i="12"/>
  <c r="D28" i="12"/>
  <c r="I16" i="12" l="1"/>
  <c r="K16" i="12"/>
  <c r="F16" i="12"/>
  <c r="G16" i="12"/>
  <c r="J16" i="12"/>
  <c r="E16" i="12"/>
  <c r="L16" i="12"/>
  <c r="H1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<sst xmlns="http://schemas.openxmlformats.org/spreadsheetml/2006/main" count="388" uniqueCount="157">
  <si>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</si>
  <si>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</si>
  <si>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</si>
  <si>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</si>
  <si>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</si>
  <si>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</si>
  <si>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</si>
  <si>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</si>
  <si>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</si>
  <si>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</si>
  <si>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</si>
  <si>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</si>
  <si>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</si>
  <si>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</si>
  <si>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</si>
  <si>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</si>
  <si>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</si>
  <si>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</si>
  <si>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</si>
  <si>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</si>
  <si>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</si>
  <si>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</si>
  <si>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</si>
  <si>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</si>
  <si>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</si>
  <si>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</si>
  <si>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</si>
  <si>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</si>
  <si>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</si>
  <si>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</si>
  <si>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</si>
  <si>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</si>
  <si>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</si>
  <si>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</si>
  <si>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</si>
  <si>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</si>
  <si>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</si>
  <si>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</si>
  <si>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</si>
  <si>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</si>
  <si>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Joris Baars</t>
  </si>
  <si>
    <t>Source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</si>
  <si>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</si>
  <si>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</si>
  <si>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</si>
  <si>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</si>
  <si>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</si>
  <si>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</si>
  <si>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</si>
  <si>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</si>
  <si>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</si>
  <si>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</si>
  <si>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</si>
  <si>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</si>
  <si>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</si>
  <si>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</si>
  <si>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</si>
  <si>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</si>
  <si>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</si>
  <si>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</si>
  <si>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</si>
  <si>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</si>
  <si>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</si>
  <si>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</si>
  <si>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</si>
  <si>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</si>
  <si>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</si>
  <si>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</si>
  <si>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</si>
  <si>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</si>
  <si>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</si>
  <si>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</si>
  <si>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</si>
  <si>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</si>
  <si>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</si>
  <si>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</si>
  <si>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>NMC622</t>
  </si>
  <si>
    <t>NMC532</t>
  </si>
  <si>
    <t>NMC811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</si>
  <si>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</si>
  <si>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</si>
  <si>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</si>
  <si>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</si>
  <si>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</si>
  <si>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</si>
  <si>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</si>
  <si>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</si>
  <si>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</si>
  <si>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</si>
  <si>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</si>
  <si>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</si>
  <si>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</si>
  <si>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</si>
  <si>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</si>
  <si>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</si>
  <si>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</si>
  <si>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</si>
  <si>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</si>
  <si>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</si>
  <si>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</si>
  <si>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</si>
  <si>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</si>
  <si>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</si>
  <si>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</si>
  <si>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</si>
  <si>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</si>
  <si>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</si>
  <si>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</si>
  <si>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</si>
  <si>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</si>
  <si>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</si>
  <si>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interconnects</t>
  </si>
  <si>
    <t>pack terminals</t>
  </si>
  <si>
    <t>pack heater</t>
  </si>
  <si>
    <t>busbar</t>
  </si>
  <si>
    <t>Si</t>
  </si>
  <si>
    <t xml:space="preserve">Molar weight. 0.126kg of LiFP6 in electrolyte. </t>
  </si>
  <si>
    <t>anode active material (SiO)</t>
  </si>
  <si>
    <t>v1</t>
  </si>
  <si>
    <t>Element content of battery materials</t>
  </si>
  <si>
    <t>Goods</t>
  </si>
  <si>
    <t>Goods embedded in battery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</si>
  <si>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</si>
  <si>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</si>
  <si>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</si>
  <si>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</si>
  <si>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</si>
  <si>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</si>
  <si>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>anode current collector Cu (13um)</t>
  </si>
  <si>
    <t>anode current collector Cu (14um)</t>
  </si>
  <si>
    <t>cathode current collector Al (17um)</t>
  </si>
  <si>
    <t>cathode current collector Al (18um)</t>
  </si>
  <si>
    <t>module row rack</t>
  </si>
  <si>
    <t>BatPaC</t>
  </si>
  <si>
    <t>cooling panels</t>
  </si>
  <si>
    <t>cathode active material (50%/50% NMC532/LMO - )</t>
  </si>
  <si>
    <t>battery jacket Al</t>
  </si>
  <si>
    <t>battery jacket Fe</t>
  </si>
  <si>
    <t>cooling mains Fe</t>
  </si>
  <si>
    <t>module tabs</t>
  </si>
  <si>
    <t>Molecular Weight Calculations</t>
  </si>
  <si>
    <t>Material</t>
  </si>
  <si>
    <t>MW (g/mol)</t>
  </si>
  <si>
    <t>Actual Capacity mAh/g</t>
  </si>
  <si>
    <t>Theoretical Capacity mAh/g</t>
  </si>
  <si>
    <t>Full Name</t>
  </si>
  <si>
    <t xml:space="preserve">Li(Ni1/3Mn1/3Co1/3)O2 </t>
  </si>
  <si>
    <t>Li(Ni0.6Mn0.2Co0.2)O2</t>
  </si>
  <si>
    <t>Li(Ni0.5Mn0.3Co0.2)O2</t>
  </si>
  <si>
    <t>Li(Ni0.8Mn0.1Co0.1)O2</t>
  </si>
  <si>
    <t>NMC532-LMO</t>
  </si>
  <si>
    <t>kg/kg</t>
  </si>
  <si>
    <t>Elemental content CAM</t>
  </si>
  <si>
    <t>From BatPaC V5:</t>
  </si>
  <si>
    <t>elements</t>
  </si>
  <si>
    <t>No_Rows</t>
  </si>
  <si>
    <t>Element composition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</si>
</sst>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 &quot;#,##0.00&quot; &quot;;&quot;-&quot;#,##0.00&quot; &quot;;&quot; -&quot;00&quot; &quot;;&quot; &quot;@&quot; &quot;"/>
    <numFmt numFmtId="165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6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6" fillId="0" borderId="0" xfId="1" applyAlignment="1" applyProtection="1"/>
    <xf numFmtId="0" fontId="2" fillId="0" borderId="5" xfId="0" applyFont="1" applyBorder="1"/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/>
    <xf numFmtId="165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/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/>
    <xf numFmtId="0" fontId="15" fillId="0" borderId="15" xfId="0" applyFont="1" applyBorder="1" applyAlignment="1">
      <alignment horizontal="center" wrapText="1"/>
    </xf>
    <xf numFmtId="0" fontId="5" fillId="0" borderId="16" xfId="0" applyFont="1" applyBorder="1"/>
    <xf numFmtId="0" fontId="0" fillId="0" borderId="7" xfId="0" applyBorder="1"/>
    <xf numFmtId="0" fontId="15" fillId="0" borderId="20" xfId="0" applyFont="1" applyBorder="1" applyAlignment="1">
      <alignment horizontal="center" wrapText="1"/>
    </xf>
    <xf numFmtId="0" fontId="5" fillId="0" borderId="21" xfId="0" applyFont="1" applyBorder="1"/>
    <xf numFmtId="0" fontId="14" fillId="0" borderId="22" xfId="0" applyFont="1" applyBorder="1"/>
    <xf numFmtId="0" fontId="2" fillId="0" borderId="23" xfId="0" applyFont="1" applyBorder="1"/>
    <xf numFmtId="2" fontId="2" fillId="0" borderId="24" xfId="0" applyNumberFormat="1" applyFont="1" applyBorder="1"/>
    <xf numFmtId="0" fontId="2" fillId="0" borderId="24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vertical="center" wrapText="1"/>
    </xf>
    <xf numFmtId="0" fontId="0" fillId="0" borderId="5" xfId="0" applyBorder="1"/>
    <xf numFmtId="0" fontId="2" fillId="0" borderId="26" xfId="0" applyFont="1" applyBorder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16" fillId="0" borderId="0" xfId="0" applyFont="1" applyFill="1" applyBorder="1"/>
    <xf numFmtId="0" fontId="17" fillId="0" borderId="0" xfId="0" applyFont="1"/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12" sqref="D12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124</v>
      </c>
      <c r="F1" s="13" t="s">
        <v>36</v>
      </c>
    </row>
    <row r="2" spans="1:10" x14ac:dyDescent="0.25">
      <c r="A2" s="4" t="s">
        <v>3</v>
      </c>
      <c r="B2" s="1" t="s">
        <v>118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119</v>
      </c>
      <c r="F4" t="s">
        <v>15</v>
      </c>
      <c r="J4" s="1"/>
    </row>
    <row r="5" spans="1:10" x14ac:dyDescent="0.25">
      <c r="A5" s="4" t="s">
        <v>6</v>
      </c>
      <c r="B5" s="1" t="s">
        <v>54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44714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40</v>
      </c>
      <c r="F13" t="s">
        <v>20</v>
      </c>
      <c r="J13" s="1"/>
    </row>
    <row r="14" spans="1:10" x14ac:dyDescent="0.25">
      <c r="A14" s="4" t="s">
        <v>10</v>
      </c>
      <c r="B14" s="15" t="s">
        <v>126</v>
      </c>
      <c r="F14" t="s">
        <v>21</v>
      </c>
      <c r="J14" s="1"/>
    </row>
    <row r="15" spans="1:10" x14ac:dyDescent="0.25">
      <c r="A15" s="4" t="s">
        <v>11</v>
      </c>
      <c r="B15" t="s">
        <v>123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47</v>
      </c>
      <c r="C21" s="17" t="s">
        <v>155</v>
      </c>
      <c r="D21" s="18">
        <f>COUNTA(Values_Master!A:A)</f>
        <v>71</v>
      </c>
      <c r="F21" t="s">
        <v>24</v>
      </c>
      <c r="J21" s="1"/>
    </row>
    <row r="22" spans="1:10" x14ac:dyDescent="0.25">
      <c r="A22" s="4" t="s">
        <v>45</v>
      </c>
      <c r="B22" s="4" t="s">
        <v>46</v>
      </c>
      <c r="C22" s="4" t="s">
        <v>34</v>
      </c>
      <c r="D22" s="4" t="s">
        <v>42</v>
      </c>
      <c r="E22" s="9"/>
      <c r="F22" s="9"/>
      <c r="J22" s="1"/>
    </row>
    <row r="23" spans="1:10" x14ac:dyDescent="0.25">
      <c r="A23" s="14" t="s">
        <v>122</v>
      </c>
      <c r="B23" s="9" t="s">
        <v>154</v>
      </c>
      <c r="C23" s="14" t="s">
        <v>43</v>
      </c>
      <c r="D23" s="9" t="s">
        <v>156</v>
      </c>
      <c r="E23" s="21" t="s">
        <v>23</v>
      </c>
      <c r="F23" s="9" t="s">
        <v>31</v>
      </c>
      <c r="J23" s="1"/>
    </row>
    <row r="24" spans="1:10" x14ac:dyDescent="0.25">
      <c r="A24" s="14" t="s">
        <v>120</v>
      </c>
      <c r="B24" s="9" t="s">
        <v>121</v>
      </c>
      <c r="C24" s="15" t="s">
        <v>39</v>
      </c>
      <c r="D24" s="9" t="s">
        <v>54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2"/>
      <c r="B27" s="9"/>
      <c r="F27" s="9"/>
      <c r="G27" s="11"/>
      <c r="H27" s="11"/>
      <c r="I27" s="11"/>
      <c r="J27" s="12"/>
    </row>
    <row r="28" spans="1:10" x14ac:dyDescent="0.25">
      <c r="A28" s="2"/>
      <c r="F28" s="9"/>
      <c r="G28" s="11"/>
      <c r="H28" s="11"/>
      <c r="I28" s="11"/>
      <c r="J28" s="11"/>
    </row>
    <row r="29" spans="1:10" x14ac:dyDescent="0.25">
      <c r="A29" s="2"/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71"/>
  <sheetViews>
    <sheetView tabSelected="1" topLeftCell="A43" workbookViewId="0">
      <selection activeCell="E69" sqref="E69"/>
    </sheetView>
  </sheetViews>
  <sheetFormatPr defaultRowHeight="15" x14ac:dyDescent="0.25"/>
  <cols>
    <col min="1" max="1" width="19.42578125" customWidth="1"/>
    <col min="2" max="2" width="47" bestFit="1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49</v>
      </c>
      <c r="B1" s="2" t="s">
        <v>73</v>
      </c>
      <c r="C1" s="2" t="s">
        <v>44</v>
      </c>
      <c r="D1" s="2" t="s">
        <v>48</v>
      </c>
      <c r="E1" s="2" t="s">
        <v>41</v>
      </c>
    </row>
    <row r="2" spans="1:5" x14ac:dyDescent="0.25">
      <c r="A2" t="s">
        <v>63</v>
      </c>
      <c r="B2" t="s">
        <v>125</v>
      </c>
      <c r="C2">
        <v>1</v>
      </c>
      <c r="D2" t="s">
        <v>54</v>
      </c>
      <c r="E2" t="s">
        <v>55</v>
      </c>
    </row>
    <row r="3" spans="1:5" x14ac:dyDescent="0.25">
      <c r="A3" t="s">
        <v>115</v>
      </c>
      <c r="B3" t="s">
        <v>117</v>
      </c>
      <c r="C3">
        <v>0.46743492060321917</v>
      </c>
      <c r="D3" t="s">
        <v>54</v>
      </c>
      <c r="E3" t="s">
        <v>55</v>
      </c>
    </row>
    <row r="4" spans="1:5" x14ac:dyDescent="0.25">
      <c r="A4" t="s">
        <v>74</v>
      </c>
      <c r="B4" t="s">
        <v>88</v>
      </c>
      <c r="C4">
        <v>1</v>
      </c>
      <c r="D4" t="s">
        <v>54</v>
      </c>
    </row>
    <row r="5" spans="1:5" x14ac:dyDescent="0.25">
      <c r="A5" t="s">
        <v>74</v>
      </c>
      <c r="B5" t="s">
        <v>89</v>
      </c>
      <c r="C5">
        <v>1</v>
      </c>
      <c r="D5" t="s">
        <v>54</v>
      </c>
    </row>
    <row r="6" spans="1:5" x14ac:dyDescent="0.25">
      <c r="A6" t="s">
        <v>74</v>
      </c>
      <c r="B6" t="s">
        <v>90</v>
      </c>
      <c r="C6">
        <v>1</v>
      </c>
      <c r="D6" t="s">
        <v>54</v>
      </c>
    </row>
    <row r="7" spans="1:5" x14ac:dyDescent="0.25">
      <c r="A7" t="s">
        <v>74</v>
      </c>
      <c r="B7" t="s">
        <v>128</v>
      </c>
      <c r="C7">
        <v>1</v>
      </c>
      <c r="D7" t="s">
        <v>54</v>
      </c>
    </row>
    <row r="8" spans="1:5" x14ac:dyDescent="0.25">
      <c r="A8" t="s">
        <v>74</v>
      </c>
      <c r="B8" t="s">
        <v>129</v>
      </c>
      <c r="C8">
        <v>1</v>
      </c>
      <c r="D8" t="s">
        <v>54</v>
      </c>
    </row>
    <row r="9" spans="1:5" x14ac:dyDescent="0.25">
      <c r="A9" t="s">
        <v>74</v>
      </c>
      <c r="B9" t="s">
        <v>91</v>
      </c>
      <c r="C9">
        <v>1</v>
      </c>
      <c r="D9" t="s">
        <v>54</v>
      </c>
    </row>
    <row r="10" spans="1:5" x14ac:dyDescent="0.25">
      <c r="A10" t="s">
        <v>74</v>
      </c>
      <c r="B10" t="s">
        <v>92</v>
      </c>
      <c r="C10">
        <v>1</v>
      </c>
      <c r="D10" t="s">
        <v>54</v>
      </c>
    </row>
    <row r="11" spans="1:5" x14ac:dyDescent="0.25">
      <c r="A11" t="s">
        <v>74</v>
      </c>
      <c r="B11" t="s">
        <v>93</v>
      </c>
      <c r="C11">
        <v>1</v>
      </c>
      <c r="D11" t="s">
        <v>54</v>
      </c>
    </row>
    <row r="12" spans="1:5" x14ac:dyDescent="0.25">
      <c r="A12" t="s">
        <v>74</v>
      </c>
      <c r="B12" t="s">
        <v>94</v>
      </c>
      <c r="C12">
        <v>1</v>
      </c>
      <c r="D12" t="s">
        <v>54</v>
      </c>
    </row>
    <row r="13" spans="1:5" x14ac:dyDescent="0.25">
      <c r="A13" t="s">
        <v>57</v>
      </c>
      <c r="B13" t="s">
        <v>136</v>
      </c>
      <c r="C13">
        <v>1</v>
      </c>
      <c r="D13" t="s">
        <v>54</v>
      </c>
      <c r="E13" t="s">
        <v>133</v>
      </c>
    </row>
    <row r="14" spans="1:5" x14ac:dyDescent="0.25">
      <c r="A14" t="s">
        <v>58</v>
      </c>
      <c r="B14" t="s">
        <v>137</v>
      </c>
      <c r="C14">
        <v>1</v>
      </c>
      <c r="D14" t="s">
        <v>54</v>
      </c>
      <c r="E14" t="s">
        <v>133</v>
      </c>
    </row>
    <row r="15" spans="1:5" x14ac:dyDescent="0.25">
      <c r="A15" t="s">
        <v>74</v>
      </c>
      <c r="B15" t="s">
        <v>114</v>
      </c>
      <c r="C15">
        <v>1</v>
      </c>
      <c r="D15" t="s">
        <v>54</v>
      </c>
    </row>
    <row r="16" spans="1:5" x14ac:dyDescent="0.25">
      <c r="A16" t="s">
        <v>50</v>
      </c>
      <c r="B16" t="s">
        <v>135</v>
      </c>
      <c r="C16">
        <v>6.1027515715128988E-2</v>
      </c>
      <c r="D16" t="s">
        <v>54</v>
      </c>
      <c r="E16" t="s">
        <v>55</v>
      </c>
    </row>
    <row r="17" spans="1:5" x14ac:dyDescent="0.25">
      <c r="A17" t="s">
        <v>51</v>
      </c>
      <c r="B17" t="s">
        <v>135</v>
      </c>
      <c r="C17">
        <v>5.7620124800635192E-2</v>
      </c>
      <c r="D17" t="s">
        <v>54</v>
      </c>
      <c r="E17" t="s">
        <v>55</v>
      </c>
    </row>
    <row r="18" spans="1:5" x14ac:dyDescent="0.25">
      <c r="A18" t="s">
        <v>53</v>
      </c>
      <c r="B18" t="s">
        <v>135</v>
      </c>
      <c r="C18">
        <v>0.38186068861346928</v>
      </c>
      <c r="D18" t="s">
        <v>54</v>
      </c>
      <c r="E18" t="s">
        <v>55</v>
      </c>
    </row>
    <row r="19" spans="1:5" x14ac:dyDescent="0.25">
      <c r="A19" t="s">
        <v>52</v>
      </c>
      <c r="B19" t="s">
        <v>135</v>
      </c>
      <c r="C19">
        <v>0.15199921294905916</v>
      </c>
      <c r="D19" t="s">
        <v>54</v>
      </c>
      <c r="E19" t="s">
        <v>55</v>
      </c>
    </row>
    <row r="20" spans="1:5" x14ac:dyDescent="0.25">
      <c r="A20" t="s">
        <v>58</v>
      </c>
      <c r="B20" t="s">
        <v>66</v>
      </c>
      <c r="C20">
        <v>0.35401876267748483</v>
      </c>
      <c r="D20" t="s">
        <v>54</v>
      </c>
      <c r="E20" t="s">
        <v>55</v>
      </c>
    </row>
    <row r="21" spans="1:5" x14ac:dyDescent="0.25">
      <c r="A21" t="s">
        <v>51</v>
      </c>
      <c r="B21" t="s">
        <v>66</v>
      </c>
      <c r="C21">
        <v>4.3990872210953352E-2</v>
      </c>
      <c r="D21" t="s">
        <v>54</v>
      </c>
      <c r="E21" t="s">
        <v>55</v>
      </c>
    </row>
    <row r="22" spans="1:5" x14ac:dyDescent="0.25">
      <c r="A22" t="s">
        <v>53</v>
      </c>
      <c r="B22" t="s">
        <v>66</v>
      </c>
      <c r="C22">
        <v>0</v>
      </c>
      <c r="D22" t="s">
        <v>54</v>
      </c>
      <c r="E22" t="s">
        <v>55</v>
      </c>
    </row>
    <row r="23" spans="1:5" x14ac:dyDescent="0.25">
      <c r="A23" t="s">
        <v>59</v>
      </c>
      <c r="B23" t="s">
        <v>66</v>
      </c>
      <c r="C23">
        <v>0.1963108519269777</v>
      </c>
      <c r="D23" t="s">
        <v>54</v>
      </c>
      <c r="E23" t="s">
        <v>55</v>
      </c>
    </row>
    <row r="24" spans="1:5" x14ac:dyDescent="0.25">
      <c r="A24" t="s">
        <v>51</v>
      </c>
      <c r="B24" t="s">
        <v>67</v>
      </c>
      <c r="C24">
        <v>4.3370071582774693E-2</v>
      </c>
      <c r="D24" t="s">
        <v>54</v>
      </c>
      <c r="E24" t="s">
        <v>55</v>
      </c>
    </row>
    <row r="25" spans="1:5" x14ac:dyDescent="0.25">
      <c r="A25" t="s">
        <v>53</v>
      </c>
      <c r="B25" t="s">
        <v>67</v>
      </c>
      <c r="C25">
        <v>0.59303488239972735</v>
      </c>
      <c r="D25" t="s">
        <v>54</v>
      </c>
      <c r="E25" t="s">
        <v>55</v>
      </c>
    </row>
    <row r="26" spans="1:5" x14ac:dyDescent="0.25">
      <c r="A26" t="s">
        <v>57</v>
      </c>
      <c r="B26" t="s">
        <v>68</v>
      </c>
      <c r="C26">
        <v>1.4037972246647903E-2</v>
      </c>
      <c r="D26" t="s">
        <v>54</v>
      </c>
      <c r="E26" t="s">
        <v>55</v>
      </c>
    </row>
    <row r="27" spans="1:5" x14ac:dyDescent="0.25">
      <c r="A27" t="s">
        <v>50</v>
      </c>
      <c r="B27" t="s">
        <v>68</v>
      </c>
      <c r="C27">
        <v>9.1985660247771758E-2</v>
      </c>
      <c r="D27" t="s">
        <v>54</v>
      </c>
      <c r="E27" t="s">
        <v>55</v>
      </c>
    </row>
    <row r="28" spans="1:5" x14ac:dyDescent="0.25">
      <c r="A28" t="s">
        <v>51</v>
      </c>
      <c r="B28" t="s">
        <v>68</v>
      </c>
      <c r="C28">
        <v>7.22190714542153E-2</v>
      </c>
      <c r="D28" t="s">
        <v>54</v>
      </c>
      <c r="E28" t="s">
        <v>55</v>
      </c>
    </row>
    <row r="29" spans="1:5" x14ac:dyDescent="0.25">
      <c r="A29" t="s">
        <v>52</v>
      </c>
      <c r="B29" t="s">
        <v>68</v>
      </c>
      <c r="C29">
        <v>0.48875869568610719</v>
      </c>
      <c r="D29" t="s">
        <v>54</v>
      </c>
      <c r="E29" t="s">
        <v>55</v>
      </c>
    </row>
    <row r="30" spans="1:5" x14ac:dyDescent="0.25">
      <c r="A30" t="s">
        <v>50</v>
      </c>
      <c r="B30" t="s">
        <v>69</v>
      </c>
      <c r="C30">
        <v>0.20354595010390092</v>
      </c>
      <c r="D30" t="s">
        <v>54</v>
      </c>
      <c r="E30" t="s">
        <v>55</v>
      </c>
    </row>
    <row r="31" spans="1:5" x14ac:dyDescent="0.25">
      <c r="A31" t="s">
        <v>51</v>
      </c>
      <c r="B31" t="s">
        <v>69</v>
      </c>
      <c r="C31">
        <v>7.1984876122741057E-2</v>
      </c>
      <c r="D31" t="s">
        <v>54</v>
      </c>
      <c r="E31" t="s">
        <v>55</v>
      </c>
    </row>
    <row r="32" spans="1:5" x14ac:dyDescent="0.25">
      <c r="A32" t="s">
        <v>53</v>
      </c>
      <c r="B32" t="s">
        <v>69</v>
      </c>
      <c r="C32">
        <v>0.18976437296297841</v>
      </c>
      <c r="D32" t="s">
        <v>54</v>
      </c>
      <c r="E32" t="s">
        <v>55</v>
      </c>
    </row>
    <row r="33" spans="1:5" x14ac:dyDescent="0.25">
      <c r="A33" t="s">
        <v>52</v>
      </c>
      <c r="B33" t="s">
        <v>69</v>
      </c>
      <c r="C33">
        <v>0.20278606364500296</v>
      </c>
      <c r="D33" t="s">
        <v>54</v>
      </c>
      <c r="E33" t="s">
        <v>55</v>
      </c>
    </row>
    <row r="34" spans="1:5" x14ac:dyDescent="0.25">
      <c r="A34" t="s">
        <v>50</v>
      </c>
      <c r="B34" t="s">
        <v>70</v>
      </c>
      <c r="C34">
        <v>0.12205503143025798</v>
      </c>
      <c r="D34" t="s">
        <v>54</v>
      </c>
      <c r="E34" t="s">
        <v>55</v>
      </c>
    </row>
    <row r="35" spans="1:5" x14ac:dyDescent="0.25">
      <c r="A35" t="s">
        <v>51</v>
      </c>
      <c r="B35" t="s">
        <v>70</v>
      </c>
      <c r="C35">
        <v>7.1870178018495698E-2</v>
      </c>
      <c r="D35" t="s">
        <v>54</v>
      </c>
      <c r="E35" t="s">
        <v>55</v>
      </c>
    </row>
    <row r="36" spans="1:5" x14ac:dyDescent="0.25">
      <c r="A36" t="s">
        <v>53</v>
      </c>
      <c r="B36" t="s">
        <v>70</v>
      </c>
      <c r="C36">
        <v>0.17068649482721124</v>
      </c>
      <c r="D36" t="s">
        <v>54</v>
      </c>
      <c r="E36" t="s">
        <v>55</v>
      </c>
    </row>
    <row r="37" spans="1:5" x14ac:dyDescent="0.25">
      <c r="A37" t="s">
        <v>52</v>
      </c>
      <c r="B37" t="s">
        <v>70</v>
      </c>
      <c r="C37">
        <v>0.30399842589811832</v>
      </c>
      <c r="D37" t="s">
        <v>54</v>
      </c>
      <c r="E37" t="s">
        <v>55</v>
      </c>
    </row>
    <row r="38" spans="1:5" x14ac:dyDescent="0.25">
      <c r="A38" t="s">
        <v>50</v>
      </c>
      <c r="B38" t="s">
        <v>71</v>
      </c>
      <c r="C38">
        <v>0.12158035898493916</v>
      </c>
      <c r="D38" t="s">
        <v>54</v>
      </c>
      <c r="E38" t="s">
        <v>55</v>
      </c>
    </row>
    <row r="39" spans="1:5" x14ac:dyDescent="0.25">
      <c r="A39" t="s">
        <v>51</v>
      </c>
      <c r="B39" t="s">
        <v>71</v>
      </c>
      <c r="C39">
        <v>7.1590674644109759E-2</v>
      </c>
      <c r="D39" t="s">
        <v>54</v>
      </c>
      <c r="E39" t="s">
        <v>55</v>
      </c>
    </row>
    <row r="40" spans="1:5" x14ac:dyDescent="0.25">
      <c r="A40" t="s">
        <v>53</v>
      </c>
      <c r="B40" t="s">
        <v>71</v>
      </c>
      <c r="C40">
        <v>0.11334846296678358</v>
      </c>
      <c r="D40" t="s">
        <v>54</v>
      </c>
      <c r="E40" t="s">
        <v>55</v>
      </c>
    </row>
    <row r="41" spans="1:5" x14ac:dyDescent="0.25">
      <c r="A41" t="s">
        <v>52</v>
      </c>
      <c r="B41" t="s">
        <v>71</v>
      </c>
      <c r="C41">
        <v>0.36337940994429546</v>
      </c>
      <c r="D41" t="s">
        <v>54</v>
      </c>
      <c r="E41" t="s">
        <v>55</v>
      </c>
    </row>
    <row r="42" spans="1:5" x14ac:dyDescent="0.25">
      <c r="A42" t="s">
        <v>50</v>
      </c>
      <c r="B42" t="s">
        <v>72</v>
      </c>
      <c r="C42">
        <v>6.0568374531065325E-2</v>
      </c>
      <c r="D42" t="s">
        <v>54</v>
      </c>
      <c r="E42" t="s">
        <v>55</v>
      </c>
    </row>
    <row r="43" spans="1:5" x14ac:dyDescent="0.25">
      <c r="A43" t="s">
        <v>51</v>
      </c>
      <c r="B43" t="s">
        <v>72</v>
      </c>
      <c r="C43">
        <v>7.132946194562928E-2</v>
      </c>
      <c r="D43" t="s">
        <v>54</v>
      </c>
      <c r="E43" t="s">
        <v>55</v>
      </c>
    </row>
    <row r="44" spans="1:5" x14ac:dyDescent="0.25">
      <c r="A44" t="s">
        <v>53</v>
      </c>
      <c r="B44" t="s">
        <v>72</v>
      </c>
      <c r="C44">
        <v>5.6467444370214295E-2</v>
      </c>
      <c r="D44" t="s">
        <v>54</v>
      </c>
      <c r="E44" t="s">
        <v>55</v>
      </c>
    </row>
    <row r="45" spans="1:5" x14ac:dyDescent="0.25">
      <c r="A45" t="s">
        <v>52</v>
      </c>
      <c r="B45" t="s">
        <v>72</v>
      </c>
      <c r="C45">
        <v>0.48273806464874869</v>
      </c>
      <c r="D45" t="s">
        <v>54</v>
      </c>
      <c r="E45" t="s">
        <v>55</v>
      </c>
    </row>
    <row r="46" spans="1:5" x14ac:dyDescent="0.25">
      <c r="A46" t="s">
        <v>57</v>
      </c>
      <c r="B46" t="s">
        <v>95</v>
      </c>
      <c r="C46">
        <v>1</v>
      </c>
      <c r="D46" t="s">
        <v>54</v>
      </c>
    </row>
    <row r="47" spans="1:5" x14ac:dyDescent="0.25">
      <c r="A47" t="s">
        <v>57</v>
      </c>
      <c r="B47" t="s">
        <v>96</v>
      </c>
      <c r="C47">
        <v>1</v>
      </c>
      <c r="D47" t="s">
        <v>54</v>
      </c>
    </row>
    <row r="48" spans="1:5" x14ac:dyDescent="0.25">
      <c r="A48" t="s">
        <v>57</v>
      </c>
      <c r="B48" t="s">
        <v>97</v>
      </c>
      <c r="C48">
        <v>1</v>
      </c>
      <c r="D48" t="s">
        <v>54</v>
      </c>
    </row>
    <row r="49" spans="1:5" x14ac:dyDescent="0.25">
      <c r="A49" t="s">
        <v>57</v>
      </c>
      <c r="B49" t="s">
        <v>98</v>
      </c>
      <c r="C49">
        <v>1</v>
      </c>
      <c r="D49" t="s">
        <v>54</v>
      </c>
    </row>
    <row r="50" spans="1:5" x14ac:dyDescent="0.25">
      <c r="A50" t="s">
        <v>57</v>
      </c>
      <c r="B50" t="s">
        <v>99</v>
      </c>
      <c r="C50">
        <v>1</v>
      </c>
      <c r="D50" t="s">
        <v>54</v>
      </c>
    </row>
    <row r="51" spans="1:5" x14ac:dyDescent="0.25">
      <c r="A51" t="s">
        <v>57</v>
      </c>
      <c r="B51" t="s">
        <v>100</v>
      </c>
      <c r="C51">
        <v>1</v>
      </c>
      <c r="D51" t="s">
        <v>54</v>
      </c>
    </row>
    <row r="52" spans="1:5" x14ac:dyDescent="0.25">
      <c r="A52" t="s">
        <v>57</v>
      </c>
      <c r="B52" t="s">
        <v>101</v>
      </c>
      <c r="C52">
        <v>1</v>
      </c>
      <c r="D52" t="s">
        <v>54</v>
      </c>
    </row>
    <row r="53" spans="1:5" x14ac:dyDescent="0.25">
      <c r="A53" t="s">
        <v>57</v>
      </c>
      <c r="B53" t="s">
        <v>130</v>
      </c>
      <c r="C53">
        <v>1</v>
      </c>
      <c r="D53" t="s">
        <v>54</v>
      </c>
    </row>
    <row r="54" spans="1:5" x14ac:dyDescent="0.25">
      <c r="A54" t="s">
        <v>57</v>
      </c>
      <c r="B54" t="s">
        <v>131</v>
      </c>
      <c r="C54">
        <v>1</v>
      </c>
      <c r="D54" t="s">
        <v>54</v>
      </c>
    </row>
    <row r="55" spans="1:5" x14ac:dyDescent="0.25">
      <c r="A55" t="s">
        <v>57</v>
      </c>
      <c r="B55" t="s">
        <v>127</v>
      </c>
      <c r="C55">
        <v>0.82</v>
      </c>
      <c r="D55" t="s">
        <v>54</v>
      </c>
      <c r="E55" t="s">
        <v>133</v>
      </c>
    </row>
    <row r="56" spans="1:5" x14ac:dyDescent="0.25">
      <c r="A56" t="s">
        <v>74</v>
      </c>
      <c r="B56" t="s">
        <v>102</v>
      </c>
      <c r="C56">
        <v>1</v>
      </c>
      <c r="D56" t="s">
        <v>54</v>
      </c>
    </row>
    <row r="57" spans="1:5" x14ac:dyDescent="0.25">
      <c r="A57" t="s">
        <v>74</v>
      </c>
      <c r="B57" t="s">
        <v>103</v>
      </c>
      <c r="C57">
        <v>1</v>
      </c>
      <c r="D57" t="s">
        <v>54</v>
      </c>
    </row>
    <row r="58" spans="1:5" x14ac:dyDescent="0.25">
      <c r="A58" t="s">
        <v>57</v>
      </c>
      <c r="B58" t="s">
        <v>104</v>
      </c>
      <c r="C58">
        <v>1</v>
      </c>
      <c r="D58" t="s">
        <v>54</v>
      </c>
    </row>
    <row r="59" spans="1:5" x14ac:dyDescent="0.25">
      <c r="A59" t="s">
        <v>58</v>
      </c>
      <c r="B59" t="s">
        <v>138</v>
      </c>
      <c r="C59">
        <v>1</v>
      </c>
      <c r="D59" t="s">
        <v>54</v>
      </c>
      <c r="E59" t="s">
        <v>133</v>
      </c>
    </row>
    <row r="60" spans="1:5" x14ac:dyDescent="0.25">
      <c r="A60" t="s">
        <v>58</v>
      </c>
      <c r="B60" t="s">
        <v>134</v>
      </c>
      <c r="C60">
        <v>1</v>
      </c>
      <c r="D60" t="s">
        <v>54</v>
      </c>
      <c r="E60" t="s">
        <v>133</v>
      </c>
    </row>
    <row r="61" spans="1:5" x14ac:dyDescent="0.25">
      <c r="A61" t="s">
        <v>51</v>
      </c>
      <c r="B61" t="s">
        <v>107</v>
      </c>
      <c r="C61">
        <v>5.7573220104670678E-3</v>
      </c>
      <c r="D61" t="s">
        <v>54</v>
      </c>
      <c r="E61" t="s">
        <v>116</v>
      </c>
    </row>
    <row r="62" spans="1:5" x14ac:dyDescent="0.25">
      <c r="A62" t="s">
        <v>51</v>
      </c>
      <c r="B62" t="s">
        <v>108</v>
      </c>
      <c r="C62">
        <v>5.7573220104670678E-3</v>
      </c>
      <c r="D62" t="s">
        <v>54</v>
      </c>
      <c r="E62" t="s">
        <v>116</v>
      </c>
    </row>
    <row r="63" spans="1:5" x14ac:dyDescent="0.25">
      <c r="A63" t="s">
        <v>51</v>
      </c>
      <c r="B63" t="s">
        <v>109</v>
      </c>
      <c r="C63">
        <v>5.7573220104670678E-3</v>
      </c>
      <c r="D63" t="s">
        <v>54</v>
      </c>
      <c r="E63" t="s">
        <v>116</v>
      </c>
    </row>
    <row r="64" spans="1:5" x14ac:dyDescent="0.25">
      <c r="A64" t="s">
        <v>58</v>
      </c>
      <c r="B64" t="s">
        <v>106</v>
      </c>
      <c r="C64">
        <v>1</v>
      </c>
      <c r="D64" t="s">
        <v>54</v>
      </c>
    </row>
    <row r="65" spans="1:5" x14ac:dyDescent="0.25">
      <c r="A65" t="s">
        <v>74</v>
      </c>
      <c r="B65" t="s">
        <v>111</v>
      </c>
      <c r="C65">
        <v>1</v>
      </c>
      <c r="D65" t="s">
        <v>54</v>
      </c>
    </row>
    <row r="66" spans="1:5" x14ac:dyDescent="0.25">
      <c r="A66" t="s">
        <v>58</v>
      </c>
      <c r="B66" t="s">
        <v>132</v>
      </c>
      <c r="C66">
        <v>1</v>
      </c>
      <c r="D66" t="s">
        <v>54</v>
      </c>
      <c r="E66" t="s">
        <v>133</v>
      </c>
    </row>
    <row r="67" spans="1:5" x14ac:dyDescent="0.25">
      <c r="A67" t="s">
        <v>74</v>
      </c>
      <c r="B67" t="s">
        <v>139</v>
      </c>
      <c r="C67">
        <v>1</v>
      </c>
      <c r="D67" t="s">
        <v>54</v>
      </c>
    </row>
    <row r="68" spans="1:5" x14ac:dyDescent="0.25">
      <c r="A68" t="s">
        <v>74</v>
      </c>
      <c r="B68" t="s">
        <v>105</v>
      </c>
      <c r="C68">
        <v>0.8</v>
      </c>
      <c r="D68" t="s">
        <v>54</v>
      </c>
      <c r="E68" t="s">
        <v>133</v>
      </c>
    </row>
    <row r="69" spans="1:5" x14ac:dyDescent="0.25">
      <c r="A69" t="s">
        <v>57</v>
      </c>
      <c r="B69" t="s">
        <v>110</v>
      </c>
      <c r="C69">
        <v>1</v>
      </c>
      <c r="D69" t="s">
        <v>54</v>
      </c>
    </row>
    <row r="70" spans="1:5" x14ac:dyDescent="0.25">
      <c r="A70" t="s">
        <v>57</v>
      </c>
      <c r="B70" t="s">
        <v>113</v>
      </c>
      <c r="C70">
        <v>1</v>
      </c>
      <c r="D70" t="s">
        <v>54</v>
      </c>
    </row>
    <row r="71" spans="1:5" x14ac:dyDescent="0.25">
      <c r="A71" t="s">
        <v>74</v>
      </c>
      <c r="B71" t="s">
        <v>112</v>
      </c>
      <c r="C71">
        <v>0.9</v>
      </c>
      <c r="D71" t="s">
        <v>54</v>
      </c>
      <c r="E71" t="s">
        <v>133</v>
      </c>
    </row>
  </sheetData>
  <autoFilter ref="A1:E71" xr:uid="{B0478C09-3B6A-4E3E-8C6B-6D4AB899ADBA}">
    <sortState xmlns:xlrd2="http://schemas.microsoft.com/office/spreadsheetml/2017/richdata2" ref="A2:E71">
      <sortCondition ref="B1:B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33"/>
  <sheetViews>
    <sheetView workbookViewId="0">
      <selection activeCell="B8" sqref="B8"/>
    </sheetView>
  </sheetViews>
  <sheetFormatPr defaultColWidth="11.42578125" defaultRowHeight="15" x14ac:dyDescent="0.25"/>
  <cols>
    <col min="1" max="1" width="36" bestFit="1" customWidth="1"/>
    <col min="2" max="2" width="81.42578125" bestFit="1" customWidth="1"/>
    <col min="3" max="3" width="28.140625" bestFit="1" customWidth="1"/>
    <col min="4" max="4" width="35.85546875" customWidth="1"/>
    <col min="5" max="5" width="29.42578125" bestFit="1" customWidth="1"/>
    <col min="9" max="9" width="21.140625" bestFit="1" customWidth="1"/>
  </cols>
  <sheetData>
    <row r="2" spans="1:15" x14ac:dyDescent="0.25">
      <c r="A2" s="2"/>
      <c r="B2" s="2"/>
      <c r="C2" s="2"/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3.25" x14ac:dyDescent="0.35">
      <c r="A3" s="64" t="s">
        <v>152</v>
      </c>
      <c r="C3" s="22"/>
    </row>
    <row r="4" spans="1:15" ht="15.75" thickBot="1" x14ac:dyDescent="0.3">
      <c r="A4" s="2" t="s">
        <v>151</v>
      </c>
      <c r="C4" s="22"/>
      <c r="O4" s="20"/>
    </row>
    <row r="5" spans="1:15" ht="15.75" x14ac:dyDescent="0.25">
      <c r="B5" s="24" t="s">
        <v>51</v>
      </c>
      <c r="C5" s="25" t="s">
        <v>52</v>
      </c>
      <c r="D5" s="25" t="s">
        <v>53</v>
      </c>
      <c r="E5" s="25" t="s">
        <v>50</v>
      </c>
      <c r="F5" s="25" t="s">
        <v>57</v>
      </c>
      <c r="G5" s="25" t="s">
        <v>58</v>
      </c>
      <c r="H5" s="25" t="s">
        <v>59</v>
      </c>
      <c r="I5" s="25" t="s">
        <v>60</v>
      </c>
      <c r="J5" s="25" t="s">
        <v>61</v>
      </c>
      <c r="K5" s="25" t="s">
        <v>62</v>
      </c>
      <c r="L5" s="25" t="s">
        <v>63</v>
      </c>
    </row>
    <row r="6" spans="1:15" x14ac:dyDescent="0.25">
      <c r="A6" s="41" t="s">
        <v>75</v>
      </c>
      <c r="B6" s="29">
        <f t="shared" ref="B6:B14" ca="1" si="0">OFFSET($F$21,  MATCH($A6, $A$22:$A$31,0), MATCH(B$5, $G$20:$Q$20, 0))*INDEX($G$21:$Q$21, MATCH(B$5, $G$20:$Q$20, 0)) /$B22</f>
        <v>7.1984876122741057E-2</v>
      </c>
      <c r="C6" s="29">
        <f t="shared" ref="C6:L6" ca="1" si="1">OFFSET($F$21,  MATCH($A6, $A$22:$A$31,0), MATCH(C$5, $G$20:$Q$20, 0))*INDEX($G$21:$Q$21, MATCH(C$5, $G$20:$Q$20, 0)) /$B22</f>
        <v>0.20278606364500296</v>
      </c>
      <c r="D6" s="29">
        <f t="shared" ca="1" si="1"/>
        <v>0.18976437296297841</v>
      </c>
      <c r="E6" s="29">
        <f t="shared" ca="1" si="1"/>
        <v>0.20354595010390092</v>
      </c>
      <c r="F6" s="29">
        <f t="shared" ca="1" si="1"/>
        <v>0</v>
      </c>
      <c r="G6" s="29">
        <f t="shared" ca="1" si="1"/>
        <v>0</v>
      </c>
      <c r="H6" s="29">
        <f t="shared" ca="1" si="1"/>
        <v>0</v>
      </c>
      <c r="I6" s="29">
        <f t="shared" ca="1" si="1"/>
        <v>0</v>
      </c>
      <c r="J6" s="29">
        <f t="shared" ca="1" si="1"/>
        <v>0.33191873716537662</v>
      </c>
      <c r="K6" s="29">
        <f t="shared" ca="1" si="1"/>
        <v>0</v>
      </c>
      <c r="L6" s="29">
        <f t="shared" ca="1" si="1"/>
        <v>0</v>
      </c>
    </row>
    <row r="7" spans="1:15" x14ac:dyDescent="0.25">
      <c r="A7" s="23" t="s">
        <v>76</v>
      </c>
      <c r="B7" s="29">
        <f t="shared" ca="1" si="0"/>
        <v>7.1590674644109759E-2</v>
      </c>
      <c r="C7" s="29">
        <f t="shared" ref="C7:L7" ca="1" si="2">OFFSET($F$21,  MATCH($A7, $A$22:$A$31,0), MATCH(C$5, $G$20:$Q$20, 0))*INDEX($G$21:$Q$21, MATCH(C$5, $G$20:$Q$20, 0)) /$B23</f>
        <v>0.36337940994429546</v>
      </c>
      <c r="D7" s="29">
        <f t="shared" ca="1" si="2"/>
        <v>0.11334846296678358</v>
      </c>
      <c r="E7" s="29">
        <f t="shared" ca="1" si="2"/>
        <v>0.12158035898493916</v>
      </c>
      <c r="F7" s="29">
        <f t="shared" ca="1" si="2"/>
        <v>0</v>
      </c>
      <c r="G7" s="29">
        <f t="shared" ca="1" si="2"/>
        <v>0</v>
      </c>
      <c r="H7" s="29">
        <f t="shared" ca="1" si="2"/>
        <v>0</v>
      </c>
      <c r="I7" s="29">
        <f t="shared" ca="1" si="2"/>
        <v>0</v>
      </c>
      <c r="J7" s="29">
        <f t="shared" ca="1" si="2"/>
        <v>0.3301010934598721</v>
      </c>
      <c r="K7" s="29">
        <f t="shared" ca="1" si="2"/>
        <v>0</v>
      </c>
      <c r="L7" s="29">
        <f t="shared" ca="1" si="2"/>
        <v>0</v>
      </c>
    </row>
    <row r="8" spans="1:15" x14ac:dyDescent="0.25">
      <c r="A8" s="23" t="s">
        <v>77</v>
      </c>
      <c r="B8" s="29">
        <f t="shared" ca="1" si="0"/>
        <v>7.1870178018495698E-2</v>
      </c>
      <c r="C8" s="29">
        <f t="shared" ref="C8:L8" ca="1" si="3">OFFSET($F$21,  MATCH($A8, $A$22:$A$31,0), MATCH(C$5, $G$20:$Q$20, 0))*INDEX($G$21:$Q$21, MATCH(C$5, $G$20:$Q$20, 0)) /$B24</f>
        <v>0.30399842589811832</v>
      </c>
      <c r="D8" s="29">
        <f t="shared" ca="1" si="3"/>
        <v>0.17068649482721124</v>
      </c>
      <c r="E8" s="29">
        <f t="shared" ca="1" si="3"/>
        <v>0.12205503143025798</v>
      </c>
      <c r="F8" s="29">
        <f t="shared" ca="1" si="3"/>
        <v>0</v>
      </c>
      <c r="G8" s="29">
        <f t="shared" ca="1" si="3"/>
        <v>0</v>
      </c>
      <c r="H8" s="29">
        <f t="shared" ca="1" si="3"/>
        <v>0</v>
      </c>
      <c r="I8" s="29">
        <f t="shared" ca="1" si="3"/>
        <v>0</v>
      </c>
      <c r="J8" s="29">
        <f t="shared" ca="1" si="3"/>
        <v>0.33138986982591673</v>
      </c>
      <c r="K8" s="29">
        <f t="shared" ca="1" si="3"/>
        <v>0</v>
      </c>
      <c r="L8" s="29">
        <f t="shared" ca="1" si="3"/>
        <v>0</v>
      </c>
    </row>
    <row r="9" spans="1:15" x14ac:dyDescent="0.25">
      <c r="A9" s="23" t="s">
        <v>78</v>
      </c>
      <c r="B9" s="29">
        <f t="shared" ca="1" si="0"/>
        <v>7.132946194562928E-2</v>
      </c>
      <c r="C9" s="29">
        <f t="shared" ref="C9:L9" ca="1" si="4">OFFSET($F$21,  MATCH($A9, $A$22:$A$31,0), MATCH(C$5, $G$20:$Q$20, 0))*INDEX($G$21:$Q$21, MATCH(C$5, $G$20:$Q$20, 0)) /$B25</f>
        <v>0.48273806464874869</v>
      </c>
      <c r="D9" s="29">
        <f t="shared" ca="1" si="4"/>
        <v>5.6467444370214295E-2</v>
      </c>
      <c r="E9" s="29">
        <f t="shared" ca="1" si="4"/>
        <v>6.0568374531065325E-2</v>
      </c>
      <c r="F9" s="29">
        <f t="shared" ca="1" si="4"/>
        <v>0</v>
      </c>
      <c r="G9" s="29">
        <f t="shared" ca="1" si="4"/>
        <v>0</v>
      </c>
      <c r="H9" s="29">
        <f t="shared" ca="1" si="4"/>
        <v>0</v>
      </c>
      <c r="I9" s="29">
        <f t="shared" ca="1" si="4"/>
        <v>0</v>
      </c>
      <c r="J9" s="29">
        <f t="shared" ca="1" si="4"/>
        <v>0.32889665450434247</v>
      </c>
      <c r="K9" s="29">
        <f t="shared" ca="1" si="4"/>
        <v>0</v>
      </c>
      <c r="L9" s="29">
        <f t="shared" ca="1" si="4"/>
        <v>0</v>
      </c>
    </row>
    <row r="10" spans="1:15" x14ac:dyDescent="0.25">
      <c r="A10" s="23" t="s">
        <v>79</v>
      </c>
      <c r="B10" s="29">
        <f t="shared" ca="1" si="0"/>
        <v>7.22190714542153E-2</v>
      </c>
      <c r="C10" s="29">
        <f t="shared" ref="C10:L10" ca="1" si="5">OFFSET($F$21,  MATCH($A10, $A$22:$A$31,0), MATCH(C$5, $G$20:$Q$20, 0))*INDEX($G$21:$Q$21, MATCH(C$5, $G$20:$Q$20, 0)) /$B26</f>
        <v>0.48875869568610719</v>
      </c>
      <c r="D10" s="29">
        <f t="shared" ca="1" si="5"/>
        <v>0</v>
      </c>
      <c r="E10" s="29">
        <f t="shared" ca="1" si="5"/>
        <v>9.1985660247771758E-2</v>
      </c>
      <c r="F10" s="29">
        <f t="shared" ca="1" si="5"/>
        <v>1.4037972246647903E-2</v>
      </c>
      <c r="G10" s="29">
        <f t="shared" ca="1" si="5"/>
        <v>0</v>
      </c>
      <c r="H10" s="29">
        <f t="shared" ca="1" si="5"/>
        <v>0</v>
      </c>
      <c r="I10" s="29">
        <f t="shared" ca="1" si="5"/>
        <v>0</v>
      </c>
      <c r="J10" s="29">
        <f t="shared" ca="1" si="5"/>
        <v>0.3329986003652578</v>
      </c>
      <c r="K10" s="29">
        <f t="shared" ca="1" si="5"/>
        <v>0</v>
      </c>
      <c r="L10" s="29">
        <f t="shared" ca="1" si="5"/>
        <v>0</v>
      </c>
    </row>
    <row r="11" spans="1:15" x14ac:dyDescent="0.25">
      <c r="A11" s="23" t="s">
        <v>65</v>
      </c>
      <c r="B11" s="29">
        <f t="shared" ca="1" si="0"/>
        <v>4.3990872210953352E-2</v>
      </c>
      <c r="C11" s="29">
        <f t="shared" ref="C11:L11" ca="1" si="6">OFFSET($F$21,  MATCH($A11, $A$22:$A$31,0), MATCH(C$5, $G$20:$Q$20, 0))*INDEX($G$21:$Q$21, MATCH(C$5, $G$20:$Q$20, 0)) /$B27</f>
        <v>0</v>
      </c>
      <c r="D11" s="29">
        <f t="shared" ca="1" si="6"/>
        <v>0</v>
      </c>
      <c r="E11" s="29">
        <f t="shared" ca="1" si="6"/>
        <v>0</v>
      </c>
      <c r="F11" s="29">
        <f t="shared" ca="1" si="6"/>
        <v>0</v>
      </c>
      <c r="G11" s="29">
        <f t="shared" ca="1" si="6"/>
        <v>0.35401876267748483</v>
      </c>
      <c r="H11" s="29">
        <f t="shared" ca="1" si="6"/>
        <v>0.1963108519269777</v>
      </c>
      <c r="I11" s="29">
        <f t="shared" ca="1" si="6"/>
        <v>0</v>
      </c>
      <c r="J11" s="29">
        <f t="shared" ca="1" si="6"/>
        <v>0.40567951318458423</v>
      </c>
      <c r="K11" s="29">
        <f t="shared" ca="1" si="6"/>
        <v>0</v>
      </c>
      <c r="L11" s="29">
        <f t="shared" ca="1" si="6"/>
        <v>0</v>
      </c>
    </row>
    <row r="12" spans="1:15" x14ac:dyDescent="0.25">
      <c r="A12" s="23" t="s">
        <v>82</v>
      </c>
      <c r="B12" s="29">
        <f t="shared" ca="1" si="0"/>
        <v>4.3370071582774693E-2</v>
      </c>
      <c r="C12" s="29">
        <f t="shared" ref="C12:L12" ca="1" si="7">OFFSET($F$21,  MATCH($A12, $A$22:$A$31,0), MATCH(C$5, $G$20:$Q$20, 0))*INDEX($G$21:$Q$21, MATCH(C$5, $G$20:$Q$20, 0)) /$B28</f>
        <v>0</v>
      </c>
      <c r="D12" s="29">
        <f t="shared" ca="1" si="7"/>
        <v>0.59303488239972735</v>
      </c>
      <c r="E12" s="29">
        <f t="shared" ca="1" si="7"/>
        <v>0</v>
      </c>
      <c r="F12" s="29">
        <f t="shared" ca="1" si="7"/>
        <v>0</v>
      </c>
      <c r="G12" s="29">
        <f t="shared" ca="1" si="7"/>
        <v>0</v>
      </c>
      <c r="H12" s="29">
        <f t="shared" ca="1" si="7"/>
        <v>0</v>
      </c>
      <c r="I12" s="29">
        <f t="shared" ca="1" si="7"/>
        <v>0</v>
      </c>
      <c r="J12" s="29">
        <f t="shared" ca="1" si="7"/>
        <v>0.36359504601749804</v>
      </c>
      <c r="K12" s="29">
        <f t="shared" ca="1" si="7"/>
        <v>0</v>
      </c>
      <c r="L12" s="29">
        <f t="shared" ca="1" si="7"/>
        <v>0</v>
      </c>
    </row>
    <row r="13" spans="1:15" x14ac:dyDescent="0.25">
      <c r="A13" s="23" t="s">
        <v>84</v>
      </c>
      <c r="B13" s="29">
        <f t="shared" ca="1" si="0"/>
        <v>6.0445063798284203E-2</v>
      </c>
      <c r="C13" s="29">
        <f t="shared" ref="C13:L13" ca="1" si="8">OFFSET($F$21,  MATCH($A13, $A$22:$A$31,0), MATCH(C$5, $G$20:$Q$20, 0))*INDEX($G$21:$Q$21, MATCH(C$5, $G$20:$Q$20, 0)) /$B29</f>
        <v>0</v>
      </c>
      <c r="D13" s="29">
        <f t="shared" ca="1" si="8"/>
        <v>0</v>
      </c>
      <c r="E13" s="29">
        <f t="shared" ca="1" si="8"/>
        <v>0</v>
      </c>
      <c r="F13" s="29">
        <f t="shared" ca="1" si="8"/>
        <v>0</v>
      </c>
      <c r="G13" s="29">
        <f t="shared" ca="1" si="8"/>
        <v>0</v>
      </c>
      <c r="H13" s="29">
        <f t="shared" ca="1" si="8"/>
        <v>0</v>
      </c>
      <c r="I13" s="29">
        <f t="shared" ca="1" si="8"/>
        <v>0.5214910943692026</v>
      </c>
      <c r="J13" s="29">
        <f t="shared" ca="1" si="8"/>
        <v>0.41806384183251316</v>
      </c>
      <c r="K13" s="29">
        <f t="shared" ca="1" si="8"/>
        <v>0</v>
      </c>
      <c r="L13" s="29">
        <f t="shared" ca="1" si="8"/>
        <v>0</v>
      </c>
    </row>
    <row r="14" spans="1:15" x14ac:dyDescent="0.25">
      <c r="A14" s="23" t="s">
        <v>86</v>
      </c>
      <c r="B14" s="29">
        <f t="shared" ca="1" si="0"/>
        <v>0</v>
      </c>
      <c r="C14" s="29">
        <f t="shared" ref="C14:L14" ca="1" si="9">OFFSET($F$21,  MATCH($A14, $A$22:$A$31,0), MATCH(C$5, $G$20:$Q$20, 0))*INDEX($G$21:$Q$21, MATCH(C$5, $G$20:$Q$20, 0)) /$B30</f>
        <v>0</v>
      </c>
      <c r="D14" s="29">
        <f t="shared" ca="1" si="9"/>
        <v>0</v>
      </c>
      <c r="E14" s="29">
        <f t="shared" ca="1" si="9"/>
        <v>0</v>
      </c>
      <c r="F14" s="29">
        <f t="shared" ca="1" si="9"/>
        <v>0</v>
      </c>
      <c r="G14" s="29">
        <f t="shared" ca="1" si="9"/>
        <v>0</v>
      </c>
      <c r="H14" s="29">
        <f t="shared" ca="1" si="9"/>
        <v>0</v>
      </c>
      <c r="I14" s="29">
        <f t="shared" ca="1" si="9"/>
        <v>0</v>
      </c>
      <c r="J14" s="29">
        <f t="shared" ca="1" si="9"/>
        <v>0</v>
      </c>
      <c r="K14" s="29">
        <f t="shared" ca="1" si="9"/>
        <v>0</v>
      </c>
      <c r="L14" s="29">
        <f t="shared" ca="1" si="9"/>
        <v>1</v>
      </c>
    </row>
    <row r="15" spans="1:15" x14ac:dyDescent="0.25">
      <c r="A15" s="5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5" x14ac:dyDescent="0.25">
      <c r="A16" s="54" t="s">
        <v>150</v>
      </c>
      <c r="B16" s="29">
        <f ca="1">(B8*0.5)+(B12*0.5)</f>
        <v>5.7620124800635192E-2</v>
      </c>
      <c r="C16" s="29">
        <f t="shared" ref="C16:L16" ca="1" si="10">(C8*0.5)+(C12*0.5)</f>
        <v>0.15199921294905916</v>
      </c>
      <c r="D16" s="29">
        <f t="shared" ca="1" si="10"/>
        <v>0.38186068861346928</v>
      </c>
      <c r="E16" s="29">
        <f t="shared" ca="1" si="10"/>
        <v>6.1027515715128988E-2</v>
      </c>
      <c r="F16" s="29">
        <f t="shared" ca="1" si="10"/>
        <v>0</v>
      </c>
      <c r="G16" s="29">
        <f t="shared" ca="1" si="10"/>
        <v>0</v>
      </c>
      <c r="H16" s="29">
        <f t="shared" ca="1" si="10"/>
        <v>0</v>
      </c>
      <c r="I16" s="29">
        <f t="shared" ca="1" si="10"/>
        <v>0</v>
      </c>
      <c r="J16" s="29">
        <f t="shared" ca="1" si="10"/>
        <v>0.34749245792170735</v>
      </c>
      <c r="K16" s="29">
        <f t="shared" ca="1" si="10"/>
        <v>0</v>
      </c>
      <c r="L16" s="29">
        <f t="shared" ca="1" si="10"/>
        <v>0</v>
      </c>
    </row>
    <row r="18" spans="1:18" ht="18.75" thickBot="1" x14ac:dyDescent="0.3">
      <c r="A18" s="63" t="s">
        <v>153</v>
      </c>
    </row>
    <row r="19" spans="1:18" ht="16.5" customHeight="1" thickBot="1" x14ac:dyDescent="0.3">
      <c r="A19" s="65" t="s">
        <v>140</v>
      </c>
      <c r="B19" s="66"/>
      <c r="C19" s="66"/>
      <c r="D19" s="67"/>
      <c r="E19" s="30"/>
      <c r="F19" s="31"/>
      <c r="G19" s="32"/>
      <c r="H19" s="33"/>
      <c r="I19" s="33"/>
      <c r="J19" s="33"/>
      <c r="K19" s="33"/>
      <c r="L19" s="33"/>
      <c r="M19" s="33"/>
      <c r="N19" s="33"/>
      <c r="O19" s="33"/>
      <c r="P19" s="34"/>
      <c r="Q19" s="33"/>
      <c r="R19" s="34"/>
    </row>
    <row r="20" spans="1:18" ht="16.5" thickBot="1" x14ac:dyDescent="0.3">
      <c r="A20" s="55" t="s">
        <v>141</v>
      </c>
      <c r="B20" s="56" t="s">
        <v>142</v>
      </c>
      <c r="C20" s="57" t="s">
        <v>143</v>
      </c>
      <c r="D20" s="58" t="s">
        <v>144</v>
      </c>
      <c r="E20" s="35" t="s">
        <v>145</v>
      </c>
      <c r="F20" s="36" t="s">
        <v>56</v>
      </c>
      <c r="G20" s="24" t="s">
        <v>51</v>
      </c>
      <c r="H20" s="25" t="s">
        <v>52</v>
      </c>
      <c r="I20" s="25" t="s">
        <v>53</v>
      </c>
      <c r="J20" s="25" t="s">
        <v>50</v>
      </c>
      <c r="K20" s="25" t="s">
        <v>57</v>
      </c>
      <c r="L20" s="25" t="s">
        <v>58</v>
      </c>
      <c r="M20" s="25" t="s">
        <v>59</v>
      </c>
      <c r="N20" s="25" t="s">
        <v>60</v>
      </c>
      <c r="O20" s="25" t="s">
        <v>61</v>
      </c>
      <c r="P20" s="25" t="s">
        <v>62</v>
      </c>
      <c r="Q20" s="25" t="s">
        <v>63</v>
      </c>
      <c r="R20" s="37"/>
    </row>
    <row r="21" spans="1:18" ht="16.5" thickBot="1" x14ac:dyDescent="0.3">
      <c r="A21" s="59"/>
      <c r="B21" s="60"/>
      <c r="C21" s="61"/>
      <c r="D21" s="62"/>
      <c r="E21" s="38"/>
      <c r="F21" s="39" t="s">
        <v>64</v>
      </c>
      <c r="G21" s="26">
        <v>6.94</v>
      </c>
      <c r="H21" s="27">
        <v>58.71</v>
      </c>
      <c r="I21" s="27">
        <v>54.94</v>
      </c>
      <c r="J21" s="27">
        <v>58.93</v>
      </c>
      <c r="K21" s="27">
        <v>26.98</v>
      </c>
      <c r="L21" s="27">
        <v>55.85</v>
      </c>
      <c r="M21" s="27">
        <v>30.97</v>
      </c>
      <c r="N21" s="27">
        <v>47.9</v>
      </c>
      <c r="O21" s="27">
        <v>16</v>
      </c>
      <c r="P21" s="28"/>
      <c r="Q21" s="27">
        <v>12</v>
      </c>
      <c r="R21" s="40"/>
    </row>
    <row r="22" spans="1:18" x14ac:dyDescent="0.25">
      <c r="A22" s="41" t="s">
        <v>75</v>
      </c>
      <c r="B22" s="42" cm="1">
        <f t="array" ref="B22">SUM($G$21:$AJ$21*G22:AJ22)</f>
        <v>96.409140000000008</v>
      </c>
      <c r="C22" s="43">
        <v>155</v>
      </c>
      <c r="D22" s="44">
        <f>G22/3600*1000*96485/B22</f>
        <v>277.99634857119241</v>
      </c>
      <c r="E22" s="44" t="s">
        <v>146</v>
      </c>
      <c r="F22" s="45"/>
      <c r="G22" s="46">
        <v>1</v>
      </c>
      <c r="H22" s="46">
        <f>0.333*(2-G22)</f>
        <v>0.33300000000000002</v>
      </c>
      <c r="I22" s="46">
        <f>0.333*(2-G22)</f>
        <v>0.33300000000000002</v>
      </c>
      <c r="J22" s="46">
        <f>0.333*(2-G22)</f>
        <v>0.33300000000000002</v>
      </c>
      <c r="K22" s="46"/>
      <c r="L22" s="46"/>
      <c r="M22" s="46"/>
      <c r="N22" s="46"/>
      <c r="O22" s="46">
        <v>2</v>
      </c>
      <c r="P22" s="47"/>
      <c r="Q22" s="47"/>
      <c r="R22" s="47"/>
    </row>
    <row r="23" spans="1:18" x14ac:dyDescent="0.25">
      <c r="A23" s="23" t="s">
        <v>76</v>
      </c>
      <c r="B23" s="42" cm="1">
        <f t="array" ref="B23">SUM($G$21:$AJ$21*G23:AJ23)</f>
        <v>96.94</v>
      </c>
      <c r="C23" s="48">
        <v>180</v>
      </c>
      <c r="D23" s="44">
        <f t="shared" ref="D23:D29" si="11">G23/3600*1000*96485/B23</f>
        <v>276.47399307704654</v>
      </c>
      <c r="E23" s="44" t="s">
        <v>147</v>
      </c>
      <c r="F23" s="49"/>
      <c r="G23" s="50">
        <v>1</v>
      </c>
      <c r="H23" s="50">
        <f>0.6*(2-G23)</f>
        <v>0.6</v>
      </c>
      <c r="I23" s="50">
        <f>0.2*(2-G23)</f>
        <v>0.2</v>
      </c>
      <c r="J23" s="50">
        <f>0.2*(2-G23)</f>
        <v>0.2</v>
      </c>
      <c r="K23" s="50"/>
      <c r="L23" s="50"/>
      <c r="M23" s="50"/>
      <c r="N23" s="50"/>
      <c r="O23" s="50">
        <v>2</v>
      </c>
      <c r="P23" s="50"/>
      <c r="Q23" s="50"/>
      <c r="R23" s="50"/>
    </row>
    <row r="24" spans="1:18" x14ac:dyDescent="0.25">
      <c r="A24" s="23" t="s">
        <v>77</v>
      </c>
      <c r="B24" s="42" cm="1">
        <f t="array" ref="B24">SUM($G$21:$AJ$21*G24:AJ24)</f>
        <v>96.563000000000002</v>
      </c>
      <c r="C24" s="51">
        <v>161</v>
      </c>
      <c r="D24" s="44">
        <f t="shared" si="11"/>
        <v>277.55339922008318</v>
      </c>
      <c r="E24" s="44" t="s">
        <v>148</v>
      </c>
      <c r="F24" s="50"/>
      <c r="G24" s="50">
        <v>1</v>
      </c>
      <c r="H24" s="50">
        <f>0.5*(2-G24)</f>
        <v>0.5</v>
      </c>
      <c r="I24" s="50">
        <f>0.3*(2-G24)</f>
        <v>0.3</v>
      </c>
      <c r="J24" s="50">
        <f>0.2*(2-G24)</f>
        <v>0.2</v>
      </c>
      <c r="K24" s="50"/>
      <c r="L24" s="50"/>
      <c r="M24" s="50"/>
      <c r="N24" s="50"/>
      <c r="O24" s="52">
        <v>2</v>
      </c>
      <c r="P24" s="50"/>
      <c r="Q24" s="50"/>
      <c r="R24" s="50"/>
    </row>
    <row r="25" spans="1:18" x14ac:dyDescent="0.25">
      <c r="A25" s="23" t="s">
        <v>78</v>
      </c>
      <c r="B25" s="42" cm="1">
        <f t="array" ref="B25">SUM($G$21:$AJ$21*G25:AJ25)</f>
        <v>97.295000000000002</v>
      </c>
      <c r="C25" s="51">
        <v>212</v>
      </c>
      <c r="D25" s="44">
        <f t="shared" si="11"/>
        <v>275.46522317579411</v>
      </c>
      <c r="E25" s="44" t="s">
        <v>149</v>
      </c>
      <c r="F25" s="50"/>
      <c r="G25" s="50">
        <v>1</v>
      </c>
      <c r="H25" s="50">
        <f>0.8*(2-G25)</f>
        <v>0.8</v>
      </c>
      <c r="I25" s="50">
        <f>0.1*(2-G25)</f>
        <v>0.1</v>
      </c>
      <c r="J25" s="50">
        <f>0.1*(2-G25)</f>
        <v>0.1</v>
      </c>
      <c r="K25" s="50"/>
      <c r="L25" s="50"/>
      <c r="M25" s="50"/>
      <c r="N25" s="50"/>
      <c r="O25" s="52">
        <v>2</v>
      </c>
      <c r="P25" s="50"/>
      <c r="Q25" s="50"/>
      <c r="R25" s="50"/>
    </row>
    <row r="26" spans="1:18" x14ac:dyDescent="0.25">
      <c r="A26" s="23" t="s">
        <v>79</v>
      </c>
      <c r="B26" s="42" cm="1">
        <f t="array" ref="B26">SUM($G$21:$AJ$21*G26:AJ26)</f>
        <v>96.096500000000006</v>
      </c>
      <c r="C26" s="51">
        <v>200</v>
      </c>
      <c r="D26" s="44">
        <f t="shared" si="11"/>
        <v>278.90078087015542</v>
      </c>
      <c r="E26" s="44" t="s">
        <v>80</v>
      </c>
      <c r="F26" s="50"/>
      <c r="G26" s="50">
        <v>1</v>
      </c>
      <c r="H26" s="50">
        <v>0.8</v>
      </c>
      <c r="I26" s="50"/>
      <c r="J26" s="50">
        <v>0.15</v>
      </c>
      <c r="K26" s="50">
        <v>0.05</v>
      </c>
      <c r="L26" s="50"/>
      <c r="M26" s="50"/>
      <c r="N26" s="50"/>
      <c r="O26" s="52">
        <v>2</v>
      </c>
      <c r="P26" s="50"/>
      <c r="Q26" s="50"/>
      <c r="R26" s="50"/>
    </row>
    <row r="27" spans="1:18" x14ac:dyDescent="0.25">
      <c r="A27" s="23" t="s">
        <v>65</v>
      </c>
      <c r="B27" s="42" cm="1">
        <f t="array" ref="B27">SUM($G$21:$AJ$21*G27:AJ27)</f>
        <v>157.76</v>
      </c>
      <c r="C27" s="51">
        <v>150</v>
      </c>
      <c r="D27" s="44">
        <f t="shared" si="11"/>
        <v>169.88709995492451</v>
      </c>
      <c r="E27" s="44" t="s">
        <v>81</v>
      </c>
      <c r="F27" s="50"/>
      <c r="G27" s="50">
        <v>1</v>
      </c>
      <c r="H27" s="50"/>
      <c r="I27" s="50"/>
      <c r="J27" s="50"/>
      <c r="K27" s="50"/>
      <c r="L27" s="50">
        <v>1</v>
      </c>
      <c r="M27" s="50">
        <v>1</v>
      </c>
      <c r="N27" s="50"/>
      <c r="O27" s="52">
        <v>4</v>
      </c>
      <c r="P27" s="50"/>
      <c r="Q27" s="50"/>
      <c r="R27" s="50"/>
    </row>
    <row r="28" spans="1:18" x14ac:dyDescent="0.25">
      <c r="A28" s="23" t="s">
        <v>82</v>
      </c>
      <c r="B28" s="42" cm="1">
        <f t="array" ref="B28">SUM($G$21:$AJ$21*G28:AJ28)</f>
        <v>176.01999999999998</v>
      </c>
      <c r="C28" s="51">
        <v>108</v>
      </c>
      <c r="D28" s="44">
        <f t="shared" si="11"/>
        <v>167.48964764105094</v>
      </c>
      <c r="E28" s="44" t="s">
        <v>83</v>
      </c>
      <c r="F28" s="50"/>
      <c r="G28" s="50">
        <v>1.1000000000000001</v>
      </c>
      <c r="H28" s="50"/>
      <c r="I28" s="50">
        <v>1.9</v>
      </c>
      <c r="J28" s="50"/>
      <c r="K28" s="50"/>
      <c r="L28" s="50"/>
      <c r="M28" s="50"/>
      <c r="N28" s="50"/>
      <c r="O28" s="52">
        <v>4</v>
      </c>
      <c r="P28" s="50"/>
      <c r="Q28" s="50"/>
      <c r="R28" s="50"/>
    </row>
    <row r="29" spans="1:18" x14ac:dyDescent="0.25">
      <c r="A29" s="23" t="s">
        <v>84</v>
      </c>
      <c r="B29" s="42" cm="1">
        <f t="array" ref="B29">SUM($G$21:$AJ$21*G29:AJ29)</f>
        <v>459.26</v>
      </c>
      <c r="C29" s="51">
        <v>170</v>
      </c>
      <c r="D29" s="44">
        <f t="shared" si="11"/>
        <v>233.43107511116921</v>
      </c>
      <c r="E29" s="44" t="s">
        <v>85</v>
      </c>
      <c r="F29" s="50"/>
      <c r="G29" s="50">
        <v>4</v>
      </c>
      <c r="H29" s="50"/>
      <c r="I29" s="50"/>
      <c r="J29" s="50"/>
      <c r="K29" s="50"/>
      <c r="L29" s="50"/>
      <c r="M29" s="50"/>
      <c r="N29" s="50">
        <v>5</v>
      </c>
      <c r="O29" s="52">
        <v>12</v>
      </c>
      <c r="P29" s="50"/>
      <c r="Q29" s="50"/>
      <c r="R29" s="50"/>
    </row>
    <row r="30" spans="1:18" x14ac:dyDescent="0.25">
      <c r="A30" s="23" t="s">
        <v>86</v>
      </c>
      <c r="B30" s="42" cm="1">
        <f t="array" ref="B30">SUM($G$21:$AJ$21*G30:AJ30)</f>
        <v>72</v>
      </c>
      <c r="C30" s="51">
        <v>360</v>
      </c>
      <c r="D30" s="44">
        <f>1/3600*1000*96485/B30</f>
        <v>372.24151234567904</v>
      </c>
      <c r="E30" s="44" t="s">
        <v>87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>
        <v>6</v>
      </c>
      <c r="R30" s="50"/>
    </row>
    <row r="31" spans="1:18" x14ac:dyDescent="0.25">
      <c r="A31" s="5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x14ac:dyDescent="0.25">
      <c r="A32" s="53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 spans="1:18" x14ac:dyDescent="0.25">
      <c r="A33" s="5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</sheetData>
  <mergeCells count="1">
    <mergeCell ref="A19:D19"/>
  </mergeCells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CAM_calc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2022-06-02T15:05:45Z</dcterms:modified>
</cp:coreProperties>
</file>