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 DIF &amp; GCC" sheetId="1" r:id="rId3"/>
  </sheets>
  <definedNames>
    <definedName hidden="1" localSheetId="0" name="_xlnm._FilterDatabase">'POS DIF &amp; GCC'!$A$14:$AH$88</definedName>
  </definedNames>
  <calcPr/>
</workbook>
</file>

<file path=xl/sharedStrings.xml><?xml version="1.0" encoding="utf-8"?>
<sst xmlns="http://schemas.openxmlformats.org/spreadsheetml/2006/main" count="280" uniqueCount="181">
  <si>
    <t>Premier League 2015/2016</t>
  </si>
  <si>
    <t>"Leicester City: The club was a 5000–1 underdog with bookmakers to win the division before the season kicked off. How did they do it."</t>
  </si>
  <si>
    <r>
      <t>In what was described as one of the greatest sporting stories of all time,</t>
    </r>
    <r>
      <rPr>
        <rFont val="sans-serif"/>
        <color rgb="FF1155CC"/>
        <sz val="14.0"/>
        <u/>
      </rPr>
      <t>[</t>
    </r>
    <r>
      <rPr>
        <rFont val="sans-serif"/>
        <color rgb="FF1155CC"/>
        <sz val="14.0"/>
        <u/>
      </rPr>
      <t>2</t>
    </r>
    <r>
      <rPr>
        <rFont val="sans-serif"/>
        <color rgb="FF202122"/>
        <sz val="14.0"/>
      </rPr>
      <t xml:space="preserve">] Leicester were confirmed as champions of the </t>
    </r>
    <r>
      <rPr>
        <rFont val="sans-serif"/>
        <color rgb="FF1155CC"/>
        <sz val="14.0"/>
        <u/>
      </rPr>
      <t>2015–16 Premier League</t>
    </r>
    <r>
      <rPr>
        <rFont val="sans-serif"/>
        <color rgb="FF202122"/>
        <sz val="14.0"/>
      </rPr>
      <t xml:space="preserve"> season on 2 May 2016, finishing top of England's highest league for the first time in the club's history. The club was a 5000–1 underdog with bookmakers to win the division before the season kicked off.</t>
    </r>
    <r>
      <rPr>
        <rFont val="sans-serif"/>
        <color rgb="FF1155CC"/>
        <sz val="14.0"/>
        <u/>
      </rPr>
      <t>[</t>
    </r>
    <r>
      <rPr>
        <rFont val="sans-serif"/>
        <color rgb="FF1155CC"/>
        <sz val="14.0"/>
        <u/>
      </rPr>
      <t>3</t>
    </r>
    <r>
      <rPr>
        <rFont val="sans-serif"/>
        <color rgb="FF202122"/>
        <sz val="14.0"/>
      </rPr>
      <t>]</t>
    </r>
  </si>
  <si>
    <t>A Key Performance Indicator (KPI) Analysis</t>
  </si>
  <si>
    <t>Data from:</t>
  </si>
  <si>
    <t xml:space="preserve"> www.WhoScored.com</t>
  </si>
  <si>
    <t>KPI: Posession Differential (PD) (+/-)  for the Center Midfielder (CM) position.</t>
  </si>
  <si>
    <t>*Minimum 1000 minutes at any of; CDM, CM, or CAM</t>
  </si>
  <si>
    <t>Positive Contribution (Winning Possession)</t>
  </si>
  <si>
    <t>(T+I+R+A) = PW</t>
  </si>
  <si>
    <t>Negative Contribution (Losing Posession)</t>
  </si>
  <si>
    <t>(U+D+P+L) = PL</t>
  </si>
  <si>
    <t>PD</t>
  </si>
  <si>
    <t>Scoring Contributions</t>
  </si>
  <si>
    <t>Possession Differential (PD)</t>
  </si>
  <si>
    <t>Player Name</t>
  </si>
  <si>
    <t xml:space="preserve">Team </t>
  </si>
  <si>
    <t>Nationality</t>
  </si>
  <si>
    <t>Total Minutes</t>
  </si>
  <si>
    <t>Games (Minutes / 90)</t>
  </si>
  <si>
    <t>Mins at CM, CDM, CAM</t>
  </si>
  <si>
    <t>Tackles (T)</t>
  </si>
  <si>
    <t>Interceptions Won (I)</t>
  </si>
  <si>
    <t>Recoveries (R)</t>
  </si>
  <si>
    <t>Aerials Won (A)</t>
  </si>
  <si>
    <t>Total Possessions Won (PW)</t>
  </si>
  <si>
    <t>Unsuccessful Dribbles (U)</t>
  </si>
  <si>
    <t>Dispossesed (Tackled) (D)</t>
  </si>
  <si>
    <t>Inaccurate Passes (Ints Lost) (P)</t>
  </si>
  <si>
    <t>Aerials Lost (L)</t>
  </si>
  <si>
    <t>Total Possession Lost</t>
  </si>
  <si>
    <t>Possession Diff</t>
  </si>
  <si>
    <t>Goals</t>
  </si>
  <si>
    <t>Conversion Rate %</t>
  </si>
  <si>
    <t>Assists</t>
  </si>
  <si>
    <t>Second Assists</t>
  </si>
  <si>
    <t>Pos. Diff xG</t>
  </si>
  <si>
    <t>Shots</t>
  </si>
  <si>
    <t>xG of Assists</t>
  </si>
  <si>
    <t xml:space="preserve">Key Passes </t>
  </si>
  <si>
    <t>xG of Key Passes</t>
  </si>
  <si>
    <t>Assist %</t>
  </si>
  <si>
    <t>Assist % + Conversion %</t>
  </si>
  <si>
    <t xml:space="preserve">Successful Dribbles </t>
  </si>
  <si>
    <t>xG of Successful Dribbles</t>
  </si>
  <si>
    <t>Goals Created (GC)</t>
  </si>
  <si>
    <t>(GC) per 90 min</t>
  </si>
  <si>
    <t>TOTAL PD + GC (xG)</t>
  </si>
  <si>
    <t>TOTAL PD + GC xG / per 90 min</t>
  </si>
  <si>
    <t>N'Golo Kanté</t>
  </si>
  <si>
    <t>Leicester</t>
  </si>
  <si>
    <t>France</t>
  </si>
  <si>
    <t>Idrissa Gueye</t>
  </si>
  <si>
    <t>Aston Villa</t>
  </si>
  <si>
    <t>Senegal</t>
  </si>
  <si>
    <t>Francis Coquelin</t>
  </si>
  <si>
    <t>Arsenal</t>
  </si>
  <si>
    <t>Mousa Dembélé</t>
  </si>
  <si>
    <t>Tottenham</t>
  </si>
  <si>
    <t>Belgium</t>
  </si>
  <si>
    <t>Claudio Yacob</t>
  </si>
  <si>
    <t>West Brom</t>
  </si>
  <si>
    <t>Argentina</t>
  </si>
  <si>
    <t>Yann M'Vila</t>
  </si>
  <si>
    <t>Sunderland</t>
  </si>
  <si>
    <t>Yohan Cabaye</t>
  </si>
  <si>
    <t>Crystal Palace</t>
  </si>
  <si>
    <t>Glenn Whelan</t>
  </si>
  <si>
    <t>Stoke</t>
  </si>
  <si>
    <t>Ireland</t>
  </si>
  <si>
    <t>Victor Wanyama</t>
  </si>
  <si>
    <t>Southhampton</t>
  </si>
  <si>
    <t>Kenya</t>
  </si>
  <si>
    <t>Cheikou Kouyaté</t>
  </si>
  <si>
    <t>West Ham</t>
  </si>
  <si>
    <t>Jack Colback</t>
  </si>
  <si>
    <t>Newcasatle</t>
  </si>
  <si>
    <t>England</t>
  </si>
  <si>
    <t>Nemanja Matic</t>
  </si>
  <si>
    <t>Chelsea</t>
  </si>
  <si>
    <t>Serbia</t>
  </si>
  <si>
    <t>Morgan Schneiderlin</t>
  </si>
  <si>
    <t>Manchester United</t>
  </si>
  <si>
    <t>Mark Noble</t>
  </si>
  <si>
    <t>Fernando</t>
  </si>
  <si>
    <t>Manchester City</t>
  </si>
  <si>
    <t>Brazil</t>
  </si>
  <si>
    <t>Leon Britton</t>
  </si>
  <si>
    <t>Swansea</t>
  </si>
  <si>
    <t>Oriol Romeu</t>
  </si>
  <si>
    <t>Southamption</t>
  </si>
  <si>
    <t>Spain</t>
  </si>
  <si>
    <t>James McArthur</t>
  </si>
  <si>
    <t>Scotland</t>
  </si>
  <si>
    <t>John Obi Mikel</t>
  </si>
  <si>
    <t>Nigeria</t>
  </si>
  <si>
    <t>Cheick Tioté</t>
  </si>
  <si>
    <t>Newcastle</t>
  </si>
  <si>
    <t>Ivory Coast</t>
  </si>
  <si>
    <t>Lucas Leiva</t>
  </si>
  <si>
    <t>Liverpool</t>
  </si>
  <si>
    <t>Ki Sung-yueng</t>
  </si>
  <si>
    <t>South Korea</t>
  </si>
  <si>
    <t>Alexander Tettey</t>
  </si>
  <si>
    <t>Norwich</t>
  </si>
  <si>
    <t>Norway</t>
  </si>
  <si>
    <t>Fernandinho</t>
  </si>
  <si>
    <t>James McCarthy</t>
  </si>
  <si>
    <t>Everton</t>
  </si>
  <si>
    <t>Carlos Sánchez</t>
  </si>
  <si>
    <t>Colombia</t>
  </si>
  <si>
    <t>Jordy Clasie</t>
  </si>
  <si>
    <t>Netherlands</t>
  </si>
  <si>
    <t>Santi Cazorla</t>
  </si>
  <si>
    <t>Vurnon Anita</t>
  </si>
  <si>
    <t>James Morrison</t>
  </si>
  <si>
    <t>Jack Cork</t>
  </si>
  <si>
    <t>Mile Jedinak</t>
  </si>
  <si>
    <t>Australia</t>
  </si>
  <si>
    <t>Manuel Lanzini</t>
  </si>
  <si>
    <t>Etienne Capoue</t>
  </si>
  <si>
    <t>Watford</t>
  </si>
  <si>
    <t>Andrew Surman</t>
  </si>
  <si>
    <t>Bournemouth</t>
  </si>
  <si>
    <t>South Africa</t>
  </si>
  <si>
    <t>Ashley Westwood</t>
  </si>
  <si>
    <t>Ibrahim Afellay</t>
  </si>
  <si>
    <t>Michael Carrick</t>
  </si>
  <si>
    <t>Gareth Barry</t>
  </si>
  <si>
    <t>Hary Arter</t>
  </si>
  <si>
    <t>Ben Watson</t>
  </si>
  <si>
    <t>Graham Dorrans</t>
  </si>
  <si>
    <t>Jan Kirchhoff</t>
  </si>
  <si>
    <t>Germany</t>
  </si>
  <si>
    <t>Lee Cattermole</t>
  </si>
  <si>
    <t>Giannelli Imbula</t>
  </si>
  <si>
    <t>Aaron Ramsey</t>
  </si>
  <si>
    <t>Wales</t>
  </si>
  <si>
    <t>Daniel Drinkwater</t>
  </si>
  <si>
    <t>Steven Davis</t>
  </si>
  <si>
    <t>Southampton</t>
  </si>
  <si>
    <t>Northern Ireland</t>
  </si>
  <si>
    <t>Georginio Wijnaldum</t>
  </si>
  <si>
    <t>Ander Herrera</t>
  </si>
  <si>
    <t>Darren Fletcher</t>
  </si>
  <si>
    <t>Bastian Schweinsteiger</t>
  </si>
  <si>
    <t>Gary O'Neil</t>
  </si>
  <si>
    <t>Jordan Henderson</t>
  </si>
  <si>
    <t>Jason Puncheon</t>
  </si>
  <si>
    <t>Dan Gosling</t>
  </si>
  <si>
    <t>Jonjo Shelvey</t>
  </si>
  <si>
    <t>Swansea/ Newcastle</t>
  </si>
  <si>
    <t>Emre Can</t>
  </si>
  <si>
    <t>Jordan Veretout</t>
  </si>
  <si>
    <t>Eric Dier</t>
  </si>
  <si>
    <t>Sadio Mané</t>
  </si>
  <si>
    <t>Bojan</t>
  </si>
  <si>
    <t>Yaya Touré</t>
  </si>
  <si>
    <t>David Silva</t>
  </si>
  <si>
    <t>Oscar</t>
  </si>
  <si>
    <t>Wes Hoolahan</t>
  </si>
  <si>
    <t>Dele Alli</t>
  </si>
  <si>
    <t>Jonny Howson</t>
  </si>
  <si>
    <t>Cesc Fábregas</t>
  </si>
  <si>
    <t>Cheslea</t>
  </si>
  <si>
    <t>James Milner</t>
  </si>
  <si>
    <t>Gylfi Sigurdsson</t>
  </si>
  <si>
    <t>Iceland</t>
  </si>
  <si>
    <t>Ross Barkley</t>
  </si>
  <si>
    <t>Christian Eriksen</t>
  </si>
  <si>
    <t>Denmark</t>
  </si>
  <si>
    <t>Mesut Ozil</t>
  </si>
  <si>
    <t xml:space="preserve">PD +/- CHART: N'Golo Kante of Leicester led the league in PD (+311). He and Idrissa Gueye (Aston Villa)(+288) were outliers. </t>
  </si>
  <si>
    <t xml:space="preserve">If we drill down we can see why; they were 1st and 2nd in the league in both Tackles, and Interceptions won, respectively, and were both in the top 3 in Recoveries as well.  </t>
  </si>
  <si>
    <t xml:space="preserve">This undoubtedly played a key role in the team's success as Leicester was simply getting more posessions than there opponents. </t>
  </si>
  <si>
    <t xml:space="preserve">GCC Chart: The game is about more than just keeping possession. You must also score more goals than your opponent. There is a wide range of roles for Center Midfielders. Keeping the players sorted by PD. </t>
  </si>
  <si>
    <t>We can see that there seems to be a trend between those players that focus on winning the posession battle for their teams vs creating chances or goals (GCC per 90 min). Those CM's that have the lowest PD +/ also tend to have more (GCC/90)</t>
  </si>
  <si>
    <t xml:space="preserve">They are likely playing in more advanced roles, and may take more risks in posession in order to create chances, like; David Silva (.949), Mesut Ozil (.856) or Dele Alli (.798) </t>
  </si>
  <si>
    <t xml:space="preserve">Players like Manuel Lanzini and Georgino Wijnaldum are two examples of players playing the middle ground, who are creating chances at a higher rate than their counterparts, and are well known for their tactical ability. </t>
  </si>
  <si>
    <t xml:space="preserve">Kante himself while having a historic season in terms of PD +/- was also crucially performing just better than the median at creating chance or goals (GCC), (.268) for Kante, (.258) median. That's more near as efficient as notorious attacking minded players like Santi Cazorla. </t>
  </si>
  <si>
    <t>This likely had a huge impact on Leicester City beating historic odds to win the Premier League in 2017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</si>
</sst>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
  </numFmts>
  <fonts count="21">
    <font>
      <sz val="10.0"/>
      <color rgb="FF000000"/>
      <name val="Arial"/>
    </font>
    <font>
      <b/>
      <sz val="16.0"/>
    </font>
    <font>
      <sz val="16.0"/>
    </font>
    <font>
      <b/>
      <i/>
      <sz val="16.0"/>
    </font>
    <font>
      <u/>
      <sz val="14.0"/>
      <color rgb="FF202122"/>
      <name val="Sans-serif"/>
    </font>
    <font>
      <i/>
      <sz val="14.0"/>
    </font>
    <font>
      <i/>
      <sz val="12.0"/>
    </font>
    <font>
      <sz val="14.0"/>
    </font>
    <font>
      <sz val="12.0"/>
    </font>
    <font/>
    <font>
      <u/>
      <sz val="14.0"/>
      <color rgb="FF0000FF"/>
    </font>
    <font>
      <sz val="10.0"/>
    </font>
    <font>
      <color rgb="FF000000"/>
      <name val="Arial"/>
    </font>
    <font>
      <b/>
    </font>
    <font>
      <color rgb="FF000000"/>
    </font>
    <font>
      <sz val="9.0"/>
      <color rgb="FF000000"/>
      <name val="Arial"/>
    </font>
    <font>
      <sz val="10.0"/>
      <color rgb="FF000000"/>
    </font>
    <font>
      <i/>
      <sz val="24.0"/>
    </font>
    <font>
      <sz val="24.0"/>
    </font>
    <font>
      <sz val="19.0"/>
    </font>
    <font>
      <i/>
      <sz val="19.0"/>
    </font>
  </fonts>
  <fills count="12">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
      <patternFill patternType="solid">
        <fgColor rgb="FFEA9999"/>
        <bgColor rgb="FFEA9999"/>
      </patternFill>
    </fill>
    <fill>
      <patternFill patternType="solid">
        <fgColor rgb="FFFFF2CC"/>
        <bgColor rgb="FFFFF2CC"/>
      </patternFill>
    </fill>
    <fill>
      <patternFill patternType="solid">
        <fgColor rgb="FFCFE2F3"/>
        <bgColor rgb="FFCFE2F3"/>
      </patternFill>
    </fill>
    <fill>
      <patternFill patternType="solid">
        <fgColor rgb="FFFCE5CD"/>
        <bgColor rgb="FFFCE5CD"/>
      </patternFill>
    </fill>
    <fill>
      <patternFill patternType="solid">
        <fgColor rgb="FF9FC5E8"/>
        <bgColor rgb="FF9FC5E8"/>
      </patternFill>
    </fill>
    <fill>
      <patternFill patternType="solid">
        <fgColor rgb="FFD9D2E9"/>
        <bgColor rgb="FFD9D2E9"/>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left"/>
    </xf>
    <xf borderId="0" fillId="0" fontId="2" numFmtId="0" xfId="0" applyAlignment="1" applyFont="1">
      <alignment readingOrder="0"/>
    </xf>
    <xf borderId="0" fillId="0" fontId="2" numFmtId="2" xfId="0" applyAlignment="1" applyFont="1" applyNumberFormat="1">
      <alignment horizontal="center" readingOrder="0"/>
    </xf>
    <xf borderId="0" fillId="0" fontId="2" numFmtId="1" xfId="0" applyFont="1" applyNumberFormat="1"/>
    <xf borderId="0" fillId="0" fontId="2" numFmtId="2" xfId="0" applyFont="1" applyNumberFormat="1"/>
    <xf borderId="0" fillId="0" fontId="2" numFmtId="164" xfId="0" applyFont="1" applyNumberFormat="1"/>
    <xf borderId="0" fillId="0" fontId="2" numFmtId="165" xfId="0" applyAlignment="1" applyFont="1" applyNumberFormat="1">
      <alignment readingOrder="0"/>
    </xf>
    <xf borderId="0" fillId="0" fontId="2" numFmtId="2" xfId="0" applyAlignment="1" applyFont="1" applyNumberFormat="1">
      <alignment readingOrder="0"/>
    </xf>
    <xf borderId="0" fillId="0" fontId="3" numFmtId="0" xfId="0" applyAlignment="1" applyFont="1">
      <alignment readingOrder="0"/>
    </xf>
    <xf borderId="0" fillId="0" fontId="1" numFmtId="0" xfId="0" applyFont="1"/>
    <xf borderId="0" fillId="0" fontId="1" numFmtId="2" xfId="0" applyAlignment="1" applyFont="1" applyNumberFormat="1">
      <alignment horizontal="center" readingOrder="0"/>
    </xf>
    <xf borderId="0" fillId="0" fontId="1" numFmtId="165" xfId="0" applyAlignment="1" applyFont="1" applyNumberFormat="1">
      <alignment horizontal="center" readingOrder="0"/>
    </xf>
    <xf borderId="0" fillId="0" fontId="1" numFmtId="0" xfId="0" applyAlignment="1" applyFont="1">
      <alignment horizontal="right" readingOrder="0"/>
    </xf>
    <xf borderId="0" fillId="0" fontId="1" numFmtId="0" xfId="0" applyAlignment="1" applyFont="1">
      <alignment horizontal="center" readingOrder="0"/>
    </xf>
    <xf borderId="0" fillId="0" fontId="1" numFmtId="165" xfId="0" applyAlignment="1" applyFont="1" applyNumberFormat="1">
      <alignment readingOrder="0"/>
    </xf>
    <xf borderId="0" fillId="0" fontId="1" numFmtId="2" xfId="0" applyAlignment="1" applyFont="1" applyNumberFormat="1">
      <alignment readingOrder="0"/>
    </xf>
    <xf borderId="0" fillId="2" fontId="4" numFmtId="0" xfId="0" applyAlignment="1" applyFill="1" applyFont="1">
      <alignment readingOrder="0"/>
    </xf>
    <xf borderId="0" fillId="0" fontId="5" numFmtId="0" xfId="0" applyFont="1"/>
    <xf borderId="0" fillId="0" fontId="5" numFmtId="0" xfId="0" applyAlignment="1" applyFont="1">
      <alignment horizontal="left"/>
    </xf>
    <xf borderId="0" fillId="0" fontId="5" numFmtId="2" xfId="0" applyAlignment="1" applyFont="1" applyNumberFormat="1">
      <alignment horizontal="center"/>
    </xf>
    <xf borderId="0" fillId="0" fontId="5" numFmtId="1" xfId="0" applyFont="1" applyNumberFormat="1"/>
    <xf borderId="0" fillId="0" fontId="5" numFmtId="2" xfId="0" applyFont="1" applyNumberFormat="1"/>
    <xf borderId="0" fillId="0" fontId="5" numFmtId="164" xfId="0" applyFont="1" applyNumberFormat="1"/>
    <xf borderId="0" fillId="0" fontId="5" numFmtId="165" xfId="0" applyFont="1" applyNumberFormat="1"/>
    <xf borderId="0" fillId="0" fontId="6" numFmtId="0" xfId="0" applyAlignment="1" applyFont="1">
      <alignment readingOrder="0"/>
    </xf>
    <xf borderId="0" fillId="0" fontId="7" numFmtId="0" xfId="0" applyAlignment="1" applyFont="1">
      <alignment readingOrder="0"/>
    </xf>
    <xf borderId="0" fillId="0" fontId="8" numFmtId="0" xfId="0" applyFont="1"/>
    <xf borderId="0" fillId="0" fontId="9" numFmtId="2" xfId="0" applyAlignment="1" applyFont="1" applyNumberFormat="1">
      <alignment horizontal="center" readingOrder="0"/>
    </xf>
    <xf borderId="0" fillId="0" fontId="9" numFmtId="0" xfId="0" applyAlignment="1" applyFont="1">
      <alignment readingOrder="0"/>
    </xf>
    <xf borderId="0" fillId="0" fontId="9" numFmtId="165" xfId="0" applyAlignment="1" applyFont="1" applyNumberFormat="1">
      <alignment horizontal="center" readingOrder="0"/>
    </xf>
    <xf borderId="0" fillId="0" fontId="9" numFmtId="0" xfId="0" applyAlignment="1" applyFont="1">
      <alignment horizontal="right" readingOrder="0"/>
    </xf>
    <xf borderId="0" fillId="0" fontId="9" numFmtId="0" xfId="0" applyAlignment="1" applyFont="1">
      <alignment horizontal="center" readingOrder="0"/>
    </xf>
    <xf borderId="0" fillId="0" fontId="9" numFmtId="165" xfId="0" applyAlignment="1" applyFont="1" applyNumberFormat="1">
      <alignment readingOrder="0"/>
    </xf>
    <xf borderId="0" fillId="0" fontId="9" numFmtId="2" xfId="0" applyAlignment="1" applyFont="1" applyNumberFormat="1">
      <alignment readingOrder="0"/>
    </xf>
    <xf borderId="0" fillId="0" fontId="10" numFmtId="0" xfId="0" applyAlignment="1" applyFont="1">
      <alignment readingOrder="0"/>
    </xf>
    <xf borderId="0" fillId="0" fontId="7" numFmtId="0" xfId="0" applyFont="1"/>
    <xf borderId="0" fillId="0" fontId="11" numFmtId="0" xfId="0" applyAlignment="1" applyFont="1">
      <alignment readingOrder="0"/>
    </xf>
    <xf borderId="0" fillId="3" fontId="9" numFmtId="0" xfId="0" applyAlignment="1" applyFill="1" applyFont="1">
      <alignment readingOrder="0"/>
    </xf>
    <xf borderId="0" fillId="3" fontId="9" numFmtId="0" xfId="0" applyFont="1"/>
    <xf borderId="0" fillId="4" fontId="9" numFmtId="0" xfId="0" applyAlignment="1" applyFill="1" applyFont="1">
      <alignment readingOrder="0"/>
    </xf>
    <xf borderId="0" fillId="5" fontId="9" numFmtId="0" xfId="0" applyAlignment="1" applyFill="1" applyFont="1">
      <alignment readingOrder="0"/>
    </xf>
    <xf borderId="0" fillId="5" fontId="9" numFmtId="0" xfId="0" applyFont="1"/>
    <xf borderId="0" fillId="6" fontId="9" numFmtId="0" xfId="0" applyAlignment="1" applyFill="1" applyFont="1">
      <alignment readingOrder="0"/>
    </xf>
    <xf borderId="0" fillId="7" fontId="9" numFmtId="0" xfId="0" applyAlignment="1" applyFill="1" applyFont="1">
      <alignment readingOrder="0"/>
    </xf>
    <xf borderId="0" fillId="8" fontId="9" numFmtId="0" xfId="0" applyAlignment="1" applyFill="1" applyFont="1">
      <alignment readingOrder="0"/>
    </xf>
    <xf borderId="0" fillId="8" fontId="9" numFmtId="0" xfId="0" applyFont="1"/>
    <xf borderId="0" fillId="8" fontId="9" numFmtId="0" xfId="0" applyAlignment="1" applyFont="1">
      <alignment horizontal="right"/>
    </xf>
    <xf borderId="0" fillId="9" fontId="12" numFmtId="2" xfId="0" applyAlignment="1" applyFill="1" applyFont="1" applyNumberFormat="1">
      <alignment horizontal="left" readingOrder="0"/>
    </xf>
    <xf borderId="0" fillId="8" fontId="9" numFmtId="2" xfId="0" applyFont="1" applyNumberFormat="1"/>
    <xf borderId="0" fillId="10" fontId="9" numFmtId="0" xfId="0" applyAlignment="1" applyFill="1" applyFont="1">
      <alignment horizontal="right"/>
    </xf>
    <xf borderId="0" fillId="10" fontId="9" numFmtId="165" xfId="0" applyAlignment="1" applyFont="1" applyNumberFormat="1">
      <alignment horizontal="right"/>
    </xf>
    <xf borderId="0" fillId="0" fontId="9" numFmtId="0" xfId="0" applyAlignment="1" applyFont="1">
      <alignment horizontal="right"/>
    </xf>
    <xf borderId="0" fillId="0" fontId="9" numFmtId="2" xfId="0" applyFont="1" applyNumberFormat="1"/>
    <xf borderId="1" fillId="3" fontId="9" numFmtId="0" xfId="0" applyAlignment="1" applyBorder="1" applyFont="1">
      <alignment readingOrder="0"/>
    </xf>
    <xf borderId="2" fillId="3" fontId="9" numFmtId="0" xfId="0" applyBorder="1" applyFont="1"/>
    <xf borderId="3" fillId="4" fontId="9" numFmtId="0" xfId="0" applyAlignment="1" applyBorder="1" applyFont="1">
      <alignment readingOrder="0"/>
    </xf>
    <xf borderId="1" fillId="5" fontId="9" numFmtId="0" xfId="0" applyAlignment="1" applyBorder="1" applyFont="1">
      <alignment readingOrder="0"/>
    </xf>
    <xf borderId="2" fillId="5" fontId="9" numFmtId="0" xfId="0" applyBorder="1" applyFont="1"/>
    <xf borderId="2" fillId="5" fontId="9" numFmtId="0" xfId="0" applyAlignment="1" applyBorder="1" applyFont="1">
      <alignment readingOrder="0"/>
    </xf>
    <xf borderId="4" fillId="6" fontId="9" numFmtId="0" xfId="0" applyAlignment="1" applyBorder="1" applyFont="1">
      <alignment readingOrder="0"/>
    </xf>
    <xf borderId="5" fillId="7" fontId="9" numFmtId="0" xfId="0" applyAlignment="1" applyBorder="1" applyFont="1">
      <alignment readingOrder="0"/>
    </xf>
    <xf borderId="4" fillId="8" fontId="9" numFmtId="0" xfId="0" applyAlignment="1" applyBorder="1" applyFont="1">
      <alignment readingOrder="0"/>
    </xf>
    <xf borderId="4" fillId="8" fontId="9" numFmtId="0" xfId="0" applyBorder="1" applyFont="1"/>
    <xf borderId="4" fillId="8" fontId="9" numFmtId="0" xfId="0" applyAlignment="1" applyBorder="1" applyFont="1">
      <alignment horizontal="right"/>
    </xf>
    <xf borderId="3" fillId="9" fontId="12" numFmtId="2" xfId="0" applyAlignment="1" applyBorder="1" applyFont="1" applyNumberFormat="1">
      <alignment horizontal="left" readingOrder="0"/>
    </xf>
    <xf borderId="4" fillId="8" fontId="9" numFmtId="2" xfId="0" applyBorder="1" applyFont="1" applyNumberFormat="1"/>
    <xf borderId="4" fillId="10" fontId="9" numFmtId="0" xfId="0" applyAlignment="1" applyBorder="1" applyFont="1">
      <alignment horizontal="right"/>
    </xf>
    <xf borderId="5" fillId="10" fontId="9" numFmtId="165" xfId="0" applyAlignment="1" applyBorder="1" applyFont="1" applyNumberFormat="1">
      <alignment horizontal="right"/>
    </xf>
    <xf borderId="6" fillId="11" fontId="9" numFmtId="0" xfId="0" applyAlignment="1" applyBorder="1" applyFill="1" applyFont="1">
      <alignment readingOrder="0"/>
    </xf>
    <xf borderId="7" fillId="11" fontId="9" numFmtId="0" xfId="0" applyAlignment="1" applyBorder="1" applyFont="1">
      <alignment readingOrder="0"/>
    </xf>
    <xf borderId="7" fillId="11" fontId="13" numFmtId="0" xfId="0" applyAlignment="1" applyBorder="1" applyFont="1">
      <alignment readingOrder="0"/>
    </xf>
    <xf borderId="6" fillId="11" fontId="13" numFmtId="0" xfId="0" applyAlignment="1" applyBorder="1" applyFont="1">
      <alignment horizontal="left" readingOrder="0"/>
    </xf>
    <xf borderId="6" fillId="11" fontId="13" numFmtId="0" xfId="0" applyAlignment="1" applyBorder="1" applyFont="1">
      <alignment readingOrder="0"/>
    </xf>
    <xf borderId="8" fillId="11" fontId="9" numFmtId="2" xfId="0" applyAlignment="1" applyBorder="1" applyFont="1" applyNumberFormat="1">
      <alignment horizontal="center" readingOrder="0"/>
    </xf>
    <xf borderId="6" fillId="11" fontId="13" numFmtId="2" xfId="0" applyAlignment="1" applyBorder="1" applyFont="1" applyNumberFormat="1">
      <alignment readingOrder="0"/>
    </xf>
    <xf borderId="6" fillId="11" fontId="13" numFmtId="165" xfId="0" applyAlignment="1" applyBorder="1" applyFont="1" applyNumberFormat="1">
      <alignment readingOrder="0"/>
    </xf>
    <xf borderId="0" fillId="0" fontId="14" numFmtId="2" xfId="0" applyAlignment="1" applyFont="1" applyNumberFormat="1">
      <alignment readingOrder="0"/>
    </xf>
    <xf borderId="0" fillId="0" fontId="13" numFmtId="0" xfId="0" applyFont="1"/>
    <xf borderId="0" fillId="0" fontId="15" numFmtId="0" xfId="0" applyAlignment="1" applyFont="1">
      <alignment horizontal="right" readingOrder="0" shrinkToFit="0" wrapText="0"/>
    </xf>
    <xf borderId="0" fillId="0" fontId="14" numFmtId="10" xfId="0" applyAlignment="1" applyFont="1" applyNumberFormat="1">
      <alignment horizontal="right" readingOrder="0"/>
    </xf>
    <xf borderId="0" fillId="0" fontId="14" numFmtId="0" xfId="0" applyAlignment="1" applyFont="1">
      <alignment horizontal="right" readingOrder="0"/>
    </xf>
    <xf borderId="0" fillId="0" fontId="14" numFmtId="0" xfId="0" applyAlignment="1" applyFont="1">
      <alignment readingOrder="0"/>
    </xf>
    <xf borderId="0" fillId="0" fontId="9" numFmtId="2" xfId="0" applyAlignment="1" applyFont="1" applyNumberFormat="1">
      <alignment horizontal="right" readingOrder="0"/>
    </xf>
    <xf borderId="0" fillId="0" fontId="16" numFmtId="2" xfId="0" applyAlignment="1" applyFont="1" applyNumberFormat="1">
      <alignment horizontal="right" readingOrder="0"/>
    </xf>
    <xf borderId="0" fillId="0" fontId="0" numFmtId="0" xfId="0" applyAlignment="1" applyFont="1">
      <alignment horizontal="right" readingOrder="0" shrinkToFit="0" wrapText="0"/>
    </xf>
    <xf borderId="0" fillId="0" fontId="14" numFmtId="2" xfId="0" applyAlignment="1" applyFont="1" applyNumberFormat="1">
      <alignment horizontal="right" readingOrder="0"/>
    </xf>
    <xf borderId="0" fillId="0" fontId="15" numFmtId="10" xfId="0" applyAlignment="1" applyFont="1" applyNumberFormat="1">
      <alignment horizontal="right" readingOrder="0" shrinkToFit="0" wrapText="0"/>
    </xf>
    <xf borderId="0" fillId="0" fontId="14" numFmtId="165" xfId="0" applyAlignment="1" applyFont="1" applyNumberFormat="1">
      <alignment readingOrder="0"/>
    </xf>
    <xf borderId="0" fillId="0" fontId="14" numFmtId="1" xfId="0" applyAlignment="1" applyFont="1" applyNumberFormat="1">
      <alignment horizontal="right" readingOrder="0"/>
    </xf>
    <xf borderId="0" fillId="0" fontId="16" numFmtId="0" xfId="0" applyAlignment="1" applyFont="1">
      <alignment horizontal="right" readingOrder="0"/>
    </xf>
    <xf borderId="0" fillId="0" fontId="15" numFmtId="0" xfId="0" applyAlignment="1" applyFont="1">
      <alignment horizontal="right" readingOrder="0"/>
    </xf>
    <xf borderId="0" fillId="0" fontId="9" numFmtId="0" xfId="0" applyAlignment="1" applyFont="1">
      <alignment horizontal="left"/>
    </xf>
    <xf borderId="0" fillId="0" fontId="9" numFmtId="2" xfId="0" applyAlignment="1" applyFont="1" applyNumberFormat="1">
      <alignment horizontal="center"/>
    </xf>
    <xf borderId="0" fillId="0" fontId="9" numFmtId="1" xfId="0" applyFont="1" applyNumberFormat="1"/>
    <xf borderId="0" fillId="0" fontId="9" numFmtId="164" xfId="0" applyFont="1" applyNumberFormat="1"/>
    <xf borderId="0" fillId="0" fontId="9" numFmtId="165" xfId="0" applyFont="1" applyNumberFormat="1"/>
    <xf borderId="0" fillId="0" fontId="17" numFmtId="0" xfId="0" applyAlignment="1" applyFont="1">
      <alignment readingOrder="0"/>
    </xf>
    <xf borderId="0" fillId="0" fontId="17" numFmtId="0" xfId="0" applyFont="1"/>
    <xf borderId="0" fillId="0" fontId="17" numFmtId="0" xfId="0" applyAlignment="1" applyFont="1">
      <alignment horizontal="left"/>
    </xf>
    <xf borderId="0" fillId="0" fontId="17" numFmtId="2" xfId="0" applyAlignment="1" applyFont="1" applyNumberFormat="1">
      <alignment horizontal="center"/>
    </xf>
    <xf borderId="0" fillId="0" fontId="17" numFmtId="1" xfId="0" applyFont="1" applyNumberFormat="1"/>
    <xf borderId="0" fillId="0" fontId="17" numFmtId="2" xfId="0" applyFont="1" applyNumberFormat="1"/>
    <xf borderId="0" fillId="0" fontId="17" numFmtId="164" xfId="0" applyFont="1" applyNumberFormat="1"/>
    <xf borderId="0" fillId="0" fontId="17" numFmtId="165" xfId="0" applyFont="1" applyNumberFormat="1"/>
    <xf borderId="0" fillId="0" fontId="18" numFmtId="0" xfId="0" applyAlignment="1" applyFont="1">
      <alignment readingOrder="0"/>
    </xf>
    <xf borderId="0" fillId="0" fontId="18" numFmtId="0" xfId="0" applyFont="1"/>
    <xf borderId="0" fillId="0" fontId="18" numFmtId="0" xfId="0" applyAlignment="1" applyFont="1">
      <alignment horizontal="left"/>
    </xf>
    <xf borderId="0" fillId="0" fontId="18" numFmtId="2" xfId="0" applyAlignment="1" applyFont="1" applyNumberFormat="1">
      <alignment horizontal="center"/>
    </xf>
    <xf borderId="0" fillId="0" fontId="18" numFmtId="1" xfId="0" applyFont="1" applyNumberFormat="1"/>
    <xf borderId="0" fillId="0" fontId="18" numFmtId="2" xfId="0" applyFont="1" applyNumberFormat="1"/>
    <xf borderId="0" fillId="0" fontId="18" numFmtId="164" xfId="0" applyFont="1" applyNumberFormat="1"/>
    <xf borderId="0" fillId="0" fontId="18" numFmtId="165" xfId="0" applyFont="1" applyNumberFormat="1"/>
    <xf borderId="0" fillId="0" fontId="6" numFmtId="0" xfId="0" applyFont="1"/>
    <xf borderId="0" fillId="0" fontId="6" numFmtId="0" xfId="0" applyAlignment="1" applyFont="1">
      <alignment horizontal="left"/>
    </xf>
    <xf borderId="0" fillId="0" fontId="6" numFmtId="2" xfId="0" applyAlignment="1" applyFont="1" applyNumberFormat="1">
      <alignment horizontal="center"/>
    </xf>
    <xf borderId="0" fillId="0" fontId="6" numFmtId="1" xfId="0" applyFont="1" applyNumberFormat="1"/>
    <xf borderId="0" fillId="0" fontId="6" numFmtId="2" xfId="0" applyFont="1" applyNumberFormat="1"/>
    <xf borderId="0" fillId="0" fontId="6" numFmtId="164" xfId="0" applyFont="1" applyNumberFormat="1"/>
    <xf borderId="0" fillId="0" fontId="6" numFmtId="165" xfId="0" applyFont="1" applyNumberFormat="1"/>
    <xf borderId="0" fillId="0" fontId="19" numFmtId="0" xfId="0" applyFont="1"/>
    <xf borderId="0" fillId="0" fontId="20" numFmtId="0" xfId="0" applyAlignment="1" applyFont="1">
      <alignment readingOrder="0"/>
    </xf>
    <xf borderId="0" fillId="0" fontId="20" numFmtId="0" xfId="0" applyFont="1"/>
    <xf borderId="0" fillId="0" fontId="20" numFmtId="0" xfId="0" applyAlignment="1" applyFont="1">
      <alignment horizontal="left"/>
    </xf>
    <xf borderId="0" fillId="0" fontId="20" numFmtId="2" xfId="0" applyAlignment="1" applyFont="1" applyNumberFormat="1">
      <alignment horizontal="center"/>
    </xf>
    <xf borderId="0" fillId="0" fontId="20" numFmtId="1" xfId="0" applyFont="1" applyNumberFormat="1"/>
    <xf borderId="0" fillId="0" fontId="20" numFmtId="2" xfId="0" applyFont="1" applyNumberFormat="1"/>
    <xf borderId="0" fillId="0" fontId="20" numFmtId="164" xfId="0" applyFont="1" applyNumberFormat="1"/>
    <xf borderId="0" fillId="0" fontId="20" numFmtId="165" xfId="0" applyFont="1" applyNumberForma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latin typeface="Roboto"/>
              </a:defRPr>
            </a:pPr>
            <a:r>
              <a:rPr b="1" sz="3000">
                <a:solidFill>
                  <a:srgbClr val="000000"/>
                </a:solidFill>
                <a:latin typeface="Roboto"/>
              </a:rPr>
              <a:t>2015/ 2016 Premier League, Center Midfielders, Possession Differential (PD) +/-</a:t>
            </a:r>
          </a:p>
        </c:rich>
      </c:tx>
      <c:overlay val="0"/>
    </c:title>
    <c:plotArea>
      <c:layout>
        <c:manualLayout>
          <c:xMode val="edge"/>
          <c:yMode val="edge"/>
          <c:x val="0.05449"/>
          <c:y val="0.12915"/>
          <c:w val="0.90476"/>
          <c:h val="0.68483"/>
        </c:manualLayout>
      </c:layout>
      <c:barChart>
        <c:barDir val="col"/>
        <c:ser>
          <c:idx val="0"/>
          <c:order val="0"/>
          <c:tx>
            <c:strRef>
              <c:f>'POS DIF &amp; GCC'!$Q$14</c:f>
            </c:strRef>
          </c:tx>
          <c:spPr>
            <a:solidFill>
              <a:srgbClr val="F6B26B"/>
            </a:solidFill>
            <a:ln cmpd="sng">
              <a:solidFill>
                <a:srgbClr val="000000"/>
              </a:solidFill>
            </a:ln>
          </c:spPr>
          <c:dPt>
            <c:idx val="0"/>
          </c:dPt>
          <c:dPt>
            <c:idx val="7"/>
          </c:dPt>
          <c:dPt>
            <c:idx val="50"/>
          </c:dPt>
          <c:dLbls>
            <c:numFmt formatCode="General" sourceLinked="1"/>
            <c:txPr>
              <a:bodyPr/>
              <a:lstStyle/>
              <a:p>
                <a:pPr lvl="0">
                  <a:defRPr/>
                </a:pPr>
              </a:p>
            </c:txPr>
            <c:showLegendKey val="0"/>
            <c:showVal val="1"/>
            <c:showCatName val="0"/>
            <c:showSerName val="0"/>
            <c:showPercent val="0"/>
            <c:showBubbleSize val="0"/>
          </c:dLbls>
          <c:cat>
            <c:strRef>
              <c:f>'POS DIF &amp; GCC'!$A$15:$A$88</c:f>
            </c:strRef>
          </c:cat>
          <c:val>
            <c:numRef>
              <c:f>'POS DIF &amp; GCC'!$Q$15:$Q$88</c:f>
              <c:numCache/>
            </c:numRef>
          </c:val>
        </c:ser>
        <c:axId val="2065285703"/>
        <c:axId val="1463398290"/>
      </c:barChart>
      <c:catAx>
        <c:axId val="2065285703"/>
        <c:scaling>
          <c:orientation val="minMax"/>
        </c:scaling>
        <c:delete val="0"/>
        <c:axPos val="b"/>
        <c:title>
          <c:tx>
            <c:rich>
              <a:bodyPr/>
              <a:lstStyle/>
              <a:p>
                <a:pPr lvl="0">
                  <a:defRPr b="0" i="1" sz="2400">
                    <a:solidFill>
                      <a:srgbClr val="222222"/>
                    </a:solidFill>
                    <a:latin typeface="Roboto"/>
                  </a:defRPr>
                </a:pPr>
                <a:r>
                  <a:rPr b="0" i="1" sz="2400">
                    <a:solidFill>
                      <a:srgbClr val="222222"/>
                    </a:solidFill>
                    <a:latin typeface="Roboto"/>
                  </a:rPr>
                  <a:t>Players</a:t>
                </a:r>
              </a:p>
            </c:rich>
          </c:tx>
          <c:overlay val="0"/>
        </c:title>
        <c:numFmt formatCode="General" sourceLinked="1"/>
        <c:majorTickMark val="in"/>
        <c:minorTickMark val="none"/>
        <c:spPr/>
        <c:txPr>
          <a:bodyPr rot="-3600000"/>
          <a:lstStyle/>
          <a:p>
            <a:pPr lvl="0">
              <a:defRPr b="0" sz="1600">
                <a:solidFill>
                  <a:srgbClr val="222222"/>
                </a:solidFill>
                <a:latin typeface="Roboto"/>
              </a:defRPr>
            </a:pPr>
          </a:p>
        </c:txPr>
        <c:crossAx val="1463398290"/>
      </c:catAx>
      <c:valAx>
        <c:axId val="1463398290"/>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sz="2400">
                    <a:solidFill>
                      <a:srgbClr val="222222"/>
                    </a:solidFill>
                    <a:latin typeface="Roboto"/>
                  </a:defRPr>
                </a:pPr>
                <a:r>
                  <a:rPr b="0" i="1" sz="2400">
                    <a:solidFill>
                      <a:srgbClr val="222222"/>
                    </a:solidFill>
                    <a:latin typeface="Roboto"/>
                  </a:rPr>
                  <a:t>Possession Differential (+/-)</a:t>
                </a:r>
              </a:p>
            </c:rich>
          </c:tx>
          <c:overlay val="0"/>
        </c:title>
        <c:numFmt formatCode="General" sourceLinked="1"/>
        <c:majorTickMark val="cross"/>
        <c:minorTickMark val="cross"/>
        <c:tickLblPos val="nextTo"/>
        <c:spPr>
          <a:ln/>
        </c:spPr>
        <c:txPr>
          <a:bodyPr/>
          <a:lstStyle/>
          <a:p>
            <a:pPr lvl="0">
              <a:defRPr b="0" sz="2000">
                <a:solidFill>
                  <a:srgbClr val="222222"/>
                </a:solidFill>
                <a:latin typeface="Arial"/>
              </a:defRPr>
            </a:pPr>
          </a:p>
        </c:txPr>
        <c:crossAx val="2065285703"/>
      </c:valAx>
    </c:plotArea>
    <c:legend>
      <c:legendPos val="tr"/>
      <c:legendEntry>
        <c:idx val="0"/>
        <c:txPr>
          <a:bodyPr/>
          <a:lstStyle/>
          <a:p>
            <a:pPr lvl="0">
              <a:defRPr sz="1600"/>
            </a:pPr>
          </a:p>
        </c:txPr>
      </c:legendEntry>
      <c:overlay val="1"/>
      <c:txPr>
        <a:bodyPr/>
        <a:lstStyle/>
        <a:p>
          <a:pPr lvl="0">
            <a:defRPr b="0" sz="1400">
              <a:solidFill>
                <a:srgbClr val="222222"/>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latin typeface="Roboto"/>
              </a:defRPr>
            </a:pPr>
            <a:r>
              <a:rPr b="1" sz="3000">
                <a:solidFill>
                  <a:srgbClr val="000000"/>
                </a:solidFill>
                <a:latin typeface="Roboto"/>
              </a:rPr>
              <a:t>2015/ 2016 Premier League, Center Midfielders, Goals Created or Converted (GCC)</a:t>
            </a:r>
          </a:p>
        </c:rich>
      </c:tx>
      <c:overlay val="0"/>
    </c:title>
    <c:plotArea>
      <c:layout>
        <c:manualLayout>
          <c:xMode val="edge"/>
          <c:yMode val="edge"/>
          <c:x val="0.06524"/>
          <c:y val="0.14986737400530503"/>
          <c:w val="0.9005500000000001"/>
          <c:h val="0.6238226259946948"/>
        </c:manualLayout>
      </c:layout>
      <c:barChart>
        <c:barDir val="col"/>
        <c:ser>
          <c:idx val="0"/>
          <c:order val="0"/>
          <c:tx>
            <c:strRef>
              <c:f>'POS DIF &amp; GCC'!$AF$14</c:f>
            </c:strRef>
          </c:tx>
          <c:spPr>
            <a:solidFill>
              <a:srgbClr val="3D85C6"/>
            </a:solidFill>
            <a:ln cmpd="sng" w="38100">
              <a:solidFill>
                <a:srgbClr val="000000"/>
              </a:solidFill>
              <a:prstDash val="dash"/>
            </a:ln>
          </c:spPr>
          <c:dLbls>
            <c:numFmt formatCode="General" sourceLinked="1"/>
            <c:txPr>
              <a:bodyPr/>
              <a:lstStyle/>
              <a:p>
                <a:pPr lvl="0">
                  <a:defRPr/>
                </a:pPr>
              </a:p>
            </c:txPr>
            <c:showLegendKey val="0"/>
            <c:showVal val="1"/>
            <c:showCatName val="0"/>
            <c:showSerName val="0"/>
            <c:showPercent val="0"/>
            <c:showBubbleSize val="0"/>
          </c:dLbls>
          <c:trendline>
            <c:name>Trendline for (GC) per 90 min</c:name>
            <c:spPr>
              <a:ln w="9525">
                <a:solidFill>
                  <a:srgbClr val="000000">
                    <a:alpha val="40000"/>
                  </a:srgbClr>
                </a:solidFill>
              </a:ln>
            </c:spPr>
            <c:trendlineType val="linear"/>
            <c:dispRSqr val="1"/>
            <c:dispEq val="0"/>
          </c:trendline>
          <c:cat>
            <c:strRef>
              <c:f>'POS DIF &amp; GCC'!$A$15:$A$88</c:f>
            </c:strRef>
          </c:cat>
          <c:val>
            <c:numRef>
              <c:f>'POS DIF &amp; GCC'!$AF$15:$AF$88</c:f>
              <c:numCache/>
            </c:numRef>
          </c:val>
        </c:ser>
        <c:axId val="497755571"/>
        <c:axId val="111678928"/>
      </c:barChart>
      <c:catAx>
        <c:axId val="497755571"/>
        <c:scaling>
          <c:orientation val="minMax"/>
        </c:scaling>
        <c:delete val="0"/>
        <c:axPos val="b"/>
        <c:title>
          <c:tx>
            <c:rich>
              <a:bodyPr/>
              <a:lstStyle/>
              <a:p>
                <a:pPr lvl="0">
                  <a:defRPr b="0" i="1" sz="2400">
                    <a:solidFill>
                      <a:srgbClr val="222222"/>
                    </a:solidFill>
                    <a:latin typeface="Roboto"/>
                  </a:defRPr>
                </a:pPr>
                <a:r>
                  <a:rPr b="0" i="1" sz="2400">
                    <a:solidFill>
                      <a:srgbClr val="222222"/>
                    </a:solidFill>
                    <a:latin typeface="Roboto"/>
                  </a:rPr>
                  <a:t>Player</a:t>
                </a:r>
              </a:p>
            </c:rich>
          </c:tx>
          <c:overlay val="0"/>
        </c:title>
        <c:numFmt formatCode="General" sourceLinked="1"/>
        <c:majorTickMark val="none"/>
        <c:minorTickMark val="none"/>
        <c:spPr/>
        <c:txPr>
          <a:bodyPr rot="-3600000"/>
          <a:lstStyle/>
          <a:p>
            <a:pPr lvl="0">
              <a:defRPr b="0" sz="1400">
                <a:solidFill>
                  <a:srgbClr val="222222"/>
                </a:solidFill>
                <a:latin typeface="Roboto"/>
              </a:defRPr>
            </a:pPr>
          </a:p>
        </c:txPr>
        <c:crossAx val="111678928"/>
      </c:catAx>
      <c:valAx>
        <c:axId val="11167892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sz="2400">
                    <a:solidFill>
                      <a:srgbClr val="222222"/>
                    </a:solidFill>
                    <a:latin typeface="Roboto"/>
                  </a:defRPr>
                </a:pPr>
                <a:r>
                  <a:rPr b="0" i="1" sz="2400">
                    <a:solidFill>
                      <a:srgbClr val="222222"/>
                    </a:solidFill>
                    <a:latin typeface="Roboto"/>
                  </a:rPr>
                  <a:t>GCC (per 90 min)</a:t>
                </a:r>
              </a:p>
            </c:rich>
          </c:tx>
          <c:overlay val="0"/>
        </c:title>
        <c:numFmt formatCode="General" sourceLinked="1"/>
        <c:majorTickMark val="none"/>
        <c:minorTickMark val="none"/>
        <c:tickLblPos val="nextTo"/>
        <c:spPr>
          <a:ln>
            <a:solidFill/>
          </a:ln>
        </c:spPr>
        <c:txPr>
          <a:bodyPr/>
          <a:lstStyle/>
          <a:p>
            <a:pPr lvl="0">
              <a:defRPr b="0" sz="1400">
                <a:solidFill>
                  <a:srgbClr val="000000"/>
                </a:solidFill>
                <a:latin typeface="Roboto"/>
              </a:defRPr>
            </a:pPr>
          </a:p>
        </c:txPr>
        <c:crossAx val="497755571"/>
      </c:valAx>
    </c:plotArea>
    <c:legend>
      <c:legendPos val="t"/>
      <c:legendEntry>
        <c:idx val="0"/>
        <c:txPr>
          <a:bodyPr/>
          <a:lstStyle/>
          <a:p>
            <a:pPr lvl="0">
              <a:defRPr sz="2400"/>
            </a:pPr>
          </a:p>
        </c:txPr>
      </c:legendEntry>
      <c:overlay val="0"/>
      <c:txPr>
        <a:bodyPr/>
        <a:lstStyle/>
        <a:p>
          <a:pPr lvl="0">
            <a:defRPr b="0" sz="1400">
              <a:solidFill>
                <a:srgbClr val="222222"/>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122</xdr:row>
      <xdr:rowOff>0</xdr:rowOff>
    </xdr:from>
    <xdr:ext cx="29965650" cy="11610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230</xdr:row>
      <xdr:rowOff>104775</xdr:rowOff>
    </xdr:from>
    <xdr:ext cx="25012650" cy="10772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30</xdr:col>
      <xdr:colOff>752475</xdr:colOff>
      <xdr:row>0</xdr:row>
      <xdr:rowOff>0</xdr:rowOff>
    </xdr:from>
    <xdr:ext cx="2571750" cy="24384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en.wikipedia.org/wiki/2015%E2%80%9316_Leicester_City_F.C._season" TargetMode="External"/><Relationship Id="rId2" Type="http://schemas.openxmlformats.org/officeDocument/2006/relationships/hyperlink" Target="http://www.whoscored.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13"/>
    <col customWidth="1" min="2" max="2" width="16.5"/>
    <col customWidth="1" min="3" max="3" width="13.0"/>
    <col customWidth="1" min="4" max="4" width="14.13"/>
    <col customWidth="1" min="5" max="5" width="20.13"/>
    <col customWidth="1" min="6" max="6" width="24.25"/>
    <col customWidth="1" min="7" max="7" width="13.13"/>
    <col customWidth="1" min="8" max="8" width="20.0"/>
    <col customWidth="1" min="9" max="9" width="15.13"/>
    <col customWidth="1" min="10" max="10" width="16.75"/>
    <col customWidth="1" min="11" max="11" width="26.25"/>
    <col customWidth="1" min="12" max="12" width="24.63"/>
    <col customWidth="1" min="13" max="13" width="24.25"/>
    <col customWidth="1" min="14" max="14" width="29.25"/>
    <col customWidth="1" min="15" max="15" width="15.63"/>
    <col customWidth="1" min="16" max="16" width="21.0"/>
    <col customWidth="1" min="17" max="17" width="16.75"/>
    <col customWidth="1" min="18" max="18" width="8.88"/>
    <col customWidth="1" hidden="1" min="19" max="19" width="18.25"/>
    <col customWidth="1" min="20" max="20" width="9.25"/>
    <col customWidth="1" min="21" max="21" width="15.63"/>
    <col customWidth="1" hidden="1" min="22" max="22" width="21.25"/>
    <col customWidth="1" hidden="1" min="23" max="23" width="13.38"/>
    <col customWidth="1" hidden="1" min="24" max="24" width="15.63"/>
    <col customWidth="1" hidden="1" min="25" max="25" width="13.0"/>
    <col customWidth="1" hidden="1" min="26" max="26" width="18.88"/>
    <col customWidth="1" hidden="1" min="27" max="27" width="11.5"/>
    <col customWidth="1" hidden="1" min="28" max="28" width="23.0"/>
    <col customWidth="1" hidden="1" min="29" max="29" width="19.5"/>
    <col customWidth="1" hidden="1" min="30" max="30" width="25.38"/>
    <col customWidth="1" min="31" max="31" width="30.25"/>
    <col customWidth="1" min="32" max="32" width="17.63"/>
    <col customWidth="1" hidden="1" min="33" max="33" width="26.88"/>
    <col customWidth="1" hidden="1" min="34" max="34" width="31.63"/>
    <col customWidth="1" min="35" max="35" width="13.5"/>
  </cols>
  <sheetData>
    <row r="1">
      <c r="A1" s="1" t="s">
        <v>0</v>
      </c>
      <c r="B1" s="2"/>
      <c r="C1" s="2"/>
      <c r="D1" s="2"/>
      <c r="E1" s="2"/>
      <c r="F1" s="2"/>
      <c r="G1" s="2"/>
      <c r="H1" s="2"/>
      <c r="I1" s="2"/>
      <c r="J1" s="2"/>
      <c r="K1" s="2"/>
      <c r="L1" s="2"/>
      <c r="M1" s="2"/>
      <c r="N1" s="2"/>
      <c r="O1" s="2"/>
      <c r="P1" s="2"/>
      <c r="Q1" s="2"/>
      <c r="R1" s="3"/>
      <c r="S1" s="2"/>
      <c r="T1" s="2"/>
      <c r="U1" s="4"/>
      <c r="V1" s="5"/>
      <c r="W1" s="6"/>
      <c r="X1" s="7"/>
      <c r="Y1" s="2"/>
      <c r="Z1" s="6"/>
      <c r="AA1" s="6"/>
      <c r="AB1" s="6"/>
      <c r="AC1" s="6"/>
      <c r="AD1" s="8"/>
      <c r="AE1" s="4"/>
      <c r="AF1" s="9"/>
      <c r="AG1" s="4"/>
      <c r="AH1" s="10"/>
      <c r="AI1" s="2"/>
    </row>
    <row r="2">
      <c r="A2" s="11"/>
      <c r="B2" s="12"/>
      <c r="C2" s="12"/>
      <c r="D2" s="12"/>
      <c r="E2" s="12"/>
      <c r="F2" s="12"/>
      <c r="G2" s="12"/>
      <c r="H2" s="12"/>
      <c r="I2" s="12"/>
      <c r="J2" s="12"/>
      <c r="K2" s="12"/>
      <c r="L2" s="12"/>
      <c r="M2" s="12"/>
      <c r="N2" s="12"/>
      <c r="O2" s="12"/>
      <c r="P2" s="12"/>
      <c r="Q2" s="12"/>
      <c r="R2" s="13"/>
      <c r="S2" s="12"/>
      <c r="T2" s="1"/>
      <c r="U2" s="1"/>
      <c r="V2" s="14"/>
      <c r="W2" s="15"/>
      <c r="X2" s="13"/>
      <c r="Y2" s="16"/>
      <c r="Z2" s="12"/>
      <c r="AA2" s="15"/>
      <c r="AB2" s="15"/>
      <c r="AC2" s="16"/>
      <c r="AD2" s="12"/>
      <c r="AE2" s="1"/>
      <c r="AF2" s="17"/>
      <c r="AG2" s="1"/>
      <c r="AH2" s="18"/>
      <c r="AI2" s="12"/>
    </row>
    <row r="3">
      <c r="A3" s="11" t="s">
        <v>1</v>
      </c>
      <c r="B3" s="12"/>
      <c r="C3" s="12"/>
      <c r="D3" s="12"/>
      <c r="E3" s="12"/>
      <c r="F3" s="12"/>
      <c r="G3" s="12"/>
      <c r="H3" s="12"/>
      <c r="I3" s="12"/>
      <c r="J3" s="12"/>
      <c r="K3" s="12"/>
      <c r="L3" s="12"/>
      <c r="M3" s="12"/>
      <c r="N3" s="12"/>
      <c r="O3" s="12"/>
      <c r="P3" s="12"/>
      <c r="Q3" s="12"/>
      <c r="R3" s="13"/>
      <c r="S3" s="12"/>
      <c r="T3" s="1"/>
      <c r="U3" s="1"/>
      <c r="V3" s="14"/>
      <c r="W3" s="15"/>
      <c r="X3" s="13"/>
      <c r="Y3" s="16"/>
      <c r="Z3" s="12"/>
      <c r="AA3" s="15"/>
      <c r="AB3" s="15"/>
      <c r="AC3" s="16"/>
      <c r="AD3" s="12"/>
      <c r="AE3" s="1"/>
      <c r="AF3" s="17"/>
      <c r="AG3" s="1"/>
      <c r="AH3" s="18"/>
      <c r="AI3" s="12"/>
    </row>
    <row r="4">
      <c r="A4" s="19" t="s">
        <v>2</v>
      </c>
      <c r="B4" s="20"/>
      <c r="C4" s="20"/>
      <c r="D4" s="20"/>
      <c r="E4" s="20"/>
      <c r="F4" s="20"/>
      <c r="G4" s="20"/>
      <c r="H4" s="20"/>
      <c r="I4" s="20"/>
      <c r="J4" s="20"/>
      <c r="K4" s="20"/>
      <c r="L4" s="20"/>
      <c r="M4" s="20"/>
      <c r="N4" s="20"/>
      <c r="O4" s="20"/>
      <c r="P4" s="20"/>
      <c r="Q4" s="20"/>
      <c r="R4" s="21"/>
      <c r="S4" s="20"/>
      <c r="T4" s="20"/>
      <c r="U4" s="20"/>
      <c r="V4" s="22"/>
      <c r="W4" s="23"/>
      <c r="X4" s="24"/>
      <c r="Y4" s="20"/>
      <c r="Z4" s="23"/>
      <c r="AA4" s="23"/>
      <c r="AB4" s="23"/>
      <c r="AC4" s="23"/>
      <c r="AD4" s="25"/>
      <c r="AE4" s="20"/>
      <c r="AF4" s="26"/>
      <c r="AG4" s="20"/>
      <c r="AH4" s="24"/>
      <c r="AI4" s="20"/>
    </row>
    <row r="5">
      <c r="A5" s="27"/>
    </row>
    <row r="6">
      <c r="A6" s="28" t="s">
        <v>3</v>
      </c>
      <c r="B6" s="29"/>
      <c r="R6" s="30"/>
      <c r="T6" s="31"/>
      <c r="U6" s="31"/>
      <c r="V6" s="32"/>
      <c r="W6" s="33"/>
      <c r="X6" s="30"/>
      <c r="Y6" s="34"/>
      <c r="AA6" s="33"/>
      <c r="AB6" s="33"/>
      <c r="AC6" s="34"/>
      <c r="AE6" s="31"/>
      <c r="AF6" s="35"/>
      <c r="AG6" s="31"/>
      <c r="AH6" s="36"/>
    </row>
    <row r="7">
      <c r="A7" s="28" t="s">
        <v>4</v>
      </c>
      <c r="B7" s="37" t="s">
        <v>5</v>
      </c>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row>
    <row r="8">
      <c r="A8" s="2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row>
    <row r="10">
      <c r="A10" s="2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row>
    <row r="11">
      <c r="A11" s="28" t="s">
        <v>6</v>
      </c>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row>
    <row r="12">
      <c r="A12" s="31"/>
      <c r="B12" s="31"/>
      <c r="D12" s="39"/>
      <c r="G12" s="40"/>
      <c r="H12" s="41"/>
      <c r="I12" s="41"/>
      <c r="J12" s="41"/>
      <c r="K12" s="42"/>
      <c r="L12" s="43"/>
      <c r="M12" s="44"/>
      <c r="N12" s="43"/>
      <c r="O12" s="43"/>
      <c r="P12" s="45"/>
      <c r="Q12" s="46"/>
      <c r="R12" s="47"/>
      <c r="S12" s="48"/>
      <c r="T12" s="48"/>
      <c r="U12" s="49"/>
      <c r="V12" s="50"/>
      <c r="X12" s="51"/>
      <c r="Y12" s="48"/>
      <c r="Z12" s="48"/>
      <c r="AA12" s="48"/>
      <c r="AB12" s="48"/>
      <c r="AC12" s="48"/>
      <c r="AD12" s="48"/>
      <c r="AE12" s="52"/>
      <c r="AF12" s="53"/>
      <c r="AG12" s="54"/>
      <c r="AH12" s="55"/>
    </row>
    <row r="13">
      <c r="A13" s="31"/>
      <c r="B13" s="31"/>
      <c r="D13" s="39" t="s">
        <v>7</v>
      </c>
      <c r="G13" s="56" t="s">
        <v>8</v>
      </c>
      <c r="H13" s="57"/>
      <c r="I13" s="57"/>
      <c r="J13" s="57"/>
      <c r="K13" s="58" t="s">
        <v>9</v>
      </c>
      <c r="L13" s="59" t="s">
        <v>10</v>
      </c>
      <c r="M13" s="60"/>
      <c r="N13" s="61"/>
      <c r="O13" s="61"/>
      <c r="P13" s="62" t="s">
        <v>11</v>
      </c>
      <c r="Q13" s="63" t="s">
        <v>12</v>
      </c>
      <c r="R13" s="64" t="s">
        <v>13</v>
      </c>
      <c r="S13" s="65"/>
      <c r="T13" s="65"/>
      <c r="U13" s="66"/>
      <c r="V13" s="67" t="s">
        <v>14</v>
      </c>
      <c r="X13" s="68"/>
      <c r="Y13" s="65"/>
      <c r="Z13" s="65"/>
      <c r="AA13" s="65"/>
      <c r="AB13" s="65"/>
      <c r="AC13" s="65"/>
      <c r="AD13" s="65"/>
      <c r="AE13" s="69"/>
      <c r="AF13" s="70"/>
      <c r="AG13" s="54"/>
      <c r="AH13" s="55"/>
    </row>
    <row r="14">
      <c r="A14" s="71" t="s">
        <v>15</v>
      </c>
      <c r="B14" s="71" t="s">
        <v>16</v>
      </c>
      <c r="C14" s="71" t="s">
        <v>17</v>
      </c>
      <c r="D14" s="71" t="s">
        <v>18</v>
      </c>
      <c r="E14" s="71" t="s">
        <v>19</v>
      </c>
      <c r="F14" s="71" t="s">
        <v>20</v>
      </c>
      <c r="G14" s="72" t="s">
        <v>21</v>
      </c>
      <c r="H14" s="71" t="s">
        <v>22</v>
      </c>
      <c r="I14" s="71" t="s">
        <v>23</v>
      </c>
      <c r="J14" s="71" t="s">
        <v>24</v>
      </c>
      <c r="K14" s="71" t="s">
        <v>25</v>
      </c>
      <c r="L14" s="72" t="s">
        <v>26</v>
      </c>
      <c r="M14" s="71" t="s">
        <v>27</v>
      </c>
      <c r="N14" s="71" t="s">
        <v>28</v>
      </c>
      <c r="O14" s="71" t="s">
        <v>29</v>
      </c>
      <c r="P14" s="71" t="s">
        <v>30</v>
      </c>
      <c r="Q14" s="73" t="s">
        <v>31</v>
      </c>
      <c r="R14" s="74" t="s">
        <v>32</v>
      </c>
      <c r="S14" s="75" t="s">
        <v>33</v>
      </c>
      <c r="T14" s="75" t="s">
        <v>34</v>
      </c>
      <c r="U14" s="75" t="s">
        <v>35</v>
      </c>
      <c r="V14" s="76" t="s">
        <v>36</v>
      </c>
      <c r="W14" s="75" t="s">
        <v>37</v>
      </c>
      <c r="X14" s="77" t="s">
        <v>38</v>
      </c>
      <c r="Y14" s="75" t="s">
        <v>39</v>
      </c>
      <c r="Z14" s="75" t="s">
        <v>40</v>
      </c>
      <c r="AA14" s="75" t="s">
        <v>41</v>
      </c>
      <c r="AB14" s="75" t="s">
        <v>42</v>
      </c>
      <c r="AC14" s="75" t="s">
        <v>43</v>
      </c>
      <c r="AD14" s="75" t="s">
        <v>44</v>
      </c>
      <c r="AE14" s="75" t="s">
        <v>45</v>
      </c>
      <c r="AF14" s="78" t="s">
        <v>46</v>
      </c>
      <c r="AG14" s="75" t="s">
        <v>47</v>
      </c>
      <c r="AH14" s="77" t="s">
        <v>48</v>
      </c>
    </row>
    <row r="15">
      <c r="A15" s="31" t="s">
        <v>49</v>
      </c>
      <c r="B15" s="31" t="s">
        <v>50</v>
      </c>
      <c r="C15" s="31" t="s">
        <v>51</v>
      </c>
      <c r="D15" s="31">
        <v>3020.0</v>
      </c>
      <c r="E15" s="79">
        <f t="shared" ref="E15:E88" si="1">D15/90</f>
        <v>33.55555556</v>
      </c>
      <c r="F15" s="31">
        <v>2860.0</v>
      </c>
      <c r="G15" s="31">
        <v>175.0</v>
      </c>
      <c r="H15" s="31">
        <v>156.0</v>
      </c>
      <c r="I15" s="31">
        <v>326.0</v>
      </c>
      <c r="J15" s="31">
        <v>38.0</v>
      </c>
      <c r="K15" s="31">
        <f t="shared" ref="K15:K88" si="2">G15+H15+I15+J15</f>
        <v>695</v>
      </c>
      <c r="L15" s="31">
        <v>34.0</v>
      </c>
      <c r="M15" s="31">
        <v>27.0</v>
      </c>
      <c r="N15" s="31">
        <f>50+216</f>
        <v>266</v>
      </c>
      <c r="O15" s="31">
        <v>57.0</v>
      </c>
      <c r="P15">
        <f t="shared" ref="P15:P88" si="3">L15+M15+N15+O15</f>
        <v>384</v>
      </c>
      <c r="Q15" s="80">
        <f t="shared" ref="Q15:Q88" si="4">K15-P15</f>
        <v>311</v>
      </c>
      <c r="R15" s="81">
        <v>1.0</v>
      </c>
      <c r="S15" s="82">
        <f t="shared" ref="S15:S88" si="5">R15/W15</f>
        <v>0.04761904762</v>
      </c>
      <c r="T15" s="83">
        <v>4.0</v>
      </c>
      <c r="U15" s="84">
        <v>4.0</v>
      </c>
      <c r="V15" s="85">
        <f t="shared" ref="V15:V88" si="6">Q15*0.01</f>
        <v>3.11</v>
      </c>
      <c r="W15" s="81">
        <v>21.0</v>
      </c>
      <c r="X15" s="86">
        <f t="shared" ref="X15:X88" si="7">T15*1</f>
        <v>4</v>
      </c>
      <c r="Y15" s="87">
        <v>30.0</v>
      </c>
      <c r="Z15" s="88">
        <f t="shared" ref="Z15:Z88" si="8">Y15*0.09</f>
        <v>2.7</v>
      </c>
      <c r="AA15" s="89">
        <f t="shared" ref="AA15:AA88" si="9">T15/(T15+Y15)</f>
        <v>0.1176470588</v>
      </c>
      <c r="AB15" s="82">
        <f t="shared" ref="AB15:AB88" si="10">S15+AA15</f>
        <v>0.1652661064</v>
      </c>
      <c r="AC15" s="81">
        <v>47.0</v>
      </c>
      <c r="AD15" s="79">
        <f t="shared" ref="AD15:AD88" si="11">AC15*0.13</f>
        <v>6.11</v>
      </c>
      <c r="AE15" s="84">
        <f t="shared" ref="AE15:AE88" si="12">R15+T15+U15</f>
        <v>9</v>
      </c>
      <c r="AF15" s="90">
        <f t="shared" ref="AF15:AF88" si="13">AE15/E15</f>
        <v>0.2682119205</v>
      </c>
      <c r="AG15" s="79">
        <f t="shared" ref="AG15:AG88" si="14">V15+AE15</f>
        <v>12.11</v>
      </c>
      <c r="AH15" s="79">
        <f t="shared" ref="AH15:AH88" si="15">AG15/E15</f>
        <v>0.3608940397</v>
      </c>
    </row>
    <row r="16">
      <c r="A16" s="31" t="s">
        <v>52</v>
      </c>
      <c r="B16" s="31" t="s">
        <v>53</v>
      </c>
      <c r="C16" s="31" t="s">
        <v>54</v>
      </c>
      <c r="D16" s="31">
        <v>3076.0</v>
      </c>
      <c r="E16" s="79">
        <f t="shared" si="1"/>
        <v>34.17777778</v>
      </c>
      <c r="F16" s="31">
        <v>3076.0</v>
      </c>
      <c r="G16" s="31">
        <v>144.0</v>
      </c>
      <c r="H16" s="31">
        <v>141.0</v>
      </c>
      <c r="I16" s="31">
        <v>344.0</v>
      </c>
      <c r="J16" s="31">
        <v>31.0</v>
      </c>
      <c r="K16" s="31">
        <f t="shared" si="2"/>
        <v>660</v>
      </c>
      <c r="L16" s="31">
        <v>40.0</v>
      </c>
      <c r="M16" s="31">
        <v>36.0</v>
      </c>
      <c r="N16" s="31">
        <f>50+219</f>
        <v>269</v>
      </c>
      <c r="O16" s="31">
        <v>27.0</v>
      </c>
      <c r="P16">
        <f t="shared" si="3"/>
        <v>372</v>
      </c>
      <c r="Q16" s="80">
        <f t="shared" si="4"/>
        <v>288</v>
      </c>
      <c r="R16" s="81">
        <v>0.0</v>
      </c>
      <c r="S16" s="82">
        <f t="shared" si="5"/>
        <v>0</v>
      </c>
      <c r="T16" s="83">
        <v>1.0</v>
      </c>
      <c r="U16" s="84">
        <v>4.0</v>
      </c>
      <c r="V16" s="85">
        <f t="shared" si="6"/>
        <v>2.88</v>
      </c>
      <c r="W16" s="81">
        <v>30.0</v>
      </c>
      <c r="X16" s="86">
        <f t="shared" si="7"/>
        <v>1</v>
      </c>
      <c r="Y16" s="87">
        <v>28.0</v>
      </c>
      <c r="Z16" s="88">
        <f t="shared" si="8"/>
        <v>2.52</v>
      </c>
      <c r="AA16" s="89">
        <f t="shared" si="9"/>
        <v>0.03448275862</v>
      </c>
      <c r="AB16" s="82">
        <f t="shared" si="10"/>
        <v>0.03448275862</v>
      </c>
      <c r="AC16" s="81">
        <v>69.0</v>
      </c>
      <c r="AD16" s="79">
        <f t="shared" si="11"/>
        <v>8.97</v>
      </c>
      <c r="AE16" s="84">
        <f t="shared" si="12"/>
        <v>5</v>
      </c>
      <c r="AF16" s="90">
        <f t="shared" si="13"/>
        <v>0.1462938882</v>
      </c>
      <c r="AG16" s="79">
        <f t="shared" si="14"/>
        <v>7.88</v>
      </c>
      <c r="AH16" s="79">
        <f t="shared" si="15"/>
        <v>0.2305591678</v>
      </c>
    </row>
    <row r="17">
      <c r="A17" s="31" t="s">
        <v>55</v>
      </c>
      <c r="B17" s="31" t="s">
        <v>56</v>
      </c>
      <c r="C17" s="31" t="s">
        <v>51</v>
      </c>
      <c r="D17" s="31">
        <v>1647.0</v>
      </c>
      <c r="E17" s="79">
        <f t="shared" si="1"/>
        <v>18.3</v>
      </c>
      <c r="F17" s="31">
        <v>1591.0</v>
      </c>
      <c r="G17" s="31">
        <v>66.0</v>
      </c>
      <c r="H17" s="31">
        <v>77.0</v>
      </c>
      <c r="I17" s="31">
        <v>188.0</v>
      </c>
      <c r="J17" s="31">
        <v>19.0</v>
      </c>
      <c r="K17" s="31">
        <f t="shared" si="2"/>
        <v>350</v>
      </c>
      <c r="L17" s="31">
        <v>6.0</v>
      </c>
      <c r="M17" s="31">
        <v>19.0</v>
      </c>
      <c r="N17">
        <f>21+100</f>
        <v>121</v>
      </c>
      <c r="O17" s="31">
        <v>16.0</v>
      </c>
      <c r="P17">
        <f t="shared" si="3"/>
        <v>162</v>
      </c>
      <c r="Q17" s="80">
        <f t="shared" si="4"/>
        <v>188</v>
      </c>
      <c r="R17" s="83">
        <v>0.0</v>
      </c>
      <c r="S17" s="82">
        <f t="shared" si="5"/>
        <v>0</v>
      </c>
      <c r="T17" s="83">
        <v>0.0</v>
      </c>
      <c r="U17" s="84">
        <v>6.0</v>
      </c>
      <c r="V17" s="85">
        <f t="shared" si="6"/>
        <v>1.88</v>
      </c>
      <c r="W17" s="91">
        <v>8.0</v>
      </c>
      <c r="X17" s="86">
        <f t="shared" si="7"/>
        <v>0</v>
      </c>
      <c r="Y17" s="83">
        <v>6.0</v>
      </c>
      <c r="Z17" s="88">
        <f t="shared" si="8"/>
        <v>0.54</v>
      </c>
      <c r="AA17" s="89">
        <f t="shared" si="9"/>
        <v>0</v>
      </c>
      <c r="AB17" s="82">
        <f t="shared" si="10"/>
        <v>0</v>
      </c>
      <c r="AC17" s="91">
        <v>30.0</v>
      </c>
      <c r="AD17" s="79">
        <f t="shared" si="11"/>
        <v>3.9</v>
      </c>
      <c r="AE17" s="84">
        <f t="shared" si="12"/>
        <v>6</v>
      </c>
      <c r="AF17" s="90">
        <f t="shared" si="13"/>
        <v>0.3278688525</v>
      </c>
      <c r="AG17" s="79">
        <f t="shared" si="14"/>
        <v>7.88</v>
      </c>
      <c r="AH17" s="79">
        <f t="shared" si="15"/>
        <v>0.4306010929</v>
      </c>
    </row>
    <row r="18">
      <c r="A18" s="31" t="s">
        <v>57</v>
      </c>
      <c r="B18" s="31" t="s">
        <v>58</v>
      </c>
      <c r="C18" s="31" t="s">
        <v>59</v>
      </c>
      <c r="D18" s="31">
        <v>2273.0</v>
      </c>
      <c r="E18" s="79">
        <f t="shared" si="1"/>
        <v>25.25555556</v>
      </c>
      <c r="F18" s="31">
        <v>1957.0</v>
      </c>
      <c r="G18" s="31">
        <v>104.0</v>
      </c>
      <c r="H18" s="31">
        <v>56.0</v>
      </c>
      <c r="I18" s="31">
        <v>223.0</v>
      </c>
      <c r="J18" s="31">
        <v>31.0</v>
      </c>
      <c r="K18" s="31">
        <f t="shared" si="2"/>
        <v>414</v>
      </c>
      <c r="L18" s="31">
        <v>7.0</v>
      </c>
      <c r="M18" s="31">
        <v>63.0</v>
      </c>
      <c r="N18" s="31">
        <f>16+122</f>
        <v>138</v>
      </c>
      <c r="O18" s="31">
        <v>28.0</v>
      </c>
      <c r="P18">
        <f t="shared" si="3"/>
        <v>236</v>
      </c>
      <c r="Q18" s="80">
        <f t="shared" si="4"/>
        <v>178</v>
      </c>
      <c r="R18" s="83">
        <v>3.0</v>
      </c>
      <c r="S18" s="82">
        <f t="shared" si="5"/>
        <v>0.1363636364</v>
      </c>
      <c r="T18" s="83">
        <v>1.0</v>
      </c>
      <c r="U18" s="84">
        <v>2.0</v>
      </c>
      <c r="V18" s="85">
        <f t="shared" si="6"/>
        <v>1.78</v>
      </c>
      <c r="W18" s="91">
        <v>22.0</v>
      </c>
      <c r="X18" s="86">
        <f t="shared" si="7"/>
        <v>1</v>
      </c>
      <c r="Y18" s="83">
        <v>28.0</v>
      </c>
      <c r="Z18" s="88">
        <f t="shared" si="8"/>
        <v>2.52</v>
      </c>
      <c r="AA18" s="89">
        <f t="shared" si="9"/>
        <v>0.03448275862</v>
      </c>
      <c r="AB18" s="82">
        <f t="shared" si="10"/>
        <v>0.170846395</v>
      </c>
      <c r="AC18" s="91">
        <v>83.0</v>
      </c>
      <c r="AD18" s="79">
        <f t="shared" si="11"/>
        <v>10.79</v>
      </c>
      <c r="AE18" s="84">
        <f t="shared" si="12"/>
        <v>6</v>
      </c>
      <c r="AF18" s="90">
        <f t="shared" si="13"/>
        <v>0.2375714914</v>
      </c>
      <c r="AG18" s="79">
        <f t="shared" si="14"/>
        <v>7.78</v>
      </c>
      <c r="AH18" s="79">
        <f t="shared" si="15"/>
        <v>0.3080510339</v>
      </c>
    </row>
    <row r="19">
      <c r="A19" s="31" t="s">
        <v>60</v>
      </c>
      <c r="B19" s="31" t="s">
        <v>61</v>
      </c>
      <c r="C19" s="31" t="s">
        <v>62</v>
      </c>
      <c r="D19" s="31">
        <v>2854.0</v>
      </c>
      <c r="E19" s="79">
        <f t="shared" si="1"/>
        <v>31.71111111</v>
      </c>
      <c r="F19" s="31">
        <v>2809.0</v>
      </c>
      <c r="G19" s="31">
        <v>108.0</v>
      </c>
      <c r="H19" s="31">
        <v>118.0</v>
      </c>
      <c r="I19" s="31">
        <v>202.0</v>
      </c>
      <c r="J19" s="31">
        <v>47.0</v>
      </c>
      <c r="K19" s="31">
        <f t="shared" si="2"/>
        <v>475</v>
      </c>
      <c r="L19" s="31">
        <v>1.0</v>
      </c>
      <c r="M19" s="31">
        <v>20.0</v>
      </c>
      <c r="N19" s="31">
        <f>70+167</f>
        <v>237</v>
      </c>
      <c r="O19" s="31">
        <v>39.0</v>
      </c>
      <c r="P19">
        <f t="shared" si="3"/>
        <v>297</v>
      </c>
      <c r="Q19" s="80">
        <f t="shared" si="4"/>
        <v>178</v>
      </c>
      <c r="R19" s="83">
        <v>0.0</v>
      </c>
      <c r="S19" s="82">
        <f t="shared" si="5"/>
        <v>0</v>
      </c>
      <c r="T19" s="83">
        <v>1.0</v>
      </c>
      <c r="U19" s="84">
        <v>1.0</v>
      </c>
      <c r="V19" s="85">
        <f t="shared" si="6"/>
        <v>1.78</v>
      </c>
      <c r="W19" s="83">
        <v>9.0</v>
      </c>
      <c r="X19" s="86">
        <f t="shared" si="7"/>
        <v>1</v>
      </c>
      <c r="Y19" s="92">
        <v>8.0</v>
      </c>
      <c r="Z19" s="88">
        <f t="shared" si="8"/>
        <v>0.72</v>
      </c>
      <c r="AA19" s="89">
        <f t="shared" si="9"/>
        <v>0.1111111111</v>
      </c>
      <c r="AB19" s="82">
        <f t="shared" si="10"/>
        <v>0.1111111111</v>
      </c>
      <c r="AC19" s="83">
        <v>9.0</v>
      </c>
      <c r="AD19" s="79">
        <f t="shared" si="11"/>
        <v>1.17</v>
      </c>
      <c r="AE19" s="84">
        <f t="shared" si="12"/>
        <v>2</v>
      </c>
      <c r="AF19" s="90">
        <f t="shared" si="13"/>
        <v>0.06306937631</v>
      </c>
      <c r="AG19" s="79">
        <f t="shared" si="14"/>
        <v>3.78</v>
      </c>
      <c r="AH19" s="79">
        <f t="shared" si="15"/>
        <v>0.1192011212</v>
      </c>
    </row>
    <row r="20">
      <c r="A20" s="31" t="s">
        <v>63</v>
      </c>
      <c r="B20" s="31" t="s">
        <v>64</v>
      </c>
      <c r="C20" s="31" t="s">
        <v>51</v>
      </c>
      <c r="D20" s="31">
        <v>3189.0</v>
      </c>
      <c r="E20" s="79">
        <f t="shared" si="1"/>
        <v>35.43333333</v>
      </c>
      <c r="F20" s="31">
        <v>3161.0</v>
      </c>
      <c r="G20" s="31">
        <v>101.0</v>
      </c>
      <c r="H20" s="31">
        <v>85.0</v>
      </c>
      <c r="I20" s="31">
        <v>287.0</v>
      </c>
      <c r="J20" s="31">
        <v>46.0</v>
      </c>
      <c r="K20" s="31">
        <f t="shared" si="2"/>
        <v>519</v>
      </c>
      <c r="L20" s="31">
        <v>4.0</v>
      </c>
      <c r="M20" s="31">
        <v>25.0</v>
      </c>
      <c r="N20">
        <f>101+211</f>
        <v>312</v>
      </c>
      <c r="O20" s="31">
        <v>29.0</v>
      </c>
      <c r="P20">
        <f t="shared" si="3"/>
        <v>370</v>
      </c>
      <c r="Q20" s="80">
        <f t="shared" si="4"/>
        <v>149</v>
      </c>
      <c r="R20" s="83">
        <v>1.0</v>
      </c>
      <c r="S20" s="82">
        <f t="shared" si="5"/>
        <v>0.03448275862</v>
      </c>
      <c r="T20" s="83">
        <v>4.0</v>
      </c>
      <c r="U20" s="84">
        <v>3.0</v>
      </c>
      <c r="V20" s="85">
        <f t="shared" si="6"/>
        <v>1.49</v>
      </c>
      <c r="W20" s="83">
        <v>29.0</v>
      </c>
      <c r="X20" s="86">
        <f t="shared" si="7"/>
        <v>4</v>
      </c>
      <c r="Y20" s="92">
        <v>46.0</v>
      </c>
      <c r="Z20" s="88">
        <f t="shared" si="8"/>
        <v>4.14</v>
      </c>
      <c r="AA20" s="89">
        <f t="shared" si="9"/>
        <v>0.08</v>
      </c>
      <c r="AB20" s="82">
        <f t="shared" si="10"/>
        <v>0.1144827586</v>
      </c>
      <c r="AC20" s="83">
        <v>15.0</v>
      </c>
      <c r="AD20" s="79">
        <f t="shared" si="11"/>
        <v>1.95</v>
      </c>
      <c r="AE20" s="84">
        <f t="shared" si="12"/>
        <v>8</v>
      </c>
      <c r="AF20" s="90">
        <f t="shared" si="13"/>
        <v>0.2257761054</v>
      </c>
      <c r="AG20" s="79">
        <f t="shared" si="14"/>
        <v>9.49</v>
      </c>
      <c r="AH20" s="79">
        <f t="shared" si="15"/>
        <v>0.267826905</v>
      </c>
    </row>
    <row r="21">
      <c r="A21" s="31" t="s">
        <v>65</v>
      </c>
      <c r="B21" s="31" t="s">
        <v>66</v>
      </c>
      <c r="C21" s="31" t="s">
        <v>51</v>
      </c>
      <c r="D21" s="31">
        <v>2704.0</v>
      </c>
      <c r="E21" s="79">
        <f t="shared" si="1"/>
        <v>30.04444444</v>
      </c>
      <c r="F21" s="31">
        <v>2659.0</v>
      </c>
      <c r="G21" s="31">
        <v>107.0</v>
      </c>
      <c r="H21" s="31">
        <v>120.0</v>
      </c>
      <c r="I21" s="31">
        <v>193.0</v>
      </c>
      <c r="J21" s="31">
        <v>8.0</v>
      </c>
      <c r="K21" s="31">
        <f t="shared" si="2"/>
        <v>428</v>
      </c>
      <c r="L21" s="31">
        <v>12.0</v>
      </c>
      <c r="M21" s="31">
        <v>36.0</v>
      </c>
      <c r="N21" s="31">
        <f>70+151</f>
        <v>221</v>
      </c>
      <c r="O21" s="31">
        <v>12.0</v>
      </c>
      <c r="P21">
        <f t="shared" si="3"/>
        <v>281</v>
      </c>
      <c r="Q21" s="80">
        <f t="shared" si="4"/>
        <v>147</v>
      </c>
      <c r="R21" s="83">
        <v>5.0</v>
      </c>
      <c r="S21" s="82">
        <f t="shared" si="5"/>
        <v>0.07462686567</v>
      </c>
      <c r="T21" s="83">
        <v>1.0</v>
      </c>
      <c r="U21" s="84">
        <v>4.0</v>
      </c>
      <c r="V21" s="85">
        <f t="shared" si="6"/>
        <v>1.47</v>
      </c>
      <c r="W21" s="83">
        <v>67.0</v>
      </c>
      <c r="X21" s="86">
        <f t="shared" si="7"/>
        <v>1</v>
      </c>
      <c r="Y21" s="92">
        <v>50.0</v>
      </c>
      <c r="Z21" s="88">
        <f t="shared" si="8"/>
        <v>4.5</v>
      </c>
      <c r="AA21" s="89">
        <f t="shared" si="9"/>
        <v>0.01960784314</v>
      </c>
      <c r="AB21" s="82">
        <f t="shared" si="10"/>
        <v>0.09423470881</v>
      </c>
      <c r="AC21" s="83">
        <v>9.0</v>
      </c>
      <c r="AD21" s="79">
        <f t="shared" si="11"/>
        <v>1.17</v>
      </c>
      <c r="AE21" s="84">
        <f t="shared" si="12"/>
        <v>10</v>
      </c>
      <c r="AF21" s="90">
        <f t="shared" si="13"/>
        <v>0.3328402367</v>
      </c>
      <c r="AG21" s="79">
        <f t="shared" si="14"/>
        <v>11.47</v>
      </c>
      <c r="AH21" s="79">
        <f t="shared" si="15"/>
        <v>0.3817677515</v>
      </c>
    </row>
    <row r="22">
      <c r="A22" s="31" t="s">
        <v>67</v>
      </c>
      <c r="B22" s="31" t="s">
        <v>68</v>
      </c>
      <c r="C22" s="31" t="s">
        <v>69</v>
      </c>
      <c r="D22" s="31">
        <v>3174.0</v>
      </c>
      <c r="E22" s="79">
        <f t="shared" si="1"/>
        <v>35.26666667</v>
      </c>
      <c r="F22" s="31">
        <v>3174.0</v>
      </c>
      <c r="G22" s="31">
        <v>71.0</v>
      </c>
      <c r="H22" s="31">
        <v>73.0</v>
      </c>
      <c r="I22" s="31">
        <v>286.0</v>
      </c>
      <c r="J22" s="31">
        <v>40.0</v>
      </c>
      <c r="K22" s="31">
        <f t="shared" si="2"/>
        <v>470</v>
      </c>
      <c r="L22" s="31">
        <v>6.0</v>
      </c>
      <c r="M22" s="31">
        <v>19.0</v>
      </c>
      <c r="N22">
        <f>95+174</f>
        <v>269</v>
      </c>
      <c r="O22" s="31">
        <v>31.0</v>
      </c>
      <c r="P22">
        <f t="shared" si="3"/>
        <v>325</v>
      </c>
      <c r="Q22" s="80">
        <f t="shared" si="4"/>
        <v>145</v>
      </c>
      <c r="R22" s="83">
        <v>0.0</v>
      </c>
      <c r="S22" s="82">
        <f t="shared" si="5"/>
        <v>0</v>
      </c>
      <c r="T22" s="83">
        <v>1.0</v>
      </c>
      <c r="U22" s="84">
        <v>1.0</v>
      </c>
      <c r="V22" s="85">
        <f t="shared" si="6"/>
        <v>1.45</v>
      </c>
      <c r="W22" s="83">
        <v>11.0</v>
      </c>
      <c r="X22" s="86">
        <f t="shared" si="7"/>
        <v>1</v>
      </c>
      <c r="Y22" s="92">
        <v>25.0</v>
      </c>
      <c r="Z22" s="88">
        <f t="shared" si="8"/>
        <v>2.25</v>
      </c>
      <c r="AA22" s="89">
        <f t="shared" si="9"/>
        <v>0.03846153846</v>
      </c>
      <c r="AB22" s="82">
        <f t="shared" si="10"/>
        <v>0.03846153846</v>
      </c>
      <c r="AC22" s="83">
        <v>10.0</v>
      </c>
      <c r="AD22" s="79">
        <f t="shared" si="11"/>
        <v>1.3</v>
      </c>
      <c r="AE22" s="84">
        <f t="shared" si="12"/>
        <v>2</v>
      </c>
      <c r="AF22" s="90">
        <f t="shared" si="13"/>
        <v>0.05671077505</v>
      </c>
      <c r="AG22" s="79">
        <f t="shared" si="14"/>
        <v>3.45</v>
      </c>
      <c r="AH22" s="79">
        <f t="shared" si="15"/>
        <v>0.09782608696</v>
      </c>
    </row>
    <row r="23">
      <c r="A23" s="31" t="s">
        <v>70</v>
      </c>
      <c r="B23" s="31" t="s">
        <v>71</v>
      </c>
      <c r="C23" s="31" t="s">
        <v>72</v>
      </c>
      <c r="D23" s="31">
        <v>2501.0</v>
      </c>
      <c r="E23" s="79">
        <f t="shared" si="1"/>
        <v>27.78888889</v>
      </c>
      <c r="F23" s="31">
        <v>2456.0</v>
      </c>
      <c r="G23" s="31">
        <v>94.0</v>
      </c>
      <c r="H23" s="31">
        <v>68.0</v>
      </c>
      <c r="I23" s="31">
        <v>250.0</v>
      </c>
      <c r="J23" s="31">
        <v>64.0</v>
      </c>
      <c r="K23" s="31">
        <f t="shared" si="2"/>
        <v>476</v>
      </c>
      <c r="L23" s="31">
        <v>11.0</v>
      </c>
      <c r="M23" s="31">
        <v>25.0</v>
      </c>
      <c r="N23">
        <f>53+185</f>
        <v>238</v>
      </c>
      <c r="O23" s="31">
        <v>68.0</v>
      </c>
      <c r="P23">
        <f t="shared" si="3"/>
        <v>342</v>
      </c>
      <c r="Q23" s="80">
        <f t="shared" si="4"/>
        <v>134</v>
      </c>
      <c r="R23" s="83">
        <v>1.0</v>
      </c>
      <c r="S23" s="82">
        <f t="shared" si="5"/>
        <v>0.03225806452</v>
      </c>
      <c r="T23" s="83">
        <v>1.0</v>
      </c>
      <c r="U23" s="84">
        <v>2.0</v>
      </c>
      <c r="V23" s="85">
        <f t="shared" si="6"/>
        <v>1.34</v>
      </c>
      <c r="W23" s="83">
        <v>31.0</v>
      </c>
      <c r="X23" s="86">
        <f t="shared" si="7"/>
        <v>1</v>
      </c>
      <c r="Y23" s="92">
        <v>16.0</v>
      </c>
      <c r="Z23" s="88">
        <f t="shared" si="8"/>
        <v>1.44</v>
      </c>
      <c r="AA23" s="89">
        <f t="shared" si="9"/>
        <v>0.05882352941</v>
      </c>
      <c r="AB23" s="82">
        <f t="shared" si="10"/>
        <v>0.09108159393</v>
      </c>
      <c r="AC23" s="83">
        <v>23.0</v>
      </c>
      <c r="AD23" s="79">
        <f t="shared" si="11"/>
        <v>2.99</v>
      </c>
      <c r="AE23" s="84">
        <f t="shared" si="12"/>
        <v>4</v>
      </c>
      <c r="AF23" s="90">
        <f t="shared" si="13"/>
        <v>0.143942423</v>
      </c>
      <c r="AG23" s="79">
        <f t="shared" si="14"/>
        <v>5.34</v>
      </c>
      <c r="AH23" s="79">
        <f t="shared" si="15"/>
        <v>0.1921631347</v>
      </c>
    </row>
    <row r="24">
      <c r="A24" s="31" t="s">
        <v>73</v>
      </c>
      <c r="B24" s="31" t="s">
        <v>74</v>
      </c>
      <c r="C24" s="31" t="s">
        <v>54</v>
      </c>
      <c r="D24" s="31">
        <v>3010.0</v>
      </c>
      <c r="E24" s="79">
        <f t="shared" si="1"/>
        <v>33.44444444</v>
      </c>
      <c r="F24" s="31">
        <v>2830.0</v>
      </c>
      <c r="G24" s="31">
        <v>94.0</v>
      </c>
      <c r="H24" s="31">
        <v>76.0</v>
      </c>
      <c r="I24" s="31">
        <v>227.0</v>
      </c>
      <c r="J24" s="31">
        <v>87.0</v>
      </c>
      <c r="K24" s="31">
        <f t="shared" si="2"/>
        <v>484</v>
      </c>
      <c r="L24" s="31">
        <v>16.0</v>
      </c>
      <c r="M24" s="31">
        <v>29.0</v>
      </c>
      <c r="N24">
        <f>49+203</f>
        <v>252</v>
      </c>
      <c r="O24" s="31">
        <v>55.0</v>
      </c>
      <c r="P24">
        <f t="shared" si="3"/>
        <v>352</v>
      </c>
      <c r="Q24" s="80">
        <f t="shared" si="4"/>
        <v>132</v>
      </c>
      <c r="R24" s="81">
        <v>5.0</v>
      </c>
      <c r="S24" s="82">
        <f t="shared" si="5"/>
        <v>0.1111111111</v>
      </c>
      <c r="T24" s="83">
        <v>2.0</v>
      </c>
      <c r="U24" s="84">
        <v>4.0</v>
      </c>
      <c r="V24" s="85">
        <f t="shared" si="6"/>
        <v>1.32</v>
      </c>
      <c r="W24" s="81">
        <v>45.0</v>
      </c>
      <c r="X24" s="86">
        <f t="shared" si="7"/>
        <v>2</v>
      </c>
      <c r="Y24" s="87">
        <v>21.0</v>
      </c>
      <c r="Z24" s="88">
        <f t="shared" si="8"/>
        <v>1.89</v>
      </c>
      <c r="AA24" s="89">
        <f t="shared" si="9"/>
        <v>0.08695652174</v>
      </c>
      <c r="AB24" s="82">
        <f t="shared" si="10"/>
        <v>0.1980676329</v>
      </c>
      <c r="AC24" s="81">
        <v>29.0</v>
      </c>
      <c r="AD24" s="79">
        <f t="shared" si="11"/>
        <v>3.77</v>
      </c>
      <c r="AE24" s="84">
        <f t="shared" si="12"/>
        <v>11</v>
      </c>
      <c r="AF24" s="90">
        <f t="shared" si="13"/>
        <v>0.3289036545</v>
      </c>
      <c r="AG24" s="79">
        <f t="shared" si="14"/>
        <v>12.32</v>
      </c>
      <c r="AH24" s="79">
        <f t="shared" si="15"/>
        <v>0.368372093</v>
      </c>
    </row>
    <row r="25">
      <c r="A25" s="31" t="s">
        <v>75</v>
      </c>
      <c r="B25" s="31" t="s">
        <v>76</v>
      </c>
      <c r="C25" s="31" t="s">
        <v>77</v>
      </c>
      <c r="D25" s="31">
        <v>2397.0</v>
      </c>
      <c r="E25" s="79">
        <f t="shared" si="1"/>
        <v>26.63333333</v>
      </c>
      <c r="F25" s="31">
        <v>2200.0</v>
      </c>
      <c r="G25" s="31">
        <v>81.0</v>
      </c>
      <c r="H25" s="31">
        <v>61.0</v>
      </c>
      <c r="I25" s="31">
        <v>168.0</v>
      </c>
      <c r="J25" s="31">
        <v>25.0</v>
      </c>
      <c r="K25" s="31">
        <f t="shared" si="2"/>
        <v>335</v>
      </c>
      <c r="L25" s="31">
        <v>5.0</v>
      </c>
      <c r="M25" s="31">
        <v>17.0</v>
      </c>
      <c r="N25">
        <f>42+120</f>
        <v>162</v>
      </c>
      <c r="O25" s="31">
        <v>20.0</v>
      </c>
      <c r="P25">
        <f t="shared" si="3"/>
        <v>204</v>
      </c>
      <c r="Q25" s="80">
        <f t="shared" si="4"/>
        <v>131</v>
      </c>
      <c r="R25" s="83">
        <v>1.0</v>
      </c>
      <c r="S25" s="82">
        <f t="shared" si="5"/>
        <v>0.06666666667</v>
      </c>
      <c r="T25" s="83">
        <v>1.0</v>
      </c>
      <c r="U25" s="84">
        <v>1.0</v>
      </c>
      <c r="V25" s="85">
        <f t="shared" si="6"/>
        <v>1.31</v>
      </c>
      <c r="W25" s="91">
        <v>15.0</v>
      </c>
      <c r="X25" s="86">
        <f t="shared" si="7"/>
        <v>1</v>
      </c>
      <c r="Y25" s="83">
        <v>16.0</v>
      </c>
      <c r="Z25" s="88">
        <f t="shared" si="8"/>
        <v>1.44</v>
      </c>
      <c r="AA25" s="89">
        <f t="shared" si="9"/>
        <v>0.05882352941</v>
      </c>
      <c r="AB25" s="82">
        <f t="shared" si="10"/>
        <v>0.1254901961</v>
      </c>
      <c r="AC25" s="91">
        <v>7.0</v>
      </c>
      <c r="AD25" s="79">
        <f t="shared" si="11"/>
        <v>0.91</v>
      </c>
      <c r="AE25" s="84">
        <f t="shared" si="12"/>
        <v>3</v>
      </c>
      <c r="AF25" s="90">
        <f t="shared" si="13"/>
        <v>0.112640801</v>
      </c>
      <c r="AG25" s="79">
        <f t="shared" si="14"/>
        <v>4.31</v>
      </c>
      <c r="AH25" s="79">
        <f t="shared" si="15"/>
        <v>0.1618272841</v>
      </c>
    </row>
    <row r="26">
      <c r="A26" s="31" t="s">
        <v>78</v>
      </c>
      <c r="B26" s="31" t="s">
        <v>79</v>
      </c>
      <c r="C26" s="31" t="s">
        <v>80</v>
      </c>
      <c r="D26" s="31">
        <v>2421.0</v>
      </c>
      <c r="E26" s="79">
        <f t="shared" si="1"/>
        <v>26.9</v>
      </c>
      <c r="F26" s="31">
        <v>2333.0</v>
      </c>
      <c r="G26" s="31">
        <v>84.0</v>
      </c>
      <c r="H26" s="31">
        <v>67.0</v>
      </c>
      <c r="I26" s="31">
        <v>228.0</v>
      </c>
      <c r="J26" s="31">
        <v>37.0</v>
      </c>
      <c r="K26" s="31">
        <f t="shared" si="2"/>
        <v>416</v>
      </c>
      <c r="L26" s="31">
        <v>15.0</v>
      </c>
      <c r="M26" s="31">
        <v>36.0</v>
      </c>
      <c r="N26">
        <f>35+156</f>
        <v>191</v>
      </c>
      <c r="O26" s="31">
        <v>44.0</v>
      </c>
      <c r="P26">
        <f t="shared" si="3"/>
        <v>286</v>
      </c>
      <c r="Q26" s="80">
        <f t="shared" si="4"/>
        <v>130</v>
      </c>
      <c r="R26" s="83">
        <v>2.0</v>
      </c>
      <c r="S26" s="82">
        <f t="shared" si="5"/>
        <v>0.05882352941</v>
      </c>
      <c r="T26" s="83">
        <v>2.0</v>
      </c>
      <c r="U26" s="84">
        <v>0.0</v>
      </c>
      <c r="V26" s="85">
        <f t="shared" si="6"/>
        <v>1.3</v>
      </c>
      <c r="W26" s="83">
        <v>34.0</v>
      </c>
      <c r="X26" s="86">
        <f t="shared" si="7"/>
        <v>2</v>
      </c>
      <c r="Y26" s="83">
        <v>19.0</v>
      </c>
      <c r="Z26" s="88">
        <f t="shared" si="8"/>
        <v>1.71</v>
      </c>
      <c r="AA26" s="89">
        <f t="shared" si="9"/>
        <v>0.09523809524</v>
      </c>
      <c r="AB26" s="82">
        <f t="shared" si="10"/>
        <v>0.1540616246</v>
      </c>
      <c r="AC26" s="83">
        <v>38.0</v>
      </c>
      <c r="AD26" s="79">
        <f t="shared" si="11"/>
        <v>4.94</v>
      </c>
      <c r="AE26" s="84">
        <f t="shared" si="12"/>
        <v>4</v>
      </c>
      <c r="AF26" s="90">
        <f t="shared" si="13"/>
        <v>0.1486988848</v>
      </c>
      <c r="AG26" s="79">
        <f t="shared" si="14"/>
        <v>5.3</v>
      </c>
      <c r="AH26" s="79">
        <f t="shared" si="15"/>
        <v>0.1970260223</v>
      </c>
    </row>
    <row r="27">
      <c r="A27" s="31" t="s">
        <v>81</v>
      </c>
      <c r="B27" s="31" t="s">
        <v>82</v>
      </c>
      <c r="C27" s="31" t="s">
        <v>51</v>
      </c>
      <c r="D27" s="31">
        <v>2205.0</v>
      </c>
      <c r="E27" s="79">
        <f t="shared" si="1"/>
        <v>24.5</v>
      </c>
      <c r="F27" s="31">
        <v>2136.0</v>
      </c>
      <c r="G27" s="31">
        <v>66.0</v>
      </c>
      <c r="H27" s="31">
        <v>73.0</v>
      </c>
      <c r="I27" s="31">
        <v>161.0</v>
      </c>
      <c r="J27" s="31">
        <v>19.0</v>
      </c>
      <c r="K27" s="31">
        <f t="shared" si="2"/>
        <v>319</v>
      </c>
      <c r="L27" s="31">
        <v>5.0</v>
      </c>
      <c r="M27" s="31">
        <v>13.0</v>
      </c>
      <c r="N27">
        <f>39+114</f>
        <v>153</v>
      </c>
      <c r="O27" s="31">
        <v>31.0</v>
      </c>
      <c r="P27">
        <f t="shared" si="3"/>
        <v>202</v>
      </c>
      <c r="Q27" s="80">
        <f t="shared" si="4"/>
        <v>117</v>
      </c>
      <c r="R27" s="83">
        <v>1.0</v>
      </c>
      <c r="S27" s="82">
        <f t="shared" si="5"/>
        <v>0.09090909091</v>
      </c>
      <c r="T27" s="83">
        <v>0.0</v>
      </c>
      <c r="U27" s="84">
        <v>3.0</v>
      </c>
      <c r="V27" s="85">
        <f t="shared" si="6"/>
        <v>1.17</v>
      </c>
      <c r="W27" s="91">
        <v>11.0</v>
      </c>
      <c r="X27" s="86">
        <f t="shared" si="7"/>
        <v>0</v>
      </c>
      <c r="Y27" s="83">
        <v>9.0</v>
      </c>
      <c r="Z27" s="88">
        <f t="shared" si="8"/>
        <v>0.81</v>
      </c>
      <c r="AA27" s="89">
        <f t="shared" si="9"/>
        <v>0</v>
      </c>
      <c r="AB27" s="82">
        <f t="shared" si="10"/>
        <v>0.09090909091</v>
      </c>
      <c r="AC27" s="91">
        <v>9.0</v>
      </c>
      <c r="AD27" s="79">
        <f t="shared" si="11"/>
        <v>1.17</v>
      </c>
      <c r="AE27" s="84">
        <f t="shared" si="12"/>
        <v>4</v>
      </c>
      <c r="AF27" s="90">
        <f t="shared" si="13"/>
        <v>0.1632653061</v>
      </c>
      <c r="AG27" s="79">
        <f t="shared" si="14"/>
        <v>5.17</v>
      </c>
      <c r="AH27" s="79">
        <f t="shared" si="15"/>
        <v>0.2110204082</v>
      </c>
      <c r="AI27" s="31"/>
    </row>
    <row r="28">
      <c r="A28" s="31" t="s">
        <v>83</v>
      </c>
      <c r="B28" s="31" t="s">
        <v>74</v>
      </c>
      <c r="C28" s="31" t="s">
        <v>77</v>
      </c>
      <c r="D28" s="31">
        <v>3205.0</v>
      </c>
      <c r="E28" s="79">
        <f t="shared" si="1"/>
        <v>35.61111111</v>
      </c>
      <c r="F28" s="31">
        <v>3205.0</v>
      </c>
      <c r="G28" s="31">
        <v>103.0</v>
      </c>
      <c r="H28" s="31">
        <v>83.0</v>
      </c>
      <c r="I28" s="31">
        <v>236.0</v>
      </c>
      <c r="J28" s="31">
        <v>17.0</v>
      </c>
      <c r="K28" s="31">
        <f t="shared" si="2"/>
        <v>439</v>
      </c>
      <c r="L28" s="31">
        <v>9.0</v>
      </c>
      <c r="M28" s="31">
        <v>40.0</v>
      </c>
      <c r="N28" s="31">
        <f>63+199</f>
        <v>262</v>
      </c>
      <c r="O28" s="31">
        <v>17.0</v>
      </c>
      <c r="P28">
        <f t="shared" si="3"/>
        <v>328</v>
      </c>
      <c r="Q28" s="80">
        <f t="shared" si="4"/>
        <v>111</v>
      </c>
      <c r="R28" s="83">
        <v>7.0</v>
      </c>
      <c r="S28" s="82">
        <f t="shared" si="5"/>
        <v>0.2058823529</v>
      </c>
      <c r="T28" s="83">
        <v>4.0</v>
      </c>
      <c r="U28" s="84">
        <v>0.0</v>
      </c>
      <c r="V28" s="85">
        <f t="shared" si="6"/>
        <v>1.11</v>
      </c>
      <c r="W28" s="83">
        <v>34.0</v>
      </c>
      <c r="X28" s="86">
        <f t="shared" si="7"/>
        <v>4</v>
      </c>
      <c r="Y28" s="92">
        <v>50.0</v>
      </c>
      <c r="Z28" s="88">
        <f t="shared" si="8"/>
        <v>4.5</v>
      </c>
      <c r="AA28" s="89">
        <f t="shared" si="9"/>
        <v>0.07407407407</v>
      </c>
      <c r="AB28" s="82">
        <f t="shared" si="10"/>
        <v>0.279956427</v>
      </c>
      <c r="AC28" s="83">
        <v>29.0</v>
      </c>
      <c r="AD28" s="79">
        <f t="shared" si="11"/>
        <v>3.77</v>
      </c>
      <c r="AE28" s="84">
        <f t="shared" si="12"/>
        <v>11</v>
      </c>
      <c r="AF28" s="90">
        <f t="shared" si="13"/>
        <v>0.3088923557</v>
      </c>
      <c r="AG28" s="79">
        <f t="shared" si="14"/>
        <v>12.11</v>
      </c>
      <c r="AH28" s="79">
        <f t="shared" si="15"/>
        <v>0.3400624025</v>
      </c>
    </row>
    <row r="29">
      <c r="A29" s="31" t="s">
        <v>84</v>
      </c>
      <c r="B29" s="31" t="s">
        <v>85</v>
      </c>
      <c r="C29" s="31" t="s">
        <v>86</v>
      </c>
      <c r="D29" s="31">
        <v>1713.0</v>
      </c>
      <c r="E29" s="79">
        <f t="shared" si="1"/>
        <v>19.03333333</v>
      </c>
      <c r="F29" s="31">
        <v>1477.0</v>
      </c>
      <c r="G29" s="31">
        <v>60.0</v>
      </c>
      <c r="H29" s="31">
        <v>43.0</v>
      </c>
      <c r="I29" s="31">
        <v>112.0</v>
      </c>
      <c r="J29" s="31">
        <v>38.0</v>
      </c>
      <c r="K29" s="31">
        <f t="shared" si="2"/>
        <v>253</v>
      </c>
      <c r="L29" s="31">
        <v>4.0</v>
      </c>
      <c r="M29" s="31">
        <v>10.0</v>
      </c>
      <c r="N29">
        <f>20+81</f>
        <v>101</v>
      </c>
      <c r="O29" s="31">
        <v>27.0</v>
      </c>
      <c r="P29">
        <f t="shared" si="3"/>
        <v>142</v>
      </c>
      <c r="Q29" s="80">
        <f t="shared" si="4"/>
        <v>111</v>
      </c>
      <c r="R29" s="83">
        <v>2.0</v>
      </c>
      <c r="S29" s="82">
        <f t="shared" si="5"/>
        <v>0.1333333333</v>
      </c>
      <c r="T29" s="83">
        <v>0.0</v>
      </c>
      <c r="U29" s="84">
        <v>3.0</v>
      </c>
      <c r="V29" s="85">
        <f t="shared" si="6"/>
        <v>1.11</v>
      </c>
      <c r="W29" s="91">
        <v>15.0</v>
      </c>
      <c r="X29" s="86">
        <f t="shared" si="7"/>
        <v>0</v>
      </c>
      <c r="Y29" s="83">
        <v>8.0</v>
      </c>
      <c r="Z29" s="88">
        <f t="shared" si="8"/>
        <v>0.72</v>
      </c>
      <c r="AA29" s="89">
        <f t="shared" si="9"/>
        <v>0</v>
      </c>
      <c r="AB29" s="82">
        <f t="shared" si="10"/>
        <v>0.1333333333</v>
      </c>
      <c r="AC29" s="91">
        <v>16.0</v>
      </c>
      <c r="AD29" s="79">
        <f t="shared" si="11"/>
        <v>2.08</v>
      </c>
      <c r="AE29" s="84">
        <f t="shared" si="12"/>
        <v>5</v>
      </c>
      <c r="AF29" s="90">
        <f t="shared" si="13"/>
        <v>0.2626970228</v>
      </c>
      <c r="AG29" s="79">
        <f t="shared" si="14"/>
        <v>6.11</v>
      </c>
      <c r="AH29" s="79">
        <f t="shared" si="15"/>
        <v>0.3210157618</v>
      </c>
    </row>
    <row r="30">
      <c r="A30" s="31" t="s">
        <v>87</v>
      </c>
      <c r="B30" s="31" t="s">
        <v>88</v>
      </c>
      <c r="C30" s="31" t="s">
        <v>77</v>
      </c>
      <c r="D30" s="31">
        <v>1528.0</v>
      </c>
      <c r="E30" s="79">
        <f t="shared" si="1"/>
        <v>16.97777778</v>
      </c>
      <c r="F30" s="31">
        <v>1451.0</v>
      </c>
      <c r="G30" s="31">
        <v>41.0</v>
      </c>
      <c r="H30" s="31">
        <v>62.0</v>
      </c>
      <c r="I30" s="31">
        <v>138.0</v>
      </c>
      <c r="J30" s="31">
        <v>9.0</v>
      </c>
      <c r="K30" s="31">
        <f t="shared" si="2"/>
        <v>250</v>
      </c>
      <c r="L30" s="31">
        <v>3.0</v>
      </c>
      <c r="M30" s="31">
        <v>20.0</v>
      </c>
      <c r="N30">
        <f>18+102</f>
        <v>120</v>
      </c>
      <c r="O30" s="31">
        <v>12.0</v>
      </c>
      <c r="P30">
        <f t="shared" si="3"/>
        <v>155</v>
      </c>
      <c r="Q30" s="80">
        <f t="shared" si="4"/>
        <v>95</v>
      </c>
      <c r="R30" s="83">
        <v>0.0</v>
      </c>
      <c r="S30" s="82">
        <f t="shared" si="5"/>
        <v>0</v>
      </c>
      <c r="T30" s="83">
        <v>0.0</v>
      </c>
      <c r="U30" s="84">
        <v>2.0</v>
      </c>
      <c r="V30" s="85">
        <f t="shared" si="6"/>
        <v>0.95</v>
      </c>
      <c r="W30" s="91">
        <v>5.0</v>
      </c>
      <c r="X30" s="86">
        <f t="shared" si="7"/>
        <v>0</v>
      </c>
      <c r="Y30" s="83">
        <v>4.0</v>
      </c>
      <c r="Z30" s="88">
        <f t="shared" si="8"/>
        <v>0.36</v>
      </c>
      <c r="AA30" s="89">
        <f t="shared" si="9"/>
        <v>0</v>
      </c>
      <c r="AB30" s="82">
        <f t="shared" si="10"/>
        <v>0</v>
      </c>
      <c r="AC30" s="91">
        <v>16.0</v>
      </c>
      <c r="AD30" s="79">
        <f t="shared" si="11"/>
        <v>2.08</v>
      </c>
      <c r="AE30" s="84">
        <f t="shared" si="12"/>
        <v>2</v>
      </c>
      <c r="AF30" s="90">
        <f t="shared" si="13"/>
        <v>0.1178010471</v>
      </c>
      <c r="AG30" s="79">
        <f t="shared" si="14"/>
        <v>2.95</v>
      </c>
      <c r="AH30" s="79">
        <f t="shared" si="15"/>
        <v>0.1737565445</v>
      </c>
    </row>
    <row r="31">
      <c r="A31" s="31" t="s">
        <v>89</v>
      </c>
      <c r="B31" s="31" t="s">
        <v>90</v>
      </c>
      <c r="C31" s="31" t="s">
        <v>91</v>
      </c>
      <c r="D31" s="31">
        <v>1609.0</v>
      </c>
      <c r="E31" s="79">
        <f t="shared" si="1"/>
        <v>17.87777778</v>
      </c>
      <c r="F31" s="31">
        <v>1305.0</v>
      </c>
      <c r="G31" s="31">
        <v>77.0</v>
      </c>
      <c r="H31" s="31">
        <v>40.0</v>
      </c>
      <c r="I31" s="31">
        <v>124.0</v>
      </c>
      <c r="J31" s="31">
        <v>25.0</v>
      </c>
      <c r="K31" s="31">
        <f t="shared" si="2"/>
        <v>266</v>
      </c>
      <c r="L31" s="31">
        <v>5.0</v>
      </c>
      <c r="M31" s="31">
        <v>15.0</v>
      </c>
      <c r="N31">
        <f>22+103</f>
        <v>125</v>
      </c>
      <c r="O31" s="31">
        <v>28.0</v>
      </c>
      <c r="P31">
        <f t="shared" si="3"/>
        <v>173</v>
      </c>
      <c r="Q31" s="80">
        <f t="shared" si="4"/>
        <v>93</v>
      </c>
      <c r="R31" s="83">
        <v>1.0</v>
      </c>
      <c r="S31" s="82">
        <f t="shared" si="5"/>
        <v>0.03571428571</v>
      </c>
      <c r="T31" s="83">
        <v>0.0</v>
      </c>
      <c r="U31" s="84">
        <v>1.0</v>
      </c>
      <c r="V31" s="85">
        <f t="shared" si="6"/>
        <v>0.93</v>
      </c>
      <c r="W31" s="91">
        <v>28.0</v>
      </c>
      <c r="X31" s="86">
        <f t="shared" si="7"/>
        <v>0</v>
      </c>
      <c r="Y31" s="83">
        <v>11.0</v>
      </c>
      <c r="Z31" s="88">
        <f t="shared" si="8"/>
        <v>0.99</v>
      </c>
      <c r="AA31" s="89">
        <f t="shared" si="9"/>
        <v>0</v>
      </c>
      <c r="AB31" s="82">
        <f t="shared" si="10"/>
        <v>0.03571428571</v>
      </c>
      <c r="AC31" s="91">
        <v>16.0</v>
      </c>
      <c r="AD31" s="79">
        <f t="shared" si="11"/>
        <v>2.08</v>
      </c>
      <c r="AE31" s="84">
        <f t="shared" si="12"/>
        <v>2</v>
      </c>
      <c r="AF31" s="90">
        <f t="shared" si="13"/>
        <v>0.1118707272</v>
      </c>
      <c r="AG31" s="79">
        <f t="shared" si="14"/>
        <v>2.93</v>
      </c>
      <c r="AH31" s="79">
        <f t="shared" si="15"/>
        <v>0.1638906153</v>
      </c>
    </row>
    <row r="32">
      <c r="A32" s="31" t="s">
        <v>92</v>
      </c>
      <c r="B32" s="31" t="s">
        <v>66</v>
      </c>
      <c r="C32" s="31" t="s">
        <v>93</v>
      </c>
      <c r="D32" s="31">
        <v>2193.0</v>
      </c>
      <c r="E32" s="79">
        <f t="shared" si="1"/>
        <v>24.36666667</v>
      </c>
      <c r="F32" s="31">
        <v>2156.0</v>
      </c>
      <c r="G32" s="31">
        <v>55.0</v>
      </c>
      <c r="H32" s="31">
        <v>66.0</v>
      </c>
      <c r="I32" s="31">
        <v>167.0</v>
      </c>
      <c r="J32" s="31">
        <v>32.0</v>
      </c>
      <c r="K32" s="31">
        <f t="shared" si="2"/>
        <v>320</v>
      </c>
      <c r="L32" s="31">
        <v>10.0</v>
      </c>
      <c r="M32" s="31">
        <v>29.0</v>
      </c>
      <c r="N32">
        <f>47+107</f>
        <v>154</v>
      </c>
      <c r="O32" s="31">
        <v>42.0</v>
      </c>
      <c r="P32">
        <f t="shared" si="3"/>
        <v>235</v>
      </c>
      <c r="Q32" s="80">
        <f t="shared" si="4"/>
        <v>85</v>
      </c>
      <c r="R32" s="83">
        <v>2.0</v>
      </c>
      <c r="S32" s="82">
        <f t="shared" si="5"/>
        <v>0.125</v>
      </c>
      <c r="T32" s="83">
        <v>2.0</v>
      </c>
      <c r="U32" s="84">
        <v>1.0</v>
      </c>
      <c r="V32" s="85">
        <f t="shared" si="6"/>
        <v>0.85</v>
      </c>
      <c r="W32" s="91">
        <v>16.0</v>
      </c>
      <c r="X32" s="86">
        <f t="shared" si="7"/>
        <v>2</v>
      </c>
      <c r="Y32" s="83">
        <v>22.0</v>
      </c>
      <c r="Z32" s="88">
        <f t="shared" si="8"/>
        <v>1.98</v>
      </c>
      <c r="AA32" s="89">
        <f t="shared" si="9"/>
        <v>0.08333333333</v>
      </c>
      <c r="AB32" s="82">
        <f t="shared" si="10"/>
        <v>0.2083333333</v>
      </c>
      <c r="AC32" s="91">
        <v>10.0</v>
      </c>
      <c r="AD32" s="79">
        <f t="shared" si="11"/>
        <v>1.3</v>
      </c>
      <c r="AE32" s="84">
        <f t="shared" si="12"/>
        <v>5</v>
      </c>
      <c r="AF32" s="90">
        <f t="shared" si="13"/>
        <v>0.2051983584</v>
      </c>
      <c r="AG32" s="79">
        <f t="shared" si="14"/>
        <v>5.85</v>
      </c>
      <c r="AH32" s="79">
        <f t="shared" si="15"/>
        <v>0.2400820793</v>
      </c>
    </row>
    <row r="33">
      <c r="A33" s="31" t="s">
        <v>94</v>
      </c>
      <c r="B33" s="31" t="s">
        <v>79</v>
      </c>
      <c r="C33" s="31" t="s">
        <v>95</v>
      </c>
      <c r="D33" s="31">
        <v>1784.0</v>
      </c>
      <c r="E33" s="79">
        <f t="shared" si="1"/>
        <v>19.82222222</v>
      </c>
      <c r="F33" s="31">
        <v>1457.0</v>
      </c>
      <c r="G33" s="31">
        <v>52.0</v>
      </c>
      <c r="H33" s="31">
        <v>32.0</v>
      </c>
      <c r="I33" s="31">
        <v>157.0</v>
      </c>
      <c r="J33" s="31">
        <v>18.0</v>
      </c>
      <c r="K33" s="31">
        <f t="shared" si="2"/>
        <v>259</v>
      </c>
      <c r="L33" s="31">
        <v>3.0</v>
      </c>
      <c r="M33" s="31">
        <v>12.0</v>
      </c>
      <c r="N33">
        <f>40+90</f>
        <v>130</v>
      </c>
      <c r="O33" s="31">
        <v>29.0</v>
      </c>
      <c r="P33">
        <f t="shared" si="3"/>
        <v>174</v>
      </c>
      <c r="Q33" s="80">
        <f t="shared" si="4"/>
        <v>85</v>
      </c>
      <c r="R33" s="83">
        <v>0.0</v>
      </c>
      <c r="S33" s="82">
        <f t="shared" si="5"/>
        <v>0</v>
      </c>
      <c r="T33" s="83">
        <v>1.0</v>
      </c>
      <c r="U33" s="84">
        <v>2.0</v>
      </c>
      <c r="V33" s="85">
        <f t="shared" si="6"/>
        <v>0.85</v>
      </c>
      <c r="W33" s="91">
        <v>7.0</v>
      </c>
      <c r="X33" s="86">
        <f t="shared" si="7"/>
        <v>1</v>
      </c>
      <c r="Y33" s="83">
        <v>5.0</v>
      </c>
      <c r="Z33" s="88">
        <f t="shared" si="8"/>
        <v>0.45</v>
      </c>
      <c r="AA33" s="89">
        <f t="shared" si="9"/>
        <v>0.1666666667</v>
      </c>
      <c r="AB33" s="82">
        <f t="shared" si="10"/>
        <v>0.1666666667</v>
      </c>
      <c r="AC33" s="91">
        <v>20.0</v>
      </c>
      <c r="AD33" s="79">
        <f t="shared" si="11"/>
        <v>2.6</v>
      </c>
      <c r="AE33" s="84">
        <f t="shared" si="12"/>
        <v>3</v>
      </c>
      <c r="AF33" s="90">
        <f t="shared" si="13"/>
        <v>0.1513452915</v>
      </c>
      <c r="AG33" s="79">
        <f t="shared" si="14"/>
        <v>3.85</v>
      </c>
      <c r="AH33" s="79">
        <f t="shared" si="15"/>
        <v>0.1942264574</v>
      </c>
    </row>
    <row r="34">
      <c r="A34" s="31" t="s">
        <v>96</v>
      </c>
      <c r="B34" s="31" t="s">
        <v>97</v>
      </c>
      <c r="C34" s="31" t="s">
        <v>98</v>
      </c>
      <c r="D34" s="31">
        <v>1228.0</v>
      </c>
      <c r="E34" s="79">
        <f t="shared" si="1"/>
        <v>13.64444444</v>
      </c>
      <c r="F34" s="31">
        <v>1107.0</v>
      </c>
      <c r="G34" s="31">
        <v>48.0</v>
      </c>
      <c r="H34" s="31">
        <v>42.0</v>
      </c>
      <c r="I34" s="31">
        <v>125.0</v>
      </c>
      <c r="J34" s="31">
        <v>35.0</v>
      </c>
      <c r="K34" s="31">
        <f t="shared" si="2"/>
        <v>250</v>
      </c>
      <c r="L34" s="31">
        <v>6.0</v>
      </c>
      <c r="M34" s="31">
        <v>15.0</v>
      </c>
      <c r="N34">
        <f>41+80</f>
        <v>121</v>
      </c>
      <c r="O34" s="31">
        <v>23.0</v>
      </c>
      <c r="P34">
        <f t="shared" si="3"/>
        <v>165</v>
      </c>
      <c r="Q34" s="80">
        <f t="shared" si="4"/>
        <v>85</v>
      </c>
      <c r="R34" s="83">
        <v>0.0</v>
      </c>
      <c r="S34" s="82">
        <f t="shared" si="5"/>
        <v>0</v>
      </c>
      <c r="T34" s="83">
        <v>0.0</v>
      </c>
      <c r="U34" s="84">
        <v>2.0</v>
      </c>
      <c r="V34" s="85">
        <f t="shared" si="6"/>
        <v>0.85</v>
      </c>
      <c r="W34" s="91">
        <v>1.0</v>
      </c>
      <c r="X34" s="86">
        <f t="shared" si="7"/>
        <v>0</v>
      </c>
      <c r="Y34" s="83">
        <v>8.0</v>
      </c>
      <c r="Z34" s="88">
        <f t="shared" si="8"/>
        <v>0.72</v>
      </c>
      <c r="AA34" s="89">
        <f t="shared" si="9"/>
        <v>0</v>
      </c>
      <c r="AB34" s="82">
        <f t="shared" si="10"/>
        <v>0</v>
      </c>
      <c r="AC34" s="91">
        <v>15.0</v>
      </c>
      <c r="AD34" s="79">
        <f t="shared" si="11"/>
        <v>1.95</v>
      </c>
      <c r="AE34" s="84">
        <f t="shared" si="12"/>
        <v>2</v>
      </c>
      <c r="AF34" s="90">
        <f t="shared" si="13"/>
        <v>0.1465798046</v>
      </c>
      <c r="AG34" s="79">
        <f t="shared" si="14"/>
        <v>2.85</v>
      </c>
      <c r="AH34" s="79">
        <f t="shared" si="15"/>
        <v>0.2088762215</v>
      </c>
    </row>
    <row r="35">
      <c r="A35" s="31" t="s">
        <v>99</v>
      </c>
      <c r="B35" s="31" t="s">
        <v>100</v>
      </c>
      <c r="C35" s="31" t="s">
        <v>86</v>
      </c>
      <c r="D35" s="31">
        <v>1953.0</v>
      </c>
      <c r="E35" s="79">
        <f t="shared" si="1"/>
        <v>21.7</v>
      </c>
      <c r="F35" s="31">
        <v>1574.0</v>
      </c>
      <c r="G35" s="31">
        <v>107.0</v>
      </c>
      <c r="H35" s="31">
        <v>52.0</v>
      </c>
      <c r="I35" s="31">
        <v>167.0</v>
      </c>
      <c r="J35" s="31">
        <v>62.0</v>
      </c>
      <c r="K35" s="31">
        <f t="shared" si="2"/>
        <v>388</v>
      </c>
      <c r="L35" s="31">
        <v>2.0</v>
      </c>
      <c r="M35" s="31">
        <v>18.0</v>
      </c>
      <c r="N35" s="31">
        <f>57+189</f>
        <v>246</v>
      </c>
      <c r="O35" s="31">
        <v>43.0</v>
      </c>
      <c r="P35">
        <f t="shared" si="3"/>
        <v>309</v>
      </c>
      <c r="Q35" s="80">
        <f t="shared" si="4"/>
        <v>79</v>
      </c>
      <c r="R35" s="83">
        <v>0.0</v>
      </c>
      <c r="S35" s="82">
        <f t="shared" si="5"/>
        <v>0</v>
      </c>
      <c r="T35" s="83">
        <v>1.0</v>
      </c>
      <c r="U35" s="84">
        <v>3.0</v>
      </c>
      <c r="V35" s="85">
        <f t="shared" si="6"/>
        <v>0.79</v>
      </c>
      <c r="W35" s="91">
        <v>9.0</v>
      </c>
      <c r="X35" s="86">
        <f t="shared" si="7"/>
        <v>1</v>
      </c>
      <c r="Y35" s="83">
        <v>22.0</v>
      </c>
      <c r="Z35" s="88">
        <f t="shared" si="8"/>
        <v>1.98</v>
      </c>
      <c r="AA35" s="89">
        <f t="shared" si="9"/>
        <v>0.04347826087</v>
      </c>
      <c r="AB35" s="82">
        <f t="shared" si="10"/>
        <v>0.04347826087</v>
      </c>
      <c r="AC35" s="91">
        <v>14.0</v>
      </c>
      <c r="AD35" s="79">
        <f t="shared" si="11"/>
        <v>1.82</v>
      </c>
      <c r="AE35" s="84">
        <f t="shared" si="12"/>
        <v>4</v>
      </c>
      <c r="AF35" s="90">
        <f t="shared" si="13"/>
        <v>0.1843317972</v>
      </c>
      <c r="AG35" s="79">
        <f t="shared" si="14"/>
        <v>4.79</v>
      </c>
      <c r="AH35" s="79">
        <f t="shared" si="15"/>
        <v>0.2207373272</v>
      </c>
    </row>
    <row r="36">
      <c r="A36" s="31" t="s">
        <v>101</v>
      </c>
      <c r="B36" s="31" t="s">
        <v>88</v>
      </c>
      <c r="C36" s="31" t="s">
        <v>102</v>
      </c>
      <c r="D36" s="31">
        <v>1853.0</v>
      </c>
      <c r="E36" s="79">
        <f t="shared" si="1"/>
        <v>20.58888889</v>
      </c>
      <c r="F36" s="31">
        <v>1683.0</v>
      </c>
      <c r="G36" s="31">
        <v>32.0</v>
      </c>
      <c r="H36" s="31">
        <v>28.0</v>
      </c>
      <c r="I36" s="31">
        <v>151.0</v>
      </c>
      <c r="J36" s="31">
        <v>17.0</v>
      </c>
      <c r="K36" s="31">
        <f t="shared" si="2"/>
        <v>228</v>
      </c>
      <c r="L36" s="31">
        <v>3.0</v>
      </c>
      <c r="M36" s="31">
        <v>25.0</v>
      </c>
      <c r="N36">
        <f>18+88</f>
        <v>106</v>
      </c>
      <c r="O36" s="31">
        <v>17.0</v>
      </c>
      <c r="P36">
        <f t="shared" si="3"/>
        <v>151</v>
      </c>
      <c r="Q36" s="80">
        <f t="shared" si="4"/>
        <v>77</v>
      </c>
      <c r="R36" s="83">
        <v>2.0</v>
      </c>
      <c r="S36" s="82">
        <f t="shared" si="5"/>
        <v>0.08333333333</v>
      </c>
      <c r="T36" s="83">
        <v>1.0</v>
      </c>
      <c r="U36" s="84">
        <v>2.0</v>
      </c>
      <c r="V36" s="85">
        <f t="shared" si="6"/>
        <v>0.77</v>
      </c>
      <c r="W36" s="91">
        <v>24.0</v>
      </c>
      <c r="X36" s="86">
        <f t="shared" si="7"/>
        <v>1</v>
      </c>
      <c r="Y36" s="83">
        <v>22.0</v>
      </c>
      <c r="Z36" s="88">
        <f t="shared" si="8"/>
        <v>1.98</v>
      </c>
      <c r="AA36" s="89">
        <f t="shared" si="9"/>
        <v>0.04347826087</v>
      </c>
      <c r="AB36" s="82">
        <f t="shared" si="10"/>
        <v>0.1268115942</v>
      </c>
      <c r="AC36" s="91">
        <v>11.0</v>
      </c>
      <c r="AD36" s="79">
        <f t="shared" si="11"/>
        <v>1.43</v>
      </c>
      <c r="AE36" s="84">
        <f t="shared" si="12"/>
        <v>5</v>
      </c>
      <c r="AF36" s="90">
        <f t="shared" si="13"/>
        <v>0.2428494334</v>
      </c>
      <c r="AG36" s="79">
        <f t="shared" si="14"/>
        <v>5.77</v>
      </c>
      <c r="AH36" s="79">
        <f t="shared" si="15"/>
        <v>0.2802482461</v>
      </c>
    </row>
    <row r="37">
      <c r="A37" s="31" t="s">
        <v>103</v>
      </c>
      <c r="B37" s="31" t="s">
        <v>104</v>
      </c>
      <c r="C37" s="31" t="s">
        <v>105</v>
      </c>
      <c r="D37" s="31">
        <v>1952.0</v>
      </c>
      <c r="E37" s="79">
        <f t="shared" si="1"/>
        <v>21.68888889</v>
      </c>
      <c r="F37" s="31">
        <v>1952.0</v>
      </c>
      <c r="G37" s="31">
        <v>48.0</v>
      </c>
      <c r="H37" s="31">
        <v>42.0</v>
      </c>
      <c r="I37" s="31">
        <v>164.0</v>
      </c>
      <c r="J37" s="31">
        <v>31.0</v>
      </c>
      <c r="K37" s="31">
        <f t="shared" si="2"/>
        <v>285</v>
      </c>
      <c r="L37" s="31">
        <v>5.0</v>
      </c>
      <c r="M37" s="31">
        <v>15.0</v>
      </c>
      <c r="N37">
        <f>51+121</f>
        <v>172</v>
      </c>
      <c r="O37" s="31">
        <v>24.0</v>
      </c>
      <c r="P37">
        <f t="shared" si="3"/>
        <v>216</v>
      </c>
      <c r="Q37" s="80">
        <f t="shared" si="4"/>
        <v>69</v>
      </c>
      <c r="R37" s="83">
        <v>2.0</v>
      </c>
      <c r="S37" s="82">
        <f t="shared" si="5"/>
        <v>0.1</v>
      </c>
      <c r="T37" s="83">
        <v>0.0</v>
      </c>
      <c r="U37" s="84">
        <v>3.0</v>
      </c>
      <c r="V37" s="85">
        <f t="shared" si="6"/>
        <v>0.69</v>
      </c>
      <c r="W37" s="91">
        <v>20.0</v>
      </c>
      <c r="X37" s="86">
        <f t="shared" si="7"/>
        <v>0</v>
      </c>
      <c r="Y37" s="83">
        <v>5.0</v>
      </c>
      <c r="Z37" s="88">
        <f t="shared" si="8"/>
        <v>0.45</v>
      </c>
      <c r="AA37" s="89">
        <f t="shared" si="9"/>
        <v>0</v>
      </c>
      <c r="AB37" s="82">
        <f t="shared" si="10"/>
        <v>0.1</v>
      </c>
      <c r="AC37" s="91">
        <v>15.0</v>
      </c>
      <c r="AD37" s="79">
        <f t="shared" si="11"/>
        <v>1.95</v>
      </c>
      <c r="AE37" s="84">
        <f t="shared" si="12"/>
        <v>5</v>
      </c>
      <c r="AF37" s="90">
        <f t="shared" si="13"/>
        <v>0.2305327869</v>
      </c>
      <c r="AG37" s="79">
        <f t="shared" si="14"/>
        <v>5.69</v>
      </c>
      <c r="AH37" s="79">
        <f t="shared" si="15"/>
        <v>0.2623463115</v>
      </c>
    </row>
    <row r="38">
      <c r="A38" s="31" t="s">
        <v>106</v>
      </c>
      <c r="B38" s="31" t="s">
        <v>85</v>
      </c>
      <c r="C38" s="31" t="s">
        <v>86</v>
      </c>
      <c r="D38" s="31">
        <v>2732.0</v>
      </c>
      <c r="E38" s="79">
        <f t="shared" si="1"/>
        <v>30.35555556</v>
      </c>
      <c r="F38" s="31">
        <v>2670.0</v>
      </c>
      <c r="G38" s="31">
        <v>105.0</v>
      </c>
      <c r="H38" s="31">
        <v>56.0</v>
      </c>
      <c r="I38" s="31">
        <v>189.0</v>
      </c>
      <c r="J38" s="31">
        <v>43.0</v>
      </c>
      <c r="K38" s="31">
        <f t="shared" si="2"/>
        <v>393</v>
      </c>
      <c r="L38" s="31">
        <v>15.0</v>
      </c>
      <c r="M38" s="31">
        <v>32.0</v>
      </c>
      <c r="N38" s="31">
        <f>43+193</f>
        <v>236</v>
      </c>
      <c r="O38" s="31">
        <v>45.0</v>
      </c>
      <c r="P38">
        <f t="shared" si="3"/>
        <v>328</v>
      </c>
      <c r="Q38" s="80">
        <f t="shared" si="4"/>
        <v>65</v>
      </c>
      <c r="R38" s="83">
        <v>2.0</v>
      </c>
      <c r="S38" s="82">
        <f t="shared" si="5"/>
        <v>0.06896551724</v>
      </c>
      <c r="T38" s="83">
        <v>2.0</v>
      </c>
      <c r="U38" s="84">
        <v>2.0</v>
      </c>
      <c r="V38" s="85">
        <f t="shared" si="6"/>
        <v>0.65</v>
      </c>
      <c r="W38" s="83">
        <v>29.0</v>
      </c>
      <c r="X38" s="86">
        <f t="shared" si="7"/>
        <v>2</v>
      </c>
      <c r="Y38" s="92">
        <v>29.0</v>
      </c>
      <c r="Z38" s="88">
        <f t="shared" si="8"/>
        <v>2.61</v>
      </c>
      <c r="AA38" s="89">
        <f t="shared" si="9"/>
        <v>0.06451612903</v>
      </c>
      <c r="AB38" s="82">
        <f t="shared" si="10"/>
        <v>0.1334816463</v>
      </c>
      <c r="AC38" s="83">
        <v>30.0</v>
      </c>
      <c r="AD38" s="79">
        <f t="shared" si="11"/>
        <v>3.9</v>
      </c>
      <c r="AE38" s="84">
        <f t="shared" si="12"/>
        <v>6</v>
      </c>
      <c r="AF38" s="90">
        <f t="shared" si="13"/>
        <v>0.1976573939</v>
      </c>
      <c r="AG38" s="79">
        <f t="shared" si="14"/>
        <v>6.65</v>
      </c>
      <c r="AH38" s="79">
        <f t="shared" si="15"/>
        <v>0.2190702782</v>
      </c>
    </row>
    <row r="39">
      <c r="A39" s="31" t="s">
        <v>107</v>
      </c>
      <c r="B39" s="31" t="s">
        <v>108</v>
      </c>
      <c r="C39" s="31" t="s">
        <v>69</v>
      </c>
      <c r="D39" s="31">
        <v>2435.0</v>
      </c>
      <c r="E39" s="79">
        <f t="shared" si="1"/>
        <v>27.05555556</v>
      </c>
      <c r="F39" s="31">
        <v>2435.0</v>
      </c>
      <c r="G39" s="31">
        <v>79.0</v>
      </c>
      <c r="H39" s="31">
        <v>51.0</v>
      </c>
      <c r="I39" s="31">
        <v>135.0</v>
      </c>
      <c r="J39" s="31">
        <v>11.0</v>
      </c>
      <c r="K39" s="31">
        <f t="shared" si="2"/>
        <v>276</v>
      </c>
      <c r="L39" s="31">
        <v>3.0</v>
      </c>
      <c r="M39" s="31">
        <v>19.0</v>
      </c>
      <c r="N39">
        <f>58+118</f>
        <v>176</v>
      </c>
      <c r="O39" s="31">
        <v>20.0</v>
      </c>
      <c r="P39">
        <f t="shared" si="3"/>
        <v>218</v>
      </c>
      <c r="Q39" s="80">
        <f t="shared" si="4"/>
        <v>58</v>
      </c>
      <c r="R39" s="83">
        <v>2.0</v>
      </c>
      <c r="S39" s="82">
        <f t="shared" si="5"/>
        <v>0.125</v>
      </c>
      <c r="T39" s="83">
        <v>2.0</v>
      </c>
      <c r="U39" s="84">
        <v>1.0</v>
      </c>
      <c r="V39" s="85">
        <f t="shared" si="6"/>
        <v>0.58</v>
      </c>
      <c r="W39" s="83">
        <v>16.0</v>
      </c>
      <c r="X39" s="86">
        <f t="shared" si="7"/>
        <v>2</v>
      </c>
      <c r="Y39" s="83">
        <v>14.0</v>
      </c>
      <c r="Z39" s="88">
        <f t="shared" si="8"/>
        <v>1.26</v>
      </c>
      <c r="AA39" s="89">
        <f t="shared" si="9"/>
        <v>0.125</v>
      </c>
      <c r="AB39" s="82">
        <f t="shared" si="10"/>
        <v>0.25</v>
      </c>
      <c r="AC39" s="83">
        <v>7.0</v>
      </c>
      <c r="AD39" s="79">
        <f t="shared" si="11"/>
        <v>0.91</v>
      </c>
      <c r="AE39" s="84">
        <f t="shared" si="12"/>
        <v>5</v>
      </c>
      <c r="AF39" s="90">
        <f t="shared" si="13"/>
        <v>0.1848049281</v>
      </c>
      <c r="AG39" s="79">
        <f t="shared" si="14"/>
        <v>5.58</v>
      </c>
      <c r="AH39" s="79">
        <f t="shared" si="15"/>
        <v>0.2062422998</v>
      </c>
    </row>
    <row r="40">
      <c r="A40" s="31" t="s">
        <v>109</v>
      </c>
      <c r="B40" s="31" t="s">
        <v>53</v>
      </c>
      <c r="C40" s="31" t="s">
        <v>110</v>
      </c>
      <c r="D40" s="31">
        <v>1371.0</v>
      </c>
      <c r="E40" s="79">
        <f t="shared" si="1"/>
        <v>15.23333333</v>
      </c>
      <c r="F40" s="31">
        <v>1284.0</v>
      </c>
      <c r="G40" s="31">
        <v>53.0</v>
      </c>
      <c r="H40" s="31">
        <v>45.0</v>
      </c>
      <c r="I40" s="31">
        <v>118.0</v>
      </c>
      <c r="J40" s="31">
        <v>27.0</v>
      </c>
      <c r="K40" s="31">
        <f t="shared" si="2"/>
        <v>243</v>
      </c>
      <c r="L40" s="31">
        <v>5.0</v>
      </c>
      <c r="M40" s="31">
        <v>7.0</v>
      </c>
      <c r="N40">
        <f>38+116</f>
        <v>154</v>
      </c>
      <c r="O40" s="31">
        <v>20.0</v>
      </c>
      <c r="P40">
        <f t="shared" si="3"/>
        <v>186</v>
      </c>
      <c r="Q40" s="80">
        <f t="shared" si="4"/>
        <v>57</v>
      </c>
      <c r="R40" s="83">
        <v>0.0</v>
      </c>
      <c r="S40" s="82">
        <f t="shared" si="5"/>
        <v>0</v>
      </c>
      <c r="T40" s="83">
        <v>0.0</v>
      </c>
      <c r="U40" s="84">
        <v>2.0</v>
      </c>
      <c r="V40" s="85">
        <f t="shared" si="6"/>
        <v>0.57</v>
      </c>
      <c r="W40" s="91">
        <v>13.0</v>
      </c>
      <c r="X40" s="86">
        <f t="shared" si="7"/>
        <v>0</v>
      </c>
      <c r="Y40" s="83">
        <v>4.0</v>
      </c>
      <c r="Z40" s="88">
        <f t="shared" si="8"/>
        <v>0.36</v>
      </c>
      <c r="AA40" s="89">
        <f t="shared" si="9"/>
        <v>0</v>
      </c>
      <c r="AB40" s="82">
        <f t="shared" si="10"/>
        <v>0</v>
      </c>
      <c r="AC40" s="91">
        <v>17.0</v>
      </c>
      <c r="AD40" s="79">
        <f t="shared" si="11"/>
        <v>2.21</v>
      </c>
      <c r="AE40" s="84">
        <f t="shared" si="12"/>
        <v>2</v>
      </c>
      <c r="AF40" s="90">
        <f t="shared" si="13"/>
        <v>0.1312910284</v>
      </c>
      <c r="AG40" s="79">
        <f t="shared" si="14"/>
        <v>2.57</v>
      </c>
      <c r="AH40" s="79">
        <f t="shared" si="15"/>
        <v>0.1687089716</v>
      </c>
    </row>
    <row r="41">
      <c r="A41" s="31" t="s">
        <v>111</v>
      </c>
      <c r="B41" s="31" t="s">
        <v>71</v>
      </c>
      <c r="C41" s="31" t="s">
        <v>112</v>
      </c>
      <c r="D41" s="31">
        <v>1554.0</v>
      </c>
      <c r="E41" s="79">
        <f t="shared" si="1"/>
        <v>17.26666667</v>
      </c>
      <c r="F41" s="31">
        <v>1478.0</v>
      </c>
      <c r="G41" s="31">
        <v>42.0</v>
      </c>
      <c r="H41" s="31">
        <v>55.0</v>
      </c>
      <c r="I41" s="31">
        <v>120.0</v>
      </c>
      <c r="J41" s="31">
        <v>8.0</v>
      </c>
      <c r="K41" s="31">
        <f t="shared" si="2"/>
        <v>225</v>
      </c>
      <c r="L41" s="31">
        <v>1.0</v>
      </c>
      <c r="M41" s="31">
        <v>10.0</v>
      </c>
      <c r="N41">
        <f>45+97</f>
        <v>142</v>
      </c>
      <c r="O41" s="31">
        <v>24.0</v>
      </c>
      <c r="P41">
        <f t="shared" si="3"/>
        <v>177</v>
      </c>
      <c r="Q41" s="80">
        <f t="shared" si="4"/>
        <v>48</v>
      </c>
      <c r="R41" s="83">
        <v>0.0</v>
      </c>
      <c r="S41" s="82">
        <f t="shared" si="5"/>
        <v>0</v>
      </c>
      <c r="T41" s="83">
        <v>0.0</v>
      </c>
      <c r="U41" s="84">
        <v>2.0</v>
      </c>
      <c r="V41" s="85">
        <f t="shared" si="6"/>
        <v>0.48</v>
      </c>
      <c r="W41" s="91">
        <v>14.0</v>
      </c>
      <c r="X41" s="86">
        <f t="shared" si="7"/>
        <v>0</v>
      </c>
      <c r="Y41" s="83">
        <v>14.0</v>
      </c>
      <c r="Z41" s="88">
        <f t="shared" si="8"/>
        <v>1.26</v>
      </c>
      <c r="AA41" s="89">
        <f t="shared" si="9"/>
        <v>0</v>
      </c>
      <c r="AB41" s="82">
        <f t="shared" si="10"/>
        <v>0</v>
      </c>
      <c r="AC41" s="91">
        <v>4.0</v>
      </c>
      <c r="AD41" s="79">
        <f t="shared" si="11"/>
        <v>0.52</v>
      </c>
      <c r="AE41" s="84">
        <f t="shared" si="12"/>
        <v>2</v>
      </c>
      <c r="AF41" s="90">
        <f t="shared" si="13"/>
        <v>0.1158301158</v>
      </c>
      <c r="AG41" s="79">
        <f t="shared" si="14"/>
        <v>2.48</v>
      </c>
      <c r="AH41" s="79">
        <f t="shared" si="15"/>
        <v>0.1436293436</v>
      </c>
    </row>
    <row r="42">
      <c r="A42" s="31" t="s">
        <v>113</v>
      </c>
      <c r="B42" s="31" t="s">
        <v>56</v>
      </c>
      <c r="C42" s="31" t="s">
        <v>91</v>
      </c>
      <c r="D42" s="31">
        <v>1293.0</v>
      </c>
      <c r="E42" s="79">
        <f t="shared" si="1"/>
        <v>14.36666667</v>
      </c>
      <c r="F42" s="31">
        <v>1203.0</v>
      </c>
      <c r="G42" s="31">
        <v>28.0</v>
      </c>
      <c r="H42" s="31">
        <v>26.0</v>
      </c>
      <c r="I42" s="31">
        <v>139.0</v>
      </c>
      <c r="J42" s="31">
        <v>1.0</v>
      </c>
      <c r="K42" s="31">
        <f t="shared" si="2"/>
        <v>194</v>
      </c>
      <c r="L42" s="31">
        <v>9.0</v>
      </c>
      <c r="M42" s="31">
        <v>20.0</v>
      </c>
      <c r="N42">
        <f>28+92</f>
        <v>120</v>
      </c>
      <c r="O42" s="31">
        <v>6.0</v>
      </c>
      <c r="P42">
        <f t="shared" si="3"/>
        <v>155</v>
      </c>
      <c r="Q42" s="80">
        <f t="shared" si="4"/>
        <v>39</v>
      </c>
      <c r="R42" s="83">
        <v>0.0</v>
      </c>
      <c r="S42" s="82">
        <f t="shared" si="5"/>
        <v>0</v>
      </c>
      <c r="T42" s="83">
        <v>3.0</v>
      </c>
      <c r="U42" s="84">
        <v>1.0</v>
      </c>
      <c r="V42" s="85">
        <f t="shared" si="6"/>
        <v>0.39</v>
      </c>
      <c r="W42" s="91">
        <v>24.0</v>
      </c>
      <c r="X42" s="86">
        <f t="shared" si="7"/>
        <v>3</v>
      </c>
      <c r="Y42" s="83">
        <v>38.0</v>
      </c>
      <c r="Z42" s="88">
        <f t="shared" si="8"/>
        <v>3.42</v>
      </c>
      <c r="AA42" s="89">
        <f t="shared" si="9"/>
        <v>0.07317073171</v>
      </c>
      <c r="AB42" s="82">
        <f t="shared" si="10"/>
        <v>0.07317073171</v>
      </c>
      <c r="AC42" s="91">
        <v>37.0</v>
      </c>
      <c r="AD42" s="79">
        <f t="shared" si="11"/>
        <v>4.81</v>
      </c>
      <c r="AE42" s="84">
        <f t="shared" si="12"/>
        <v>4</v>
      </c>
      <c r="AF42" s="90">
        <f t="shared" si="13"/>
        <v>0.2784222738</v>
      </c>
      <c r="AG42" s="79">
        <f t="shared" si="14"/>
        <v>4.39</v>
      </c>
      <c r="AH42" s="79">
        <f t="shared" si="15"/>
        <v>0.3055684455</v>
      </c>
    </row>
    <row r="43">
      <c r="A43" s="31" t="s">
        <v>114</v>
      </c>
      <c r="B43" s="31" t="s">
        <v>97</v>
      </c>
      <c r="C43" s="31" t="s">
        <v>112</v>
      </c>
      <c r="D43" s="31">
        <v>2108.0</v>
      </c>
      <c r="E43" s="79">
        <f t="shared" si="1"/>
        <v>23.42222222</v>
      </c>
      <c r="F43" s="31">
        <v>1344.0</v>
      </c>
      <c r="G43" s="31">
        <v>74.0</v>
      </c>
      <c r="H43" s="31">
        <v>56.0</v>
      </c>
      <c r="I43" s="31">
        <v>160.0</v>
      </c>
      <c r="J43" s="31">
        <v>16.0</v>
      </c>
      <c r="K43" s="31">
        <f t="shared" si="2"/>
        <v>306</v>
      </c>
      <c r="L43" s="31">
        <v>7.0</v>
      </c>
      <c r="M43" s="31">
        <v>16.0</v>
      </c>
      <c r="N43">
        <f>79+145</f>
        <v>224</v>
      </c>
      <c r="O43" s="31">
        <v>21.0</v>
      </c>
      <c r="P43">
        <f t="shared" si="3"/>
        <v>268</v>
      </c>
      <c r="Q43" s="80">
        <f t="shared" si="4"/>
        <v>38</v>
      </c>
      <c r="R43" s="83">
        <v>1.0</v>
      </c>
      <c r="S43" s="82">
        <f t="shared" si="5"/>
        <v>0.125</v>
      </c>
      <c r="T43" s="83">
        <v>3.0</v>
      </c>
      <c r="U43" s="84">
        <v>4.0</v>
      </c>
      <c r="V43" s="85">
        <f t="shared" si="6"/>
        <v>0.38</v>
      </c>
      <c r="W43" s="91">
        <v>8.0</v>
      </c>
      <c r="X43" s="86">
        <f t="shared" si="7"/>
        <v>3</v>
      </c>
      <c r="Y43" s="83">
        <v>13.0</v>
      </c>
      <c r="Z43" s="88">
        <f t="shared" si="8"/>
        <v>1.17</v>
      </c>
      <c r="AA43" s="89">
        <f t="shared" si="9"/>
        <v>0.1875</v>
      </c>
      <c r="AB43" s="82">
        <f t="shared" si="10"/>
        <v>0.3125</v>
      </c>
      <c r="AC43" s="91">
        <v>8.0</v>
      </c>
      <c r="AD43" s="79">
        <f t="shared" si="11"/>
        <v>1.04</v>
      </c>
      <c r="AE43" s="84">
        <f t="shared" si="12"/>
        <v>8</v>
      </c>
      <c r="AF43" s="90">
        <f t="shared" si="13"/>
        <v>0.3415559772</v>
      </c>
      <c r="AG43" s="79">
        <f t="shared" si="14"/>
        <v>8.38</v>
      </c>
      <c r="AH43" s="79">
        <f t="shared" si="15"/>
        <v>0.3577798861</v>
      </c>
    </row>
    <row r="44">
      <c r="A44" s="31" t="s">
        <v>115</v>
      </c>
      <c r="B44" s="31" t="s">
        <v>61</v>
      </c>
      <c r="C44" s="31" t="s">
        <v>93</v>
      </c>
      <c r="D44" s="31">
        <v>1344.0</v>
      </c>
      <c r="E44" s="79">
        <f t="shared" si="1"/>
        <v>14.93333333</v>
      </c>
      <c r="F44" s="31">
        <v>1163.0</v>
      </c>
      <c r="G44" s="31">
        <v>26.0</v>
      </c>
      <c r="H44" s="31">
        <v>43.0</v>
      </c>
      <c r="I44" s="31">
        <v>106.0</v>
      </c>
      <c r="J44" s="31">
        <v>6.0</v>
      </c>
      <c r="K44" s="31">
        <f t="shared" si="2"/>
        <v>181</v>
      </c>
      <c r="L44" s="31">
        <v>8.0</v>
      </c>
      <c r="M44" s="31">
        <v>27.0</v>
      </c>
      <c r="N44">
        <f>25+72</f>
        <v>97</v>
      </c>
      <c r="O44" s="31">
        <v>12.0</v>
      </c>
      <c r="P44">
        <f t="shared" si="3"/>
        <v>144</v>
      </c>
      <c r="Q44" s="80">
        <f t="shared" si="4"/>
        <v>37</v>
      </c>
      <c r="R44" s="83">
        <v>3.0</v>
      </c>
      <c r="S44" s="82">
        <f t="shared" si="5"/>
        <v>0.125</v>
      </c>
      <c r="T44" s="83">
        <v>3.0</v>
      </c>
      <c r="U44" s="84">
        <v>0.0</v>
      </c>
      <c r="V44" s="85">
        <f t="shared" si="6"/>
        <v>0.37</v>
      </c>
      <c r="W44" s="91">
        <v>24.0</v>
      </c>
      <c r="X44" s="86">
        <f t="shared" si="7"/>
        <v>3</v>
      </c>
      <c r="Y44" s="83">
        <v>15.0</v>
      </c>
      <c r="Z44" s="88">
        <f t="shared" si="8"/>
        <v>1.35</v>
      </c>
      <c r="AA44" s="89">
        <f t="shared" si="9"/>
        <v>0.1666666667</v>
      </c>
      <c r="AB44" s="82">
        <f t="shared" si="10"/>
        <v>0.2916666667</v>
      </c>
      <c r="AC44" s="91">
        <v>22.0</v>
      </c>
      <c r="AD44" s="79">
        <f t="shared" si="11"/>
        <v>2.86</v>
      </c>
      <c r="AE44" s="84">
        <f t="shared" si="12"/>
        <v>6</v>
      </c>
      <c r="AF44" s="90">
        <f t="shared" si="13"/>
        <v>0.4017857143</v>
      </c>
      <c r="AG44" s="79">
        <f t="shared" si="14"/>
        <v>6.37</v>
      </c>
      <c r="AH44" s="79">
        <f t="shared" si="15"/>
        <v>0.4265625</v>
      </c>
    </row>
    <row r="45">
      <c r="A45" s="31" t="s">
        <v>116</v>
      </c>
      <c r="B45" s="31" t="s">
        <v>88</v>
      </c>
      <c r="C45" s="31" t="s">
        <v>77</v>
      </c>
      <c r="D45" s="31">
        <v>2545.0</v>
      </c>
      <c r="E45" s="79">
        <f t="shared" si="1"/>
        <v>28.27777778</v>
      </c>
      <c r="F45" s="31">
        <v>2404.0</v>
      </c>
      <c r="G45" s="31">
        <v>77.0</v>
      </c>
      <c r="H45" s="31">
        <v>83.0</v>
      </c>
      <c r="I45" s="31">
        <v>199.0</v>
      </c>
      <c r="J45" s="31">
        <v>58.0</v>
      </c>
      <c r="K45" s="31">
        <f t="shared" si="2"/>
        <v>417</v>
      </c>
      <c r="L45" s="31">
        <v>10.0</v>
      </c>
      <c r="M45" s="31">
        <v>36.0</v>
      </c>
      <c r="N45" s="31">
        <f>50+228</f>
        <v>278</v>
      </c>
      <c r="O45" s="31">
        <v>56.0</v>
      </c>
      <c r="P45">
        <f t="shared" si="3"/>
        <v>380</v>
      </c>
      <c r="Q45" s="80">
        <f t="shared" si="4"/>
        <v>37</v>
      </c>
      <c r="R45" s="83">
        <v>1.0</v>
      </c>
      <c r="S45" s="82">
        <f t="shared" si="5"/>
        <v>0.05263157895</v>
      </c>
      <c r="T45" s="83">
        <v>2.0</v>
      </c>
      <c r="U45" s="84">
        <v>0.0</v>
      </c>
      <c r="V45" s="85">
        <f t="shared" si="6"/>
        <v>0.37</v>
      </c>
      <c r="W45" s="83">
        <v>19.0</v>
      </c>
      <c r="X45" s="86">
        <f t="shared" si="7"/>
        <v>2</v>
      </c>
      <c r="Y45" s="92">
        <v>30.0</v>
      </c>
      <c r="Z45" s="88">
        <f t="shared" si="8"/>
        <v>2.7</v>
      </c>
      <c r="AA45" s="89">
        <f t="shared" si="9"/>
        <v>0.0625</v>
      </c>
      <c r="AB45" s="82">
        <f t="shared" si="10"/>
        <v>0.1151315789</v>
      </c>
      <c r="AC45" s="83">
        <v>32.0</v>
      </c>
      <c r="AD45" s="79">
        <f t="shared" si="11"/>
        <v>4.16</v>
      </c>
      <c r="AE45" s="84">
        <f t="shared" si="12"/>
        <v>3</v>
      </c>
      <c r="AF45" s="90">
        <f t="shared" si="13"/>
        <v>0.1060903733</v>
      </c>
      <c r="AG45" s="79">
        <f t="shared" si="14"/>
        <v>3.37</v>
      </c>
      <c r="AH45" s="79">
        <f t="shared" si="15"/>
        <v>0.1191748527</v>
      </c>
    </row>
    <row r="46">
      <c r="A46" s="31" t="s">
        <v>117</v>
      </c>
      <c r="B46" s="31" t="s">
        <v>66</v>
      </c>
      <c r="C46" s="31" t="s">
        <v>118</v>
      </c>
      <c r="D46" s="31">
        <v>1531.0</v>
      </c>
      <c r="E46" s="79">
        <f t="shared" si="1"/>
        <v>17.01111111</v>
      </c>
      <c r="F46" s="31">
        <v>1373.0</v>
      </c>
      <c r="G46" s="31">
        <v>50.0</v>
      </c>
      <c r="H46" s="31">
        <v>55.0</v>
      </c>
      <c r="I46" s="31">
        <v>115.0</v>
      </c>
      <c r="J46" s="31">
        <v>102.0</v>
      </c>
      <c r="K46" s="31">
        <f t="shared" si="2"/>
        <v>322</v>
      </c>
      <c r="L46" s="31">
        <v>0.0</v>
      </c>
      <c r="M46" s="31">
        <v>9.0</v>
      </c>
      <c r="N46">
        <f>60+176</f>
        <v>236</v>
      </c>
      <c r="O46" s="31">
        <v>41.0</v>
      </c>
      <c r="P46">
        <f t="shared" si="3"/>
        <v>286</v>
      </c>
      <c r="Q46" s="80">
        <f t="shared" si="4"/>
        <v>36</v>
      </c>
      <c r="R46" s="83">
        <v>0.0</v>
      </c>
      <c r="S46" s="82">
        <f t="shared" si="5"/>
        <v>0</v>
      </c>
      <c r="T46" s="83">
        <v>0.0</v>
      </c>
      <c r="U46" s="84">
        <v>1.0</v>
      </c>
      <c r="V46" s="85">
        <f t="shared" si="6"/>
        <v>0.36</v>
      </c>
      <c r="W46" s="91">
        <v>13.0</v>
      </c>
      <c r="X46" s="86">
        <f t="shared" si="7"/>
        <v>0</v>
      </c>
      <c r="Y46" s="83">
        <v>8.0</v>
      </c>
      <c r="Z46" s="88">
        <f t="shared" si="8"/>
        <v>0.72</v>
      </c>
      <c r="AA46" s="89">
        <f t="shared" si="9"/>
        <v>0</v>
      </c>
      <c r="AB46" s="82">
        <f t="shared" si="10"/>
        <v>0</v>
      </c>
      <c r="AC46" s="91">
        <v>5.0</v>
      </c>
      <c r="AD46" s="79">
        <f t="shared" si="11"/>
        <v>0.65</v>
      </c>
      <c r="AE46" s="84">
        <f t="shared" si="12"/>
        <v>1</v>
      </c>
      <c r="AF46" s="90">
        <f t="shared" si="13"/>
        <v>0.05878510777</v>
      </c>
      <c r="AG46" s="79">
        <f t="shared" si="14"/>
        <v>1.36</v>
      </c>
      <c r="AH46" s="79">
        <f t="shared" si="15"/>
        <v>0.07994774657</v>
      </c>
    </row>
    <row r="47">
      <c r="A47" s="31" t="s">
        <v>119</v>
      </c>
      <c r="B47" s="31" t="s">
        <v>74</v>
      </c>
      <c r="C47" s="31" t="s">
        <v>62</v>
      </c>
      <c r="D47" s="31">
        <v>1921.0</v>
      </c>
      <c r="E47" s="79">
        <f t="shared" si="1"/>
        <v>21.34444444</v>
      </c>
      <c r="F47" s="31">
        <v>1276.0</v>
      </c>
      <c r="G47" s="31">
        <v>33.0</v>
      </c>
      <c r="H47" s="31">
        <v>24.0</v>
      </c>
      <c r="I47" s="31">
        <v>161.0</v>
      </c>
      <c r="J47" s="31">
        <v>4.0</v>
      </c>
      <c r="K47" s="31">
        <f t="shared" si="2"/>
        <v>222</v>
      </c>
      <c r="L47" s="31">
        <v>36.0</v>
      </c>
      <c r="M47" s="31">
        <v>27.0</v>
      </c>
      <c r="N47">
        <f>15+106</f>
        <v>121</v>
      </c>
      <c r="O47" s="31">
        <v>11.0</v>
      </c>
      <c r="P47">
        <f t="shared" si="3"/>
        <v>195</v>
      </c>
      <c r="Q47" s="80">
        <f t="shared" si="4"/>
        <v>27</v>
      </c>
      <c r="R47" s="83">
        <v>6.0</v>
      </c>
      <c r="S47" s="82">
        <f t="shared" si="5"/>
        <v>0.125</v>
      </c>
      <c r="T47" s="83">
        <v>2.0</v>
      </c>
      <c r="U47" s="84">
        <v>4.0</v>
      </c>
      <c r="V47" s="85">
        <f t="shared" si="6"/>
        <v>0.27</v>
      </c>
      <c r="W47" s="91">
        <v>48.0</v>
      </c>
      <c r="X47" s="86">
        <f t="shared" si="7"/>
        <v>2</v>
      </c>
      <c r="Y47" s="83">
        <v>33.0</v>
      </c>
      <c r="Z47" s="88">
        <f t="shared" si="8"/>
        <v>2.97</v>
      </c>
      <c r="AA47" s="89">
        <f t="shared" si="9"/>
        <v>0.05714285714</v>
      </c>
      <c r="AB47" s="82">
        <f t="shared" si="10"/>
        <v>0.1821428571</v>
      </c>
      <c r="AC47" s="91">
        <v>57.0</v>
      </c>
      <c r="AD47" s="79">
        <f t="shared" si="11"/>
        <v>7.41</v>
      </c>
      <c r="AE47" s="84">
        <f t="shared" si="12"/>
        <v>12</v>
      </c>
      <c r="AF47" s="90">
        <f t="shared" si="13"/>
        <v>0.5622071838</v>
      </c>
      <c r="AG47" s="79">
        <f t="shared" si="14"/>
        <v>12.27</v>
      </c>
      <c r="AH47" s="79">
        <f t="shared" si="15"/>
        <v>0.5748568454</v>
      </c>
    </row>
    <row r="48">
      <c r="A48" s="31" t="s">
        <v>120</v>
      </c>
      <c r="B48" s="31" t="s">
        <v>121</v>
      </c>
      <c r="C48" s="31" t="s">
        <v>51</v>
      </c>
      <c r="D48" s="31">
        <v>2822.0</v>
      </c>
      <c r="E48" s="79">
        <f t="shared" si="1"/>
        <v>31.35555556</v>
      </c>
      <c r="F48" s="31">
        <v>2423.0</v>
      </c>
      <c r="G48" s="31">
        <v>95.0</v>
      </c>
      <c r="H48" s="31">
        <v>81.0</v>
      </c>
      <c r="I48" s="31">
        <v>242.0</v>
      </c>
      <c r="J48" s="31">
        <v>37.0</v>
      </c>
      <c r="K48" s="31">
        <f t="shared" si="2"/>
        <v>455</v>
      </c>
      <c r="L48" s="31">
        <v>38.0</v>
      </c>
      <c r="M48" s="31">
        <v>45.0</v>
      </c>
      <c r="N48">
        <f>90+231</f>
        <v>321</v>
      </c>
      <c r="O48" s="31">
        <v>24.0</v>
      </c>
      <c r="P48">
        <f t="shared" si="3"/>
        <v>428</v>
      </c>
      <c r="Q48" s="80">
        <f t="shared" si="4"/>
        <v>27</v>
      </c>
      <c r="R48" s="83">
        <v>0.0</v>
      </c>
      <c r="S48" s="82">
        <f t="shared" si="5"/>
        <v>0</v>
      </c>
      <c r="T48" s="83">
        <v>1.0</v>
      </c>
      <c r="U48" s="84">
        <v>4.0</v>
      </c>
      <c r="V48" s="85">
        <f t="shared" si="6"/>
        <v>0.27</v>
      </c>
      <c r="W48" s="83">
        <v>35.0</v>
      </c>
      <c r="X48" s="86">
        <f t="shared" si="7"/>
        <v>1</v>
      </c>
      <c r="Y48" s="92">
        <v>24.0</v>
      </c>
      <c r="Z48" s="88">
        <f t="shared" si="8"/>
        <v>2.16</v>
      </c>
      <c r="AA48" s="89">
        <f t="shared" si="9"/>
        <v>0.04</v>
      </c>
      <c r="AB48" s="82">
        <f t="shared" si="10"/>
        <v>0.04</v>
      </c>
      <c r="AC48" s="83">
        <v>49.0</v>
      </c>
      <c r="AD48" s="79">
        <f t="shared" si="11"/>
        <v>6.37</v>
      </c>
      <c r="AE48" s="84">
        <f t="shared" si="12"/>
        <v>5</v>
      </c>
      <c r="AF48" s="90">
        <f t="shared" si="13"/>
        <v>0.1594613749</v>
      </c>
      <c r="AG48" s="79">
        <f t="shared" si="14"/>
        <v>5.27</v>
      </c>
      <c r="AH48" s="79">
        <f t="shared" si="15"/>
        <v>0.1680722892</v>
      </c>
    </row>
    <row r="49">
      <c r="A49" s="31" t="s">
        <v>122</v>
      </c>
      <c r="B49" s="31" t="s">
        <v>123</v>
      </c>
      <c r="C49" s="31" t="s">
        <v>124</v>
      </c>
      <c r="D49" s="31">
        <v>3420.0</v>
      </c>
      <c r="E49" s="79">
        <f t="shared" si="1"/>
        <v>38</v>
      </c>
      <c r="F49" s="31">
        <v>3420.0</v>
      </c>
      <c r="G49" s="31">
        <v>51.0</v>
      </c>
      <c r="H49" s="31">
        <v>110.0</v>
      </c>
      <c r="I49" s="31">
        <v>240.0</v>
      </c>
      <c r="J49" s="31">
        <v>46.0</v>
      </c>
      <c r="K49" s="31">
        <f t="shared" si="2"/>
        <v>447</v>
      </c>
      <c r="L49" s="31">
        <v>5.0</v>
      </c>
      <c r="M49" s="31">
        <v>26.0</v>
      </c>
      <c r="N49">
        <f>99+237</f>
        <v>336</v>
      </c>
      <c r="O49" s="31">
        <v>57.0</v>
      </c>
      <c r="P49">
        <f t="shared" si="3"/>
        <v>424</v>
      </c>
      <c r="Q49" s="80">
        <f t="shared" si="4"/>
        <v>23</v>
      </c>
      <c r="R49" s="83">
        <v>0.0</v>
      </c>
      <c r="S49" s="82">
        <f t="shared" si="5"/>
        <v>0</v>
      </c>
      <c r="T49" s="83">
        <v>3.0</v>
      </c>
      <c r="U49" s="84">
        <v>4.0</v>
      </c>
      <c r="V49" s="85">
        <f t="shared" si="6"/>
        <v>0.23</v>
      </c>
      <c r="W49" s="83">
        <v>16.0</v>
      </c>
      <c r="X49" s="86">
        <f t="shared" si="7"/>
        <v>3</v>
      </c>
      <c r="Y49" s="92">
        <v>43.0</v>
      </c>
      <c r="Z49" s="88">
        <f t="shared" si="8"/>
        <v>3.87</v>
      </c>
      <c r="AA49" s="89">
        <f t="shared" si="9"/>
        <v>0.0652173913</v>
      </c>
      <c r="AB49" s="82">
        <f t="shared" si="10"/>
        <v>0.0652173913</v>
      </c>
      <c r="AC49" s="83">
        <v>16.0</v>
      </c>
      <c r="AD49" s="79">
        <f t="shared" si="11"/>
        <v>2.08</v>
      </c>
      <c r="AE49" s="84">
        <f t="shared" si="12"/>
        <v>7</v>
      </c>
      <c r="AF49" s="90">
        <f t="shared" si="13"/>
        <v>0.1842105263</v>
      </c>
      <c r="AG49" s="79">
        <f t="shared" si="14"/>
        <v>7.23</v>
      </c>
      <c r="AH49" s="79">
        <f t="shared" si="15"/>
        <v>0.1902631579</v>
      </c>
      <c r="AI49" s="31"/>
    </row>
    <row r="50">
      <c r="A50" s="31" t="s">
        <v>125</v>
      </c>
      <c r="B50" s="31" t="s">
        <v>53</v>
      </c>
      <c r="C50" s="31" t="s">
        <v>77</v>
      </c>
      <c r="D50" s="31">
        <v>2720.0</v>
      </c>
      <c r="E50" s="79">
        <f t="shared" si="1"/>
        <v>30.22222222</v>
      </c>
      <c r="F50" s="31">
        <v>2704.0</v>
      </c>
      <c r="G50" s="31">
        <v>62.0</v>
      </c>
      <c r="H50" s="31">
        <v>57.0</v>
      </c>
      <c r="I50" s="31">
        <v>207.0</v>
      </c>
      <c r="J50" s="31">
        <v>6.0</v>
      </c>
      <c r="K50" s="31">
        <f t="shared" si="2"/>
        <v>332</v>
      </c>
      <c r="L50" s="31">
        <v>9.0</v>
      </c>
      <c r="M50" s="31">
        <v>25.0</v>
      </c>
      <c r="N50">
        <f>87+172</f>
        <v>259</v>
      </c>
      <c r="O50" s="31">
        <v>20.0</v>
      </c>
      <c r="P50">
        <f t="shared" si="3"/>
        <v>313</v>
      </c>
      <c r="Q50" s="80">
        <f t="shared" si="4"/>
        <v>19</v>
      </c>
      <c r="R50" s="83">
        <v>2.0</v>
      </c>
      <c r="S50" s="82">
        <f t="shared" si="5"/>
        <v>0.05263157895</v>
      </c>
      <c r="T50" s="83">
        <v>2.0</v>
      </c>
      <c r="U50" s="84">
        <v>3.0</v>
      </c>
      <c r="V50" s="85">
        <f t="shared" si="6"/>
        <v>0.19</v>
      </c>
      <c r="W50" s="83">
        <v>38.0</v>
      </c>
      <c r="X50" s="86">
        <f t="shared" si="7"/>
        <v>2</v>
      </c>
      <c r="Y50" s="92">
        <v>41.0</v>
      </c>
      <c r="Z50" s="88">
        <f t="shared" si="8"/>
        <v>3.69</v>
      </c>
      <c r="AA50" s="89">
        <f t="shared" si="9"/>
        <v>0.04651162791</v>
      </c>
      <c r="AB50" s="82">
        <f t="shared" si="10"/>
        <v>0.09914320685</v>
      </c>
      <c r="AC50" s="83">
        <v>8.0</v>
      </c>
      <c r="AD50" s="79">
        <f t="shared" si="11"/>
        <v>1.04</v>
      </c>
      <c r="AE50" s="84">
        <f t="shared" si="12"/>
        <v>7</v>
      </c>
      <c r="AF50" s="90">
        <f t="shared" si="13"/>
        <v>0.2316176471</v>
      </c>
      <c r="AG50" s="79">
        <f t="shared" si="14"/>
        <v>7.19</v>
      </c>
      <c r="AH50" s="79">
        <f t="shared" si="15"/>
        <v>0.2379044118</v>
      </c>
    </row>
    <row r="51">
      <c r="A51" s="31" t="s">
        <v>126</v>
      </c>
      <c r="B51" s="31" t="s">
        <v>68</v>
      </c>
      <c r="C51" s="31" t="s">
        <v>112</v>
      </c>
      <c r="D51" s="31">
        <v>2099.0</v>
      </c>
      <c r="E51" s="79">
        <f t="shared" si="1"/>
        <v>23.32222222</v>
      </c>
      <c r="F51" s="31">
        <v>1593.0</v>
      </c>
      <c r="G51" s="31">
        <v>27.0</v>
      </c>
      <c r="H51" s="31">
        <v>11.0</v>
      </c>
      <c r="I51" s="31">
        <v>162.0</v>
      </c>
      <c r="J51" s="31">
        <v>14.0</v>
      </c>
      <c r="K51" s="31">
        <f t="shared" si="2"/>
        <v>214</v>
      </c>
      <c r="L51" s="31">
        <v>24.0</v>
      </c>
      <c r="M51" s="31">
        <v>32.0</v>
      </c>
      <c r="N51">
        <f>19+106</f>
        <v>125</v>
      </c>
      <c r="O51" s="31">
        <v>16.0</v>
      </c>
      <c r="P51">
        <f t="shared" si="3"/>
        <v>197</v>
      </c>
      <c r="Q51" s="80">
        <f t="shared" si="4"/>
        <v>17</v>
      </c>
      <c r="R51" s="83">
        <v>2.0</v>
      </c>
      <c r="S51" s="82">
        <f t="shared" si="5"/>
        <v>0.05128205128</v>
      </c>
      <c r="T51" s="83">
        <v>2.0</v>
      </c>
      <c r="U51" s="84">
        <v>5.0</v>
      </c>
      <c r="V51" s="85">
        <f t="shared" si="6"/>
        <v>0.17</v>
      </c>
      <c r="W51" s="91">
        <v>39.0</v>
      </c>
      <c r="X51" s="86">
        <f t="shared" si="7"/>
        <v>2</v>
      </c>
      <c r="Y51" s="83">
        <v>21.0</v>
      </c>
      <c r="Z51" s="88">
        <f t="shared" si="8"/>
        <v>1.89</v>
      </c>
      <c r="AA51" s="89">
        <f t="shared" si="9"/>
        <v>0.08695652174</v>
      </c>
      <c r="AB51" s="82">
        <f t="shared" si="10"/>
        <v>0.138238573</v>
      </c>
      <c r="AC51" s="91">
        <v>41.0</v>
      </c>
      <c r="AD51" s="79">
        <f t="shared" si="11"/>
        <v>5.33</v>
      </c>
      <c r="AE51" s="84">
        <f t="shared" si="12"/>
        <v>9</v>
      </c>
      <c r="AF51" s="90">
        <f t="shared" si="13"/>
        <v>0.3858980467</v>
      </c>
      <c r="AG51" s="79">
        <f t="shared" si="14"/>
        <v>9.17</v>
      </c>
      <c r="AH51" s="79">
        <f t="shared" si="15"/>
        <v>0.393187232</v>
      </c>
    </row>
    <row r="52">
      <c r="A52" s="31" t="s">
        <v>127</v>
      </c>
      <c r="B52" s="31" t="s">
        <v>82</v>
      </c>
      <c r="C52" s="31" t="s">
        <v>77</v>
      </c>
      <c r="D52" s="31">
        <v>1975.0</v>
      </c>
      <c r="E52" s="79">
        <f t="shared" si="1"/>
        <v>21.94444444</v>
      </c>
      <c r="F52" s="31">
        <v>1726.0</v>
      </c>
      <c r="G52" s="31">
        <v>43.0</v>
      </c>
      <c r="H52" s="31">
        <v>45.0</v>
      </c>
      <c r="I52" s="31">
        <v>152.0</v>
      </c>
      <c r="J52" s="31">
        <v>16.0</v>
      </c>
      <c r="K52" s="31">
        <f t="shared" si="2"/>
        <v>256</v>
      </c>
      <c r="L52" s="31">
        <v>1.0</v>
      </c>
      <c r="M52" s="31">
        <v>16.0</v>
      </c>
      <c r="N52">
        <f>59+153</f>
        <v>212</v>
      </c>
      <c r="O52" s="31">
        <v>10.0</v>
      </c>
      <c r="P52">
        <f t="shared" si="3"/>
        <v>239</v>
      </c>
      <c r="Q52" s="80">
        <f t="shared" si="4"/>
        <v>17</v>
      </c>
      <c r="R52" s="83">
        <v>0.0</v>
      </c>
      <c r="S52" s="82">
        <f t="shared" si="5"/>
        <v>0</v>
      </c>
      <c r="T52" s="83">
        <v>0.0</v>
      </c>
      <c r="U52" s="84">
        <v>4.0</v>
      </c>
      <c r="V52" s="85">
        <f t="shared" si="6"/>
        <v>0.17</v>
      </c>
      <c r="W52" s="91">
        <v>7.0</v>
      </c>
      <c r="X52" s="86">
        <f t="shared" si="7"/>
        <v>0</v>
      </c>
      <c r="Y52" s="83">
        <v>10.0</v>
      </c>
      <c r="Z52" s="88">
        <f t="shared" si="8"/>
        <v>0.9</v>
      </c>
      <c r="AA52" s="89">
        <f t="shared" si="9"/>
        <v>0</v>
      </c>
      <c r="AB52" s="82">
        <f t="shared" si="10"/>
        <v>0</v>
      </c>
      <c r="AC52" s="91">
        <v>8.0</v>
      </c>
      <c r="AD52" s="79">
        <f t="shared" si="11"/>
        <v>1.04</v>
      </c>
      <c r="AE52" s="84">
        <f t="shared" si="12"/>
        <v>4</v>
      </c>
      <c r="AF52" s="90">
        <f t="shared" si="13"/>
        <v>0.182278481</v>
      </c>
      <c r="AG52" s="79">
        <f t="shared" si="14"/>
        <v>4.17</v>
      </c>
      <c r="AH52" s="79">
        <f t="shared" si="15"/>
        <v>0.1900253165</v>
      </c>
    </row>
    <row r="53">
      <c r="A53" s="31" t="s">
        <v>128</v>
      </c>
      <c r="B53" s="31" t="s">
        <v>108</v>
      </c>
      <c r="C53" s="31" t="s">
        <v>77</v>
      </c>
      <c r="D53" s="31">
        <v>2837.0</v>
      </c>
      <c r="E53" s="79">
        <f t="shared" si="1"/>
        <v>31.52222222</v>
      </c>
      <c r="F53" s="31">
        <v>2836.0</v>
      </c>
      <c r="G53" s="31">
        <v>96.0</v>
      </c>
      <c r="H53" s="31">
        <v>53.0</v>
      </c>
      <c r="I53" s="31">
        <v>239.0</v>
      </c>
      <c r="J53" s="31">
        <v>56.0</v>
      </c>
      <c r="K53" s="31">
        <f t="shared" si="2"/>
        <v>444</v>
      </c>
      <c r="L53" s="31">
        <v>3.0</v>
      </c>
      <c r="M53" s="31">
        <v>31.0</v>
      </c>
      <c r="N53">
        <f>121+252</f>
        <v>373</v>
      </c>
      <c r="O53" s="31">
        <v>27.0</v>
      </c>
      <c r="P53">
        <f t="shared" si="3"/>
        <v>434</v>
      </c>
      <c r="Q53" s="80">
        <f t="shared" si="4"/>
        <v>10</v>
      </c>
      <c r="R53" s="83">
        <v>0.0</v>
      </c>
      <c r="S53" s="82">
        <f t="shared" si="5"/>
        <v>0</v>
      </c>
      <c r="T53" s="83">
        <v>1.0</v>
      </c>
      <c r="U53" s="84">
        <v>4.0</v>
      </c>
      <c r="V53" s="85">
        <f t="shared" si="6"/>
        <v>0.1</v>
      </c>
      <c r="W53" s="83">
        <v>15.0</v>
      </c>
      <c r="X53" s="86">
        <f t="shared" si="7"/>
        <v>1</v>
      </c>
      <c r="Y53" s="92">
        <v>34.0</v>
      </c>
      <c r="Z53" s="88">
        <f t="shared" si="8"/>
        <v>3.06</v>
      </c>
      <c r="AA53" s="89">
        <f t="shared" si="9"/>
        <v>0.02857142857</v>
      </c>
      <c r="AB53" s="82">
        <f t="shared" si="10"/>
        <v>0.02857142857</v>
      </c>
      <c r="AC53" s="83">
        <v>18.0</v>
      </c>
      <c r="AD53" s="79">
        <f t="shared" si="11"/>
        <v>2.34</v>
      </c>
      <c r="AE53" s="84">
        <f t="shared" si="12"/>
        <v>5</v>
      </c>
      <c r="AF53" s="90">
        <f t="shared" si="13"/>
        <v>0.1586182587</v>
      </c>
      <c r="AG53" s="79">
        <f t="shared" si="14"/>
        <v>5.1</v>
      </c>
      <c r="AH53" s="79">
        <f t="shared" si="15"/>
        <v>0.1617906239</v>
      </c>
    </row>
    <row r="54">
      <c r="A54" s="31" t="s">
        <v>129</v>
      </c>
      <c r="B54" s="31" t="s">
        <v>123</v>
      </c>
      <c r="C54" s="31" t="s">
        <v>69</v>
      </c>
      <c r="D54" s="31">
        <v>1674.0</v>
      </c>
      <c r="E54" s="79">
        <f t="shared" si="1"/>
        <v>18.6</v>
      </c>
      <c r="F54" s="31">
        <v>1674.0</v>
      </c>
      <c r="G54" s="31">
        <v>57.0</v>
      </c>
      <c r="H54" s="31">
        <v>25.0</v>
      </c>
      <c r="I54" s="31">
        <v>118.0</v>
      </c>
      <c r="J54" s="31">
        <v>8.0</v>
      </c>
      <c r="K54" s="31">
        <f t="shared" si="2"/>
        <v>208</v>
      </c>
      <c r="L54" s="31">
        <v>17.0</v>
      </c>
      <c r="M54" s="31">
        <v>32.0</v>
      </c>
      <c r="N54">
        <f>42+103</f>
        <v>145</v>
      </c>
      <c r="O54" s="31">
        <v>5.0</v>
      </c>
      <c r="P54">
        <f t="shared" si="3"/>
        <v>199</v>
      </c>
      <c r="Q54" s="80">
        <f t="shared" si="4"/>
        <v>9</v>
      </c>
      <c r="R54" s="83">
        <v>1.0</v>
      </c>
      <c r="S54" s="82">
        <f t="shared" si="5"/>
        <v>0.02777777778</v>
      </c>
      <c r="T54" s="83">
        <v>0.0</v>
      </c>
      <c r="U54" s="84">
        <v>3.0</v>
      </c>
      <c r="V54" s="85">
        <f t="shared" si="6"/>
        <v>0.09</v>
      </c>
      <c r="W54" s="91">
        <v>36.0</v>
      </c>
      <c r="X54" s="86">
        <f t="shared" si="7"/>
        <v>0</v>
      </c>
      <c r="Y54" s="83">
        <v>25.0</v>
      </c>
      <c r="Z54" s="88">
        <f t="shared" si="8"/>
        <v>2.25</v>
      </c>
      <c r="AA54" s="89">
        <f t="shared" si="9"/>
        <v>0</v>
      </c>
      <c r="AB54" s="82">
        <f t="shared" si="10"/>
        <v>0.02777777778</v>
      </c>
      <c r="AC54" s="91">
        <v>22.0</v>
      </c>
      <c r="AD54" s="79">
        <f t="shared" si="11"/>
        <v>2.86</v>
      </c>
      <c r="AE54" s="84">
        <f t="shared" si="12"/>
        <v>4</v>
      </c>
      <c r="AF54" s="90">
        <f t="shared" si="13"/>
        <v>0.2150537634</v>
      </c>
      <c r="AG54" s="79">
        <f t="shared" si="14"/>
        <v>4.09</v>
      </c>
      <c r="AH54" s="79">
        <f t="shared" si="15"/>
        <v>0.2198924731</v>
      </c>
    </row>
    <row r="55">
      <c r="A55" s="31" t="s">
        <v>130</v>
      </c>
      <c r="B55" s="31" t="s">
        <v>121</v>
      </c>
      <c r="C55" s="31" t="s">
        <v>77</v>
      </c>
      <c r="D55" s="31">
        <v>2815.0</v>
      </c>
      <c r="E55" s="79">
        <f t="shared" si="1"/>
        <v>31.27777778</v>
      </c>
      <c r="F55" s="31">
        <v>2762.0</v>
      </c>
      <c r="G55" s="31">
        <v>71.0</v>
      </c>
      <c r="H55" s="31">
        <v>88.0</v>
      </c>
      <c r="I55" s="31">
        <v>180.0</v>
      </c>
      <c r="J55" s="31">
        <v>41.0</v>
      </c>
      <c r="K55" s="31">
        <f t="shared" si="2"/>
        <v>380</v>
      </c>
      <c r="L55" s="31">
        <v>5.0</v>
      </c>
      <c r="M55" s="31">
        <v>14.0</v>
      </c>
      <c r="N55">
        <f>123+199</f>
        <v>322</v>
      </c>
      <c r="O55" s="31">
        <v>33.0</v>
      </c>
      <c r="P55">
        <f t="shared" si="3"/>
        <v>374</v>
      </c>
      <c r="Q55" s="80">
        <f t="shared" si="4"/>
        <v>6</v>
      </c>
      <c r="R55" s="83">
        <v>2.0</v>
      </c>
      <c r="S55" s="82">
        <f t="shared" si="5"/>
        <v>0.1176470588</v>
      </c>
      <c r="T55" s="83">
        <v>0.0</v>
      </c>
      <c r="U55" s="84">
        <v>3.0</v>
      </c>
      <c r="V55" s="85">
        <f t="shared" si="6"/>
        <v>0.06</v>
      </c>
      <c r="W55" s="83">
        <v>17.0</v>
      </c>
      <c r="X55" s="86">
        <f t="shared" si="7"/>
        <v>0</v>
      </c>
      <c r="Y55" s="92">
        <v>33.0</v>
      </c>
      <c r="Z55" s="88">
        <f t="shared" si="8"/>
        <v>2.97</v>
      </c>
      <c r="AA55" s="89">
        <f t="shared" si="9"/>
        <v>0</v>
      </c>
      <c r="AB55" s="82">
        <f t="shared" si="10"/>
        <v>0.1176470588</v>
      </c>
      <c r="AC55" s="83">
        <v>4.0</v>
      </c>
      <c r="AD55" s="79">
        <f t="shared" si="11"/>
        <v>0.52</v>
      </c>
      <c r="AE55" s="84">
        <f t="shared" si="12"/>
        <v>5</v>
      </c>
      <c r="AF55" s="90">
        <f t="shared" si="13"/>
        <v>0.1598579041</v>
      </c>
      <c r="AG55" s="79">
        <f t="shared" si="14"/>
        <v>5.06</v>
      </c>
      <c r="AH55" s="79">
        <f t="shared" si="15"/>
        <v>0.1617761989</v>
      </c>
    </row>
    <row r="56">
      <c r="A56" s="31" t="s">
        <v>131</v>
      </c>
      <c r="B56" s="31" t="s">
        <v>104</v>
      </c>
      <c r="C56" s="31" t="s">
        <v>93</v>
      </c>
      <c r="D56" s="31">
        <v>1288.0</v>
      </c>
      <c r="E56" s="79">
        <f t="shared" si="1"/>
        <v>14.31111111</v>
      </c>
      <c r="F56" s="31">
        <v>1153.0</v>
      </c>
      <c r="G56" s="31">
        <v>23.0</v>
      </c>
      <c r="H56" s="31">
        <v>25.0</v>
      </c>
      <c r="I56" s="31">
        <v>79.0</v>
      </c>
      <c r="J56" s="31">
        <v>8.0</v>
      </c>
      <c r="K56" s="31">
        <f t="shared" si="2"/>
        <v>135</v>
      </c>
      <c r="L56" s="31">
        <v>5.0</v>
      </c>
      <c r="M56" s="31">
        <v>9.0</v>
      </c>
      <c r="N56">
        <f>32+71</f>
        <v>103</v>
      </c>
      <c r="O56" s="31">
        <v>12.0</v>
      </c>
      <c r="P56">
        <f t="shared" si="3"/>
        <v>129</v>
      </c>
      <c r="Q56" s="80">
        <f t="shared" si="4"/>
        <v>6</v>
      </c>
      <c r="R56" s="83">
        <v>0.0</v>
      </c>
      <c r="S56" s="82">
        <f t="shared" si="5"/>
        <v>0</v>
      </c>
      <c r="T56" s="83">
        <v>1.0</v>
      </c>
      <c r="U56" s="84">
        <v>1.0</v>
      </c>
      <c r="V56" s="85">
        <f t="shared" si="6"/>
        <v>0.06</v>
      </c>
      <c r="W56" s="91">
        <v>16.0</v>
      </c>
      <c r="X56" s="86">
        <f t="shared" si="7"/>
        <v>1</v>
      </c>
      <c r="Y56" s="83">
        <v>15.0</v>
      </c>
      <c r="Z56" s="88">
        <f t="shared" si="8"/>
        <v>1.35</v>
      </c>
      <c r="AA56" s="89">
        <f t="shared" si="9"/>
        <v>0.0625</v>
      </c>
      <c r="AB56" s="82">
        <f t="shared" si="10"/>
        <v>0.0625</v>
      </c>
      <c r="AC56" s="91">
        <v>17.0</v>
      </c>
      <c r="AD56" s="79">
        <f t="shared" si="11"/>
        <v>2.21</v>
      </c>
      <c r="AE56" s="84">
        <f t="shared" si="12"/>
        <v>2</v>
      </c>
      <c r="AF56" s="90">
        <f t="shared" si="13"/>
        <v>0.1397515528</v>
      </c>
      <c r="AG56" s="79">
        <f t="shared" si="14"/>
        <v>2.06</v>
      </c>
      <c r="AH56" s="79">
        <f t="shared" si="15"/>
        <v>0.1439440994</v>
      </c>
    </row>
    <row r="57">
      <c r="A57" s="31" t="s">
        <v>132</v>
      </c>
      <c r="B57" s="31" t="s">
        <v>64</v>
      </c>
      <c r="C57" s="31" t="s">
        <v>133</v>
      </c>
      <c r="D57" s="31">
        <v>1084.0</v>
      </c>
      <c r="E57" s="79">
        <f t="shared" si="1"/>
        <v>12.04444444</v>
      </c>
      <c r="F57" s="31">
        <v>1053.0</v>
      </c>
      <c r="G57" s="31">
        <v>52.0</v>
      </c>
      <c r="H57" s="31">
        <v>32.0</v>
      </c>
      <c r="I57" s="31">
        <v>107.0</v>
      </c>
      <c r="J57" s="31">
        <v>33.0</v>
      </c>
      <c r="K57" s="31">
        <f t="shared" si="2"/>
        <v>224</v>
      </c>
      <c r="L57" s="31">
        <v>0.0</v>
      </c>
      <c r="M57" s="31">
        <v>12.0</v>
      </c>
      <c r="N57">
        <f>44+122</f>
        <v>166</v>
      </c>
      <c r="O57" s="31">
        <v>41.0</v>
      </c>
      <c r="P57">
        <f t="shared" si="3"/>
        <v>219</v>
      </c>
      <c r="Q57" s="80">
        <f t="shared" si="4"/>
        <v>5</v>
      </c>
      <c r="R57" s="83">
        <v>0.0</v>
      </c>
      <c r="S57" s="82">
        <f t="shared" si="5"/>
        <v>0</v>
      </c>
      <c r="T57" s="83">
        <v>0.0</v>
      </c>
      <c r="U57" s="84">
        <v>4.0</v>
      </c>
      <c r="V57" s="85">
        <f t="shared" si="6"/>
        <v>0.05</v>
      </c>
      <c r="W57" s="91">
        <v>8.0</v>
      </c>
      <c r="X57" s="86">
        <f t="shared" si="7"/>
        <v>0</v>
      </c>
      <c r="Y57" s="83">
        <v>11.0</v>
      </c>
      <c r="Z57" s="88">
        <f t="shared" si="8"/>
        <v>0.99</v>
      </c>
      <c r="AA57" s="89">
        <f t="shared" si="9"/>
        <v>0</v>
      </c>
      <c r="AB57" s="82">
        <f t="shared" si="10"/>
        <v>0</v>
      </c>
      <c r="AC57" s="91">
        <v>11.0</v>
      </c>
      <c r="AD57" s="79">
        <f t="shared" si="11"/>
        <v>1.43</v>
      </c>
      <c r="AE57" s="84">
        <f t="shared" si="12"/>
        <v>4</v>
      </c>
      <c r="AF57" s="90">
        <f t="shared" si="13"/>
        <v>0.332103321</v>
      </c>
      <c r="AG57" s="79">
        <f t="shared" si="14"/>
        <v>4.05</v>
      </c>
      <c r="AH57" s="79">
        <f t="shared" si="15"/>
        <v>0.3362546125</v>
      </c>
    </row>
    <row r="58">
      <c r="A58" s="31" t="s">
        <v>134</v>
      </c>
      <c r="B58" s="31" t="s">
        <v>64</v>
      </c>
      <c r="C58" s="31" t="s">
        <v>77</v>
      </c>
      <c r="D58" s="31">
        <v>2217.0</v>
      </c>
      <c r="E58" s="79">
        <f t="shared" si="1"/>
        <v>24.63333333</v>
      </c>
      <c r="F58" s="31">
        <v>2145.0</v>
      </c>
      <c r="G58" s="31">
        <v>57.0</v>
      </c>
      <c r="H58" s="31">
        <v>52.0</v>
      </c>
      <c r="I58" s="31">
        <v>142.0</v>
      </c>
      <c r="J58" s="31">
        <v>26.0</v>
      </c>
      <c r="K58" s="31">
        <f t="shared" si="2"/>
        <v>277</v>
      </c>
      <c r="L58" s="31">
        <v>1.0</v>
      </c>
      <c r="M58" s="31">
        <v>26.0</v>
      </c>
      <c r="N58">
        <f>51+175</f>
        <v>226</v>
      </c>
      <c r="O58" s="31">
        <v>25.0</v>
      </c>
      <c r="P58">
        <f t="shared" si="3"/>
        <v>278</v>
      </c>
      <c r="Q58" s="80">
        <f t="shared" si="4"/>
        <v>-1</v>
      </c>
      <c r="R58" s="83">
        <v>0.0</v>
      </c>
      <c r="S58" s="82">
        <f t="shared" si="5"/>
        <v>0</v>
      </c>
      <c r="T58" s="83">
        <v>0.0</v>
      </c>
      <c r="U58" s="84">
        <v>3.0</v>
      </c>
      <c r="V58" s="85">
        <f t="shared" si="6"/>
        <v>-0.01</v>
      </c>
      <c r="W58" s="91">
        <v>11.0</v>
      </c>
      <c r="X58" s="86">
        <f t="shared" si="7"/>
        <v>0</v>
      </c>
      <c r="Y58" s="83">
        <v>23.0</v>
      </c>
      <c r="Z58" s="88">
        <f t="shared" si="8"/>
        <v>2.07</v>
      </c>
      <c r="AA58" s="89">
        <f t="shared" si="9"/>
        <v>0</v>
      </c>
      <c r="AB58" s="82">
        <f t="shared" si="10"/>
        <v>0</v>
      </c>
      <c r="AC58" s="91">
        <v>13.0</v>
      </c>
      <c r="AD58" s="79">
        <f t="shared" si="11"/>
        <v>1.69</v>
      </c>
      <c r="AE58" s="84">
        <f t="shared" si="12"/>
        <v>3</v>
      </c>
      <c r="AF58" s="90">
        <f t="shared" si="13"/>
        <v>0.1217861976</v>
      </c>
      <c r="AG58" s="79">
        <f t="shared" si="14"/>
        <v>2.99</v>
      </c>
      <c r="AH58" s="79">
        <f t="shared" si="15"/>
        <v>0.1213802436</v>
      </c>
    </row>
    <row r="59">
      <c r="A59" s="31" t="s">
        <v>135</v>
      </c>
      <c r="B59" s="31" t="s">
        <v>68</v>
      </c>
      <c r="C59" s="31" t="s">
        <v>51</v>
      </c>
      <c r="D59" s="31">
        <v>1260.0</v>
      </c>
      <c r="E59" s="79">
        <f t="shared" si="1"/>
        <v>14</v>
      </c>
      <c r="F59" s="31">
        <v>1260.0</v>
      </c>
      <c r="G59" s="31">
        <v>14.0</v>
      </c>
      <c r="H59" s="31">
        <v>7.0</v>
      </c>
      <c r="I59" s="31">
        <v>109.0</v>
      </c>
      <c r="J59" s="31">
        <v>12.0</v>
      </c>
      <c r="K59" s="31">
        <f t="shared" si="2"/>
        <v>142</v>
      </c>
      <c r="L59" s="31">
        <v>22.0</v>
      </c>
      <c r="M59" s="31">
        <v>18.0</v>
      </c>
      <c r="N59">
        <f>24+70</f>
        <v>94</v>
      </c>
      <c r="O59" s="31">
        <v>12.0</v>
      </c>
      <c r="P59">
        <f t="shared" si="3"/>
        <v>146</v>
      </c>
      <c r="Q59" s="80">
        <f t="shared" si="4"/>
        <v>-4</v>
      </c>
      <c r="R59" s="83">
        <v>2.0</v>
      </c>
      <c r="S59" s="82">
        <f t="shared" si="5"/>
        <v>0.09523809524</v>
      </c>
      <c r="T59" s="83">
        <v>0.0</v>
      </c>
      <c r="U59" s="84">
        <v>0.0</v>
      </c>
      <c r="V59" s="85">
        <f t="shared" si="6"/>
        <v>-0.04</v>
      </c>
      <c r="W59" s="91">
        <v>21.0</v>
      </c>
      <c r="X59" s="86">
        <f t="shared" si="7"/>
        <v>0</v>
      </c>
      <c r="Y59" s="83">
        <v>11.0</v>
      </c>
      <c r="Z59" s="88">
        <f t="shared" si="8"/>
        <v>0.99</v>
      </c>
      <c r="AA59" s="89">
        <f t="shared" si="9"/>
        <v>0</v>
      </c>
      <c r="AB59" s="82">
        <f t="shared" si="10"/>
        <v>0.09523809524</v>
      </c>
      <c r="AC59" s="91">
        <v>61.0</v>
      </c>
      <c r="AD59" s="79">
        <f t="shared" si="11"/>
        <v>7.93</v>
      </c>
      <c r="AE59" s="84">
        <f t="shared" si="12"/>
        <v>2</v>
      </c>
      <c r="AF59" s="90">
        <f t="shared" si="13"/>
        <v>0.1428571429</v>
      </c>
      <c r="AG59" s="79">
        <f t="shared" si="14"/>
        <v>1.96</v>
      </c>
      <c r="AH59" s="79">
        <f t="shared" si="15"/>
        <v>0.14</v>
      </c>
    </row>
    <row r="60">
      <c r="A60" s="31" t="s">
        <v>136</v>
      </c>
      <c r="B60" s="31" t="s">
        <v>56</v>
      </c>
      <c r="C60" s="31" t="s">
        <v>137</v>
      </c>
      <c r="D60" s="31">
        <v>2624.0</v>
      </c>
      <c r="E60" s="79">
        <f t="shared" si="1"/>
        <v>29.15555556</v>
      </c>
      <c r="F60" s="31">
        <v>1800.0</v>
      </c>
      <c r="G60" s="31">
        <v>79.0</v>
      </c>
      <c r="H60" s="31">
        <v>56.0</v>
      </c>
      <c r="I60" s="31">
        <v>248.0</v>
      </c>
      <c r="J60" s="31">
        <v>27.0</v>
      </c>
      <c r="K60" s="31">
        <f t="shared" si="2"/>
        <v>410</v>
      </c>
      <c r="L60" s="31">
        <v>26.0</v>
      </c>
      <c r="M60" s="31">
        <v>68.0</v>
      </c>
      <c r="N60">
        <f>38+261</f>
        <v>299</v>
      </c>
      <c r="O60" s="31">
        <v>26.0</v>
      </c>
      <c r="P60">
        <f t="shared" si="3"/>
        <v>419</v>
      </c>
      <c r="Q60" s="80">
        <f t="shared" si="4"/>
        <v>-9</v>
      </c>
      <c r="R60" s="83">
        <v>5.0</v>
      </c>
      <c r="S60" s="82">
        <f t="shared" si="5"/>
        <v>0.07246376812</v>
      </c>
      <c r="T60" s="93">
        <v>4.0</v>
      </c>
      <c r="U60" s="84">
        <v>2.0</v>
      </c>
      <c r="V60" s="85">
        <f t="shared" si="6"/>
        <v>-0.09</v>
      </c>
      <c r="W60" s="83">
        <v>69.0</v>
      </c>
      <c r="X60" s="86">
        <f t="shared" si="7"/>
        <v>4</v>
      </c>
      <c r="Y60" s="92">
        <v>37.0</v>
      </c>
      <c r="Z60" s="88">
        <f t="shared" si="8"/>
        <v>3.33</v>
      </c>
      <c r="AA60" s="89">
        <f t="shared" si="9"/>
        <v>0.09756097561</v>
      </c>
      <c r="AB60" s="82">
        <f t="shared" si="10"/>
        <v>0.1700247437</v>
      </c>
      <c r="AC60" s="83">
        <v>39.0</v>
      </c>
      <c r="AD60" s="79">
        <f t="shared" si="11"/>
        <v>5.07</v>
      </c>
      <c r="AE60" s="84">
        <f t="shared" si="12"/>
        <v>11</v>
      </c>
      <c r="AF60" s="90">
        <f t="shared" si="13"/>
        <v>0.3772865854</v>
      </c>
      <c r="AG60" s="79">
        <f t="shared" si="14"/>
        <v>10.91</v>
      </c>
      <c r="AH60" s="79">
        <f t="shared" si="15"/>
        <v>0.3741996951</v>
      </c>
    </row>
    <row r="61">
      <c r="A61" s="31" t="s">
        <v>138</v>
      </c>
      <c r="B61" s="31" t="s">
        <v>50</v>
      </c>
      <c r="C61" s="31" t="s">
        <v>77</v>
      </c>
      <c r="D61" s="31">
        <v>3039.0</v>
      </c>
      <c r="E61" s="79">
        <f t="shared" si="1"/>
        <v>33.76666667</v>
      </c>
      <c r="F61" s="31">
        <v>3039.0</v>
      </c>
      <c r="G61" s="31">
        <v>106.0</v>
      </c>
      <c r="H61" s="31">
        <v>55.0</v>
      </c>
      <c r="I61" s="31">
        <v>342.0</v>
      </c>
      <c r="J61" s="31">
        <v>29.0</v>
      </c>
      <c r="K61" s="31">
        <f t="shared" si="2"/>
        <v>532</v>
      </c>
      <c r="L61" s="31">
        <v>17.0</v>
      </c>
      <c r="M61" s="31">
        <v>39.0</v>
      </c>
      <c r="N61" s="31">
        <f>171+273</f>
        <v>444</v>
      </c>
      <c r="O61" s="31">
        <v>44.0</v>
      </c>
      <c r="P61">
        <f t="shared" si="3"/>
        <v>544</v>
      </c>
      <c r="Q61" s="80">
        <f t="shared" si="4"/>
        <v>-12</v>
      </c>
      <c r="R61" s="81">
        <v>2.0</v>
      </c>
      <c r="S61" s="82">
        <f t="shared" si="5"/>
        <v>0.0487804878</v>
      </c>
      <c r="T61" s="83">
        <v>7.0</v>
      </c>
      <c r="U61" s="84">
        <v>1.0</v>
      </c>
      <c r="V61" s="85">
        <f t="shared" si="6"/>
        <v>-0.12</v>
      </c>
      <c r="W61" s="81">
        <v>41.0</v>
      </c>
      <c r="X61" s="86">
        <f t="shared" si="7"/>
        <v>7</v>
      </c>
      <c r="Y61" s="87">
        <v>44.0</v>
      </c>
      <c r="Z61" s="88">
        <f t="shared" si="8"/>
        <v>3.96</v>
      </c>
      <c r="AA61" s="89">
        <f t="shared" si="9"/>
        <v>0.137254902</v>
      </c>
      <c r="AB61" s="82">
        <f t="shared" si="10"/>
        <v>0.1860353898</v>
      </c>
      <c r="AC61" s="81">
        <v>31.0</v>
      </c>
      <c r="AD61" s="79">
        <f t="shared" si="11"/>
        <v>4.03</v>
      </c>
      <c r="AE61" s="84">
        <f t="shared" si="12"/>
        <v>10</v>
      </c>
      <c r="AF61" s="90">
        <f t="shared" si="13"/>
        <v>0.2961500494</v>
      </c>
      <c r="AG61" s="79">
        <f t="shared" si="14"/>
        <v>9.88</v>
      </c>
      <c r="AH61" s="79">
        <f t="shared" si="15"/>
        <v>0.2925962488</v>
      </c>
    </row>
    <row r="62">
      <c r="A62" s="31" t="s">
        <v>139</v>
      </c>
      <c r="B62" s="31" t="s">
        <v>140</v>
      </c>
      <c r="C62" s="31" t="s">
        <v>141</v>
      </c>
      <c r="D62" s="31">
        <v>2612.0</v>
      </c>
      <c r="E62" s="79">
        <f t="shared" si="1"/>
        <v>29.02222222</v>
      </c>
      <c r="F62" s="31">
        <v>1397.0</v>
      </c>
      <c r="G62" s="31">
        <v>56.0</v>
      </c>
      <c r="H62" s="31">
        <v>40.0</v>
      </c>
      <c r="I62" s="31">
        <v>216.0</v>
      </c>
      <c r="J62" s="31">
        <v>12.0</v>
      </c>
      <c r="K62" s="31">
        <f t="shared" si="2"/>
        <v>324</v>
      </c>
      <c r="L62" s="31">
        <v>5.0</v>
      </c>
      <c r="M62" s="31">
        <v>47.0</v>
      </c>
      <c r="N62">
        <f>60+188</f>
        <v>248</v>
      </c>
      <c r="O62" s="31">
        <v>38.0</v>
      </c>
      <c r="P62">
        <f t="shared" si="3"/>
        <v>338</v>
      </c>
      <c r="Q62" s="80">
        <f t="shared" si="4"/>
        <v>-14</v>
      </c>
      <c r="R62" s="83">
        <v>5.0</v>
      </c>
      <c r="S62" s="82">
        <f t="shared" si="5"/>
        <v>0.25</v>
      </c>
      <c r="T62" s="83">
        <v>3.0</v>
      </c>
      <c r="U62" s="84">
        <v>3.0</v>
      </c>
      <c r="V62" s="85">
        <f t="shared" si="6"/>
        <v>-0.14</v>
      </c>
      <c r="W62" s="83">
        <v>20.0</v>
      </c>
      <c r="X62" s="86">
        <f t="shared" si="7"/>
        <v>3</v>
      </c>
      <c r="Y62" s="92">
        <v>54.0</v>
      </c>
      <c r="Z62" s="88">
        <f t="shared" si="8"/>
        <v>4.86</v>
      </c>
      <c r="AA62" s="89">
        <f t="shared" si="9"/>
        <v>0.05263157895</v>
      </c>
      <c r="AB62" s="82">
        <f t="shared" si="10"/>
        <v>0.3026315789</v>
      </c>
      <c r="AC62" s="83">
        <v>20.0</v>
      </c>
      <c r="AD62" s="79">
        <f t="shared" si="11"/>
        <v>2.6</v>
      </c>
      <c r="AE62" s="84">
        <f t="shared" si="12"/>
        <v>11</v>
      </c>
      <c r="AF62" s="90">
        <f t="shared" si="13"/>
        <v>0.3790199081</v>
      </c>
      <c r="AG62" s="79">
        <f t="shared" si="14"/>
        <v>10.86</v>
      </c>
      <c r="AH62" s="79">
        <f t="shared" si="15"/>
        <v>0.3741960184</v>
      </c>
    </row>
    <row r="63">
      <c r="A63" s="31" t="s">
        <v>142</v>
      </c>
      <c r="B63" s="31" t="s">
        <v>97</v>
      </c>
      <c r="C63" s="31" t="s">
        <v>112</v>
      </c>
      <c r="D63" s="31">
        <v>3169.0</v>
      </c>
      <c r="E63" s="79">
        <f t="shared" si="1"/>
        <v>35.21111111</v>
      </c>
      <c r="F63" s="31">
        <v>1466.0</v>
      </c>
      <c r="G63" s="31">
        <v>38.0</v>
      </c>
      <c r="H63" s="31">
        <v>27.0</v>
      </c>
      <c r="I63" s="31">
        <v>228.0</v>
      </c>
      <c r="J63" s="31">
        <v>25.0</v>
      </c>
      <c r="K63" s="31">
        <f t="shared" si="2"/>
        <v>318</v>
      </c>
      <c r="L63" s="31">
        <v>33.0</v>
      </c>
      <c r="M63" s="31">
        <v>68.0</v>
      </c>
      <c r="N63">
        <f>21+169</f>
        <v>190</v>
      </c>
      <c r="O63" s="31">
        <v>43.0</v>
      </c>
      <c r="P63">
        <f t="shared" si="3"/>
        <v>334</v>
      </c>
      <c r="Q63" s="80">
        <f t="shared" si="4"/>
        <v>-16</v>
      </c>
      <c r="R63" s="81">
        <v>11.0</v>
      </c>
      <c r="S63" s="82">
        <f t="shared" si="5"/>
        <v>0.2037037037</v>
      </c>
      <c r="T63" s="83">
        <v>5.0</v>
      </c>
      <c r="U63" s="84">
        <v>5.0</v>
      </c>
      <c r="V63" s="85">
        <f t="shared" si="6"/>
        <v>-0.16</v>
      </c>
      <c r="W63" s="81">
        <v>54.0</v>
      </c>
      <c r="X63" s="86">
        <f t="shared" si="7"/>
        <v>5</v>
      </c>
      <c r="Y63" s="87">
        <v>47.0</v>
      </c>
      <c r="Z63" s="88">
        <f t="shared" si="8"/>
        <v>4.23</v>
      </c>
      <c r="AA63" s="89">
        <f t="shared" si="9"/>
        <v>0.09615384615</v>
      </c>
      <c r="AB63" s="82">
        <f t="shared" si="10"/>
        <v>0.2998575499</v>
      </c>
      <c r="AC63" s="81">
        <v>53.0</v>
      </c>
      <c r="AD63" s="79">
        <f t="shared" si="11"/>
        <v>6.89</v>
      </c>
      <c r="AE63" s="84">
        <f t="shared" si="12"/>
        <v>21</v>
      </c>
      <c r="AF63" s="90">
        <f t="shared" si="13"/>
        <v>0.5964026507</v>
      </c>
      <c r="AG63" s="79">
        <f t="shared" si="14"/>
        <v>20.84</v>
      </c>
      <c r="AH63" s="79">
        <f t="shared" si="15"/>
        <v>0.5918586305</v>
      </c>
    </row>
    <row r="64">
      <c r="A64" s="31" t="s">
        <v>143</v>
      </c>
      <c r="B64" s="31" t="s">
        <v>82</v>
      </c>
      <c r="C64" s="31" t="s">
        <v>91</v>
      </c>
      <c r="D64" s="31">
        <v>1538.0</v>
      </c>
      <c r="E64" s="79">
        <f t="shared" si="1"/>
        <v>17.08888889</v>
      </c>
      <c r="F64" s="31">
        <v>1354.0</v>
      </c>
      <c r="G64" s="31">
        <v>56.0</v>
      </c>
      <c r="H64" s="31">
        <v>24.0</v>
      </c>
      <c r="I64" s="31">
        <v>118.0</v>
      </c>
      <c r="J64" s="31">
        <v>7.0</v>
      </c>
      <c r="K64" s="31">
        <f t="shared" si="2"/>
        <v>205</v>
      </c>
      <c r="L64" s="31">
        <v>11.0</v>
      </c>
      <c r="M64" s="31">
        <v>32.0</v>
      </c>
      <c r="N64">
        <f>42+133</f>
        <v>175</v>
      </c>
      <c r="O64" s="31">
        <v>7.0</v>
      </c>
      <c r="P64">
        <f t="shared" si="3"/>
        <v>225</v>
      </c>
      <c r="Q64" s="80">
        <f t="shared" si="4"/>
        <v>-20</v>
      </c>
      <c r="R64" s="83">
        <v>3.0</v>
      </c>
      <c r="S64" s="82">
        <f t="shared" si="5"/>
        <v>0.125</v>
      </c>
      <c r="T64" s="83">
        <v>2.0</v>
      </c>
      <c r="U64" s="84">
        <v>1.0</v>
      </c>
      <c r="V64" s="85">
        <f t="shared" si="6"/>
        <v>-0.2</v>
      </c>
      <c r="W64" s="91">
        <v>24.0</v>
      </c>
      <c r="X64" s="86">
        <f t="shared" si="7"/>
        <v>2</v>
      </c>
      <c r="Y64" s="83">
        <v>21.0</v>
      </c>
      <c r="Z64" s="88">
        <f t="shared" si="8"/>
        <v>1.89</v>
      </c>
      <c r="AA64" s="89">
        <f t="shared" si="9"/>
        <v>0.08695652174</v>
      </c>
      <c r="AB64" s="82">
        <f t="shared" si="10"/>
        <v>0.2119565217</v>
      </c>
      <c r="AC64" s="91">
        <v>19.0</v>
      </c>
      <c r="AD64" s="79">
        <f t="shared" si="11"/>
        <v>2.47</v>
      </c>
      <c r="AE64" s="84">
        <f t="shared" si="12"/>
        <v>6</v>
      </c>
      <c r="AF64" s="90">
        <f t="shared" si="13"/>
        <v>0.3511053316</v>
      </c>
      <c r="AG64" s="79">
        <f t="shared" si="14"/>
        <v>5.8</v>
      </c>
      <c r="AH64" s="79">
        <f t="shared" si="15"/>
        <v>0.3394018205</v>
      </c>
    </row>
    <row r="65">
      <c r="A65" s="31" t="s">
        <v>144</v>
      </c>
      <c r="B65" s="31" t="s">
        <v>61</v>
      </c>
      <c r="C65" s="31" t="s">
        <v>93</v>
      </c>
      <c r="D65" s="31">
        <v>3376.0</v>
      </c>
      <c r="E65" s="79">
        <f t="shared" si="1"/>
        <v>37.51111111</v>
      </c>
      <c r="F65" s="31">
        <v>3376.0</v>
      </c>
      <c r="G65" s="31">
        <v>53.0</v>
      </c>
      <c r="H65" s="31">
        <v>51.0</v>
      </c>
      <c r="I65" s="31">
        <v>269.0</v>
      </c>
      <c r="J65" s="31">
        <v>36.0</v>
      </c>
      <c r="K65" s="31">
        <f t="shared" si="2"/>
        <v>409</v>
      </c>
      <c r="L65" s="31">
        <v>13.0</v>
      </c>
      <c r="M65" s="31">
        <v>58.0</v>
      </c>
      <c r="N65">
        <f>98+225</f>
        <v>323</v>
      </c>
      <c r="O65" s="31">
        <v>37.0</v>
      </c>
      <c r="P65">
        <f t="shared" si="3"/>
        <v>431</v>
      </c>
      <c r="Q65" s="80">
        <f t="shared" si="4"/>
        <v>-22</v>
      </c>
      <c r="R65" s="83">
        <v>1.0</v>
      </c>
      <c r="S65" s="82">
        <f t="shared" si="5"/>
        <v>0.04545454545</v>
      </c>
      <c r="T65" s="83">
        <v>3.0</v>
      </c>
      <c r="U65" s="84">
        <v>3.0</v>
      </c>
      <c r="V65" s="85">
        <f t="shared" si="6"/>
        <v>-0.22</v>
      </c>
      <c r="W65" s="83">
        <v>22.0</v>
      </c>
      <c r="X65" s="86">
        <f t="shared" si="7"/>
        <v>3</v>
      </c>
      <c r="Y65" s="92">
        <v>30.0</v>
      </c>
      <c r="Z65" s="88">
        <f t="shared" si="8"/>
        <v>2.7</v>
      </c>
      <c r="AA65" s="89">
        <f t="shared" si="9"/>
        <v>0.09090909091</v>
      </c>
      <c r="AB65" s="82">
        <f t="shared" si="10"/>
        <v>0.1363636364</v>
      </c>
      <c r="AC65" s="83">
        <v>29.0</v>
      </c>
      <c r="AD65" s="79">
        <f t="shared" si="11"/>
        <v>3.77</v>
      </c>
      <c r="AE65" s="84">
        <f t="shared" si="12"/>
        <v>7</v>
      </c>
      <c r="AF65" s="90">
        <f t="shared" si="13"/>
        <v>0.1866113744</v>
      </c>
      <c r="AG65" s="79">
        <f t="shared" si="14"/>
        <v>6.78</v>
      </c>
      <c r="AH65" s="79">
        <f t="shared" si="15"/>
        <v>0.1807464455</v>
      </c>
    </row>
    <row r="66">
      <c r="A66" s="31" t="s">
        <v>145</v>
      </c>
      <c r="B66" s="31" t="s">
        <v>82</v>
      </c>
      <c r="C66" s="31" t="s">
        <v>133</v>
      </c>
      <c r="D66" s="31">
        <v>1205.0</v>
      </c>
      <c r="E66" s="79">
        <f t="shared" si="1"/>
        <v>13.38888889</v>
      </c>
      <c r="F66" s="31">
        <v>1070.0</v>
      </c>
      <c r="G66" s="31">
        <v>36.0</v>
      </c>
      <c r="H66" s="31">
        <v>23.0</v>
      </c>
      <c r="I66" s="31">
        <v>106.0</v>
      </c>
      <c r="J66" s="31">
        <v>16.0</v>
      </c>
      <c r="K66" s="31">
        <f t="shared" si="2"/>
        <v>181</v>
      </c>
      <c r="L66" s="31">
        <v>3.0</v>
      </c>
      <c r="M66" s="31">
        <v>28.0</v>
      </c>
      <c r="N66">
        <f>39+114</f>
        <v>153</v>
      </c>
      <c r="O66" s="31">
        <v>22.0</v>
      </c>
      <c r="P66">
        <f t="shared" si="3"/>
        <v>206</v>
      </c>
      <c r="Q66" s="80">
        <f t="shared" si="4"/>
        <v>-25</v>
      </c>
      <c r="R66" s="83">
        <v>1.0</v>
      </c>
      <c r="S66" s="82">
        <f t="shared" si="5"/>
        <v>0.08333333333</v>
      </c>
      <c r="T66" s="83">
        <v>0.0</v>
      </c>
      <c r="U66" s="84">
        <v>4.0</v>
      </c>
      <c r="V66" s="85">
        <f t="shared" si="6"/>
        <v>-0.25</v>
      </c>
      <c r="W66" s="91">
        <v>12.0</v>
      </c>
      <c r="X66" s="86">
        <f t="shared" si="7"/>
        <v>0</v>
      </c>
      <c r="Y66" s="83">
        <v>8.0</v>
      </c>
      <c r="Z66" s="88">
        <f t="shared" si="8"/>
        <v>0.72</v>
      </c>
      <c r="AA66" s="89">
        <f t="shared" si="9"/>
        <v>0</v>
      </c>
      <c r="AB66" s="82">
        <f t="shared" si="10"/>
        <v>0.08333333333</v>
      </c>
      <c r="AC66" s="91">
        <v>13.0</v>
      </c>
      <c r="AD66" s="79">
        <f t="shared" si="11"/>
        <v>1.69</v>
      </c>
      <c r="AE66" s="84">
        <f t="shared" si="12"/>
        <v>5</v>
      </c>
      <c r="AF66" s="90">
        <f t="shared" si="13"/>
        <v>0.3734439834</v>
      </c>
      <c r="AG66" s="79">
        <f t="shared" si="14"/>
        <v>4.75</v>
      </c>
      <c r="AH66" s="79">
        <f t="shared" si="15"/>
        <v>0.3547717842</v>
      </c>
    </row>
    <row r="67">
      <c r="A67" s="31" t="s">
        <v>146</v>
      </c>
      <c r="B67" s="31" t="s">
        <v>104</v>
      </c>
      <c r="C67" s="31" t="s">
        <v>77</v>
      </c>
      <c r="D67" s="31">
        <v>1749.0</v>
      </c>
      <c r="E67" s="79">
        <f t="shared" si="1"/>
        <v>19.43333333</v>
      </c>
      <c r="F67" s="31">
        <v>1643.0</v>
      </c>
      <c r="G67" s="31">
        <v>41.0</v>
      </c>
      <c r="H67" s="31">
        <v>36.0</v>
      </c>
      <c r="I67" s="31">
        <v>140.0</v>
      </c>
      <c r="J67" s="31">
        <v>23.0</v>
      </c>
      <c r="K67" s="31">
        <f t="shared" si="2"/>
        <v>240</v>
      </c>
      <c r="L67" s="31">
        <v>6.0</v>
      </c>
      <c r="M67" s="31">
        <v>17.0</v>
      </c>
      <c r="N67">
        <f>73+144</f>
        <v>217</v>
      </c>
      <c r="O67" s="31">
        <v>25.0</v>
      </c>
      <c r="P67">
        <f t="shared" si="3"/>
        <v>265</v>
      </c>
      <c r="Q67" s="80">
        <f t="shared" si="4"/>
        <v>-25</v>
      </c>
      <c r="R67" s="83">
        <v>0.0</v>
      </c>
      <c r="S67" s="82">
        <f t="shared" si="5"/>
        <v>0</v>
      </c>
      <c r="T67" s="83">
        <v>0.0</v>
      </c>
      <c r="U67" s="84">
        <v>1.0</v>
      </c>
      <c r="V67" s="85">
        <f t="shared" si="6"/>
        <v>-0.25</v>
      </c>
      <c r="W67" s="91">
        <v>11.0</v>
      </c>
      <c r="X67" s="86">
        <f t="shared" si="7"/>
        <v>0</v>
      </c>
      <c r="Y67" s="83">
        <v>9.0</v>
      </c>
      <c r="Z67" s="88">
        <f t="shared" si="8"/>
        <v>0.81</v>
      </c>
      <c r="AA67" s="89">
        <f t="shared" si="9"/>
        <v>0</v>
      </c>
      <c r="AB67" s="82">
        <f t="shared" si="10"/>
        <v>0</v>
      </c>
      <c r="AC67" s="91">
        <v>13.0</v>
      </c>
      <c r="AD67" s="79">
        <f t="shared" si="11"/>
        <v>1.69</v>
      </c>
      <c r="AE67" s="84">
        <f t="shared" si="12"/>
        <v>1</v>
      </c>
      <c r="AF67" s="90">
        <f t="shared" si="13"/>
        <v>0.05145797599</v>
      </c>
      <c r="AG67" s="79">
        <f t="shared" si="14"/>
        <v>0.75</v>
      </c>
      <c r="AH67" s="79">
        <f t="shared" si="15"/>
        <v>0.03859348199</v>
      </c>
    </row>
    <row r="68">
      <c r="A68" s="31" t="s">
        <v>147</v>
      </c>
      <c r="B68" s="31" t="s">
        <v>100</v>
      </c>
      <c r="C68" s="31" t="s">
        <v>77</v>
      </c>
      <c r="D68" s="31">
        <v>1293.0</v>
      </c>
      <c r="E68" s="79">
        <f t="shared" si="1"/>
        <v>14.36666667</v>
      </c>
      <c r="F68" s="31">
        <v>1175.0</v>
      </c>
      <c r="G68" s="31">
        <v>41.0</v>
      </c>
      <c r="H68" s="31">
        <v>22.0</v>
      </c>
      <c r="I68" s="31">
        <v>113.0</v>
      </c>
      <c r="J68" s="31">
        <v>21.0</v>
      </c>
      <c r="K68" s="31">
        <f t="shared" si="2"/>
        <v>197</v>
      </c>
      <c r="L68" s="31">
        <v>6.0</v>
      </c>
      <c r="M68" s="31">
        <v>12.0</v>
      </c>
      <c r="N68">
        <f>67+129</f>
        <v>196</v>
      </c>
      <c r="O68" s="31">
        <v>10.0</v>
      </c>
      <c r="P68">
        <f t="shared" si="3"/>
        <v>224</v>
      </c>
      <c r="Q68" s="80">
        <f t="shared" si="4"/>
        <v>-27</v>
      </c>
      <c r="R68" s="83">
        <v>2.0</v>
      </c>
      <c r="S68" s="82">
        <f t="shared" si="5"/>
        <v>0.07692307692</v>
      </c>
      <c r="T68" s="83">
        <v>3.0</v>
      </c>
      <c r="U68" s="84">
        <v>2.0</v>
      </c>
      <c r="V68" s="85">
        <f t="shared" si="6"/>
        <v>-0.27</v>
      </c>
      <c r="W68" s="91">
        <v>26.0</v>
      </c>
      <c r="X68" s="86">
        <f t="shared" si="7"/>
        <v>3</v>
      </c>
      <c r="Y68" s="83">
        <v>18.0</v>
      </c>
      <c r="Z68" s="88">
        <f t="shared" si="8"/>
        <v>1.62</v>
      </c>
      <c r="AA68" s="89">
        <f t="shared" si="9"/>
        <v>0.1428571429</v>
      </c>
      <c r="AB68" s="82">
        <f t="shared" si="10"/>
        <v>0.2197802198</v>
      </c>
      <c r="AC68" s="91">
        <v>8.0</v>
      </c>
      <c r="AD68" s="79">
        <f t="shared" si="11"/>
        <v>1.04</v>
      </c>
      <c r="AE68" s="84">
        <f t="shared" si="12"/>
        <v>7</v>
      </c>
      <c r="AF68" s="90">
        <f t="shared" si="13"/>
        <v>0.4872389791</v>
      </c>
      <c r="AG68" s="79">
        <f t="shared" si="14"/>
        <v>6.73</v>
      </c>
      <c r="AH68" s="79">
        <f t="shared" si="15"/>
        <v>0.4684454756</v>
      </c>
    </row>
    <row r="69">
      <c r="A69" s="31" t="s">
        <v>148</v>
      </c>
      <c r="B69" s="31" t="s">
        <v>66</v>
      </c>
      <c r="C69" s="31" t="s">
        <v>77</v>
      </c>
      <c r="D69" s="31">
        <v>2625.0</v>
      </c>
      <c r="E69" s="79">
        <f t="shared" si="1"/>
        <v>29.16666667</v>
      </c>
      <c r="F69" s="31">
        <v>1252.0</v>
      </c>
      <c r="G69" s="31">
        <v>54.0</v>
      </c>
      <c r="H69" s="31">
        <v>28.0</v>
      </c>
      <c r="I69" s="31">
        <v>219.0</v>
      </c>
      <c r="J69" s="31">
        <v>13.0</v>
      </c>
      <c r="K69" s="31">
        <f t="shared" si="2"/>
        <v>314</v>
      </c>
      <c r="L69" s="31">
        <v>28.0</v>
      </c>
      <c r="M69" s="31">
        <v>49.0</v>
      </c>
      <c r="N69">
        <f>68+180</f>
        <v>248</v>
      </c>
      <c r="O69" s="31">
        <v>16.0</v>
      </c>
      <c r="P69">
        <f t="shared" si="3"/>
        <v>341</v>
      </c>
      <c r="Q69" s="80">
        <f t="shared" si="4"/>
        <v>-27</v>
      </c>
      <c r="R69" s="83">
        <v>2.0</v>
      </c>
      <c r="S69" s="82">
        <f t="shared" si="5"/>
        <v>0.03703703704</v>
      </c>
      <c r="T69" s="83">
        <v>3.0</v>
      </c>
      <c r="U69" s="84">
        <v>5.0</v>
      </c>
      <c r="V69" s="85">
        <f t="shared" si="6"/>
        <v>-0.27</v>
      </c>
      <c r="W69" s="83">
        <v>54.0</v>
      </c>
      <c r="X69" s="86">
        <f t="shared" si="7"/>
        <v>3</v>
      </c>
      <c r="Y69" s="92">
        <v>59.0</v>
      </c>
      <c r="Z69" s="88">
        <f t="shared" si="8"/>
        <v>5.31</v>
      </c>
      <c r="AA69" s="89">
        <f t="shared" si="9"/>
        <v>0.04838709677</v>
      </c>
      <c r="AB69" s="82">
        <f t="shared" si="10"/>
        <v>0.08542413381</v>
      </c>
      <c r="AC69" s="83">
        <v>46.0</v>
      </c>
      <c r="AD69" s="79">
        <f t="shared" si="11"/>
        <v>5.98</v>
      </c>
      <c r="AE69" s="84">
        <f t="shared" si="12"/>
        <v>10</v>
      </c>
      <c r="AF69" s="90">
        <f t="shared" si="13"/>
        <v>0.3428571429</v>
      </c>
      <c r="AG69" s="79">
        <f t="shared" si="14"/>
        <v>9.73</v>
      </c>
      <c r="AH69" s="79">
        <f t="shared" si="15"/>
        <v>0.3336</v>
      </c>
    </row>
    <row r="70">
      <c r="A70" s="31" t="s">
        <v>149</v>
      </c>
      <c r="B70" s="31" t="s">
        <v>123</v>
      </c>
      <c r="C70" s="31" t="s">
        <v>77</v>
      </c>
      <c r="D70" s="31">
        <v>2445.0</v>
      </c>
      <c r="E70" s="79">
        <f t="shared" si="1"/>
        <v>27.16666667</v>
      </c>
      <c r="F70" s="31">
        <v>2373.0</v>
      </c>
      <c r="G70" s="31">
        <v>72.0</v>
      </c>
      <c r="H70" s="31">
        <v>52.0</v>
      </c>
      <c r="I70" s="31">
        <v>156.0</v>
      </c>
      <c r="J70" s="31">
        <v>36.0</v>
      </c>
      <c r="K70" s="31">
        <f t="shared" si="2"/>
        <v>316</v>
      </c>
      <c r="L70" s="31">
        <v>26.0</v>
      </c>
      <c r="M70" s="31">
        <v>84.0</v>
      </c>
      <c r="N70">
        <f>34+162</f>
        <v>196</v>
      </c>
      <c r="O70" s="31">
        <v>43.0</v>
      </c>
      <c r="P70">
        <f t="shared" si="3"/>
        <v>349</v>
      </c>
      <c r="Q70" s="80">
        <f t="shared" si="4"/>
        <v>-33</v>
      </c>
      <c r="R70" s="83">
        <v>3.0</v>
      </c>
      <c r="S70" s="82">
        <f t="shared" si="5"/>
        <v>0.075</v>
      </c>
      <c r="T70" s="83">
        <v>1.0</v>
      </c>
      <c r="U70" s="84">
        <v>5.0</v>
      </c>
      <c r="V70" s="85">
        <f t="shared" si="6"/>
        <v>-0.33</v>
      </c>
      <c r="W70" s="83">
        <v>40.0</v>
      </c>
      <c r="X70" s="86">
        <f t="shared" si="7"/>
        <v>1</v>
      </c>
      <c r="Y70" s="92">
        <v>27.0</v>
      </c>
      <c r="Z70" s="88">
        <f t="shared" si="8"/>
        <v>2.43</v>
      </c>
      <c r="AA70" s="89">
        <f t="shared" si="9"/>
        <v>0.03571428571</v>
      </c>
      <c r="AB70" s="82">
        <f t="shared" si="10"/>
        <v>0.1107142857</v>
      </c>
      <c r="AC70" s="83">
        <v>37.0</v>
      </c>
      <c r="AD70" s="79">
        <f t="shared" si="11"/>
        <v>4.81</v>
      </c>
      <c r="AE70" s="84">
        <f t="shared" si="12"/>
        <v>9</v>
      </c>
      <c r="AF70" s="90">
        <f t="shared" si="13"/>
        <v>0.3312883436</v>
      </c>
      <c r="AG70" s="79">
        <f t="shared" si="14"/>
        <v>8.67</v>
      </c>
      <c r="AH70" s="79">
        <f t="shared" si="15"/>
        <v>0.3191411043</v>
      </c>
    </row>
    <row r="71">
      <c r="A71" s="31" t="s">
        <v>150</v>
      </c>
      <c r="B71" s="31" t="s">
        <v>151</v>
      </c>
      <c r="C71" s="31" t="s">
        <v>77</v>
      </c>
      <c r="D71" s="31">
        <f>1221+1048</f>
        <v>2269</v>
      </c>
      <c r="E71" s="79">
        <f t="shared" si="1"/>
        <v>25.21111111</v>
      </c>
      <c r="F71" s="31">
        <v>1203.0</v>
      </c>
      <c r="G71" s="31">
        <f>23+14</f>
        <v>37</v>
      </c>
      <c r="H71" s="31">
        <f>26+19</f>
        <v>45</v>
      </c>
      <c r="I71" s="31">
        <v>181.0</v>
      </c>
      <c r="J71" s="31">
        <f>7+5</f>
        <v>12</v>
      </c>
      <c r="K71" s="31">
        <f t="shared" si="2"/>
        <v>275</v>
      </c>
      <c r="L71" s="31">
        <f>9+4</f>
        <v>13</v>
      </c>
      <c r="M71" s="31">
        <f>12+5</f>
        <v>17</v>
      </c>
      <c r="N71">
        <f>45+90+71+58</f>
        <v>264</v>
      </c>
      <c r="O71" s="31">
        <f>4+11</f>
        <v>15</v>
      </c>
      <c r="P71">
        <f t="shared" si="3"/>
        <v>309</v>
      </c>
      <c r="Q71" s="80">
        <f t="shared" si="4"/>
        <v>-34</v>
      </c>
      <c r="R71" s="83">
        <v>1.0</v>
      </c>
      <c r="S71" s="82">
        <f t="shared" si="5"/>
        <v>0.01785714286</v>
      </c>
      <c r="T71" s="83">
        <f>2+3</f>
        <v>5</v>
      </c>
      <c r="U71" s="84">
        <v>3.0</v>
      </c>
      <c r="V71" s="85">
        <f t="shared" si="6"/>
        <v>-0.34</v>
      </c>
      <c r="W71" s="91">
        <f>34+22</f>
        <v>56</v>
      </c>
      <c r="X71" s="86">
        <f t="shared" si="7"/>
        <v>5</v>
      </c>
      <c r="Y71" s="83">
        <f>24+19</f>
        <v>43</v>
      </c>
      <c r="Z71" s="88">
        <f t="shared" si="8"/>
        <v>3.87</v>
      </c>
      <c r="AA71" s="89">
        <f t="shared" si="9"/>
        <v>0.1041666667</v>
      </c>
      <c r="AB71" s="82">
        <f t="shared" si="10"/>
        <v>0.1220238095</v>
      </c>
      <c r="AC71" s="91">
        <f>15+10</f>
        <v>25</v>
      </c>
      <c r="AD71" s="79">
        <f t="shared" si="11"/>
        <v>3.25</v>
      </c>
      <c r="AE71" s="84">
        <f t="shared" si="12"/>
        <v>9</v>
      </c>
      <c r="AF71" s="90">
        <f t="shared" si="13"/>
        <v>0.3569854561</v>
      </c>
      <c r="AG71" s="79">
        <f t="shared" si="14"/>
        <v>8.66</v>
      </c>
      <c r="AH71" s="79">
        <f t="shared" si="15"/>
        <v>0.3434993389</v>
      </c>
    </row>
    <row r="72">
      <c r="A72" s="31" t="s">
        <v>152</v>
      </c>
      <c r="B72" s="31" t="s">
        <v>100</v>
      </c>
      <c r="C72" s="31" t="s">
        <v>133</v>
      </c>
      <c r="D72" s="31">
        <v>2493.0</v>
      </c>
      <c r="E72" s="79">
        <f t="shared" si="1"/>
        <v>27.7</v>
      </c>
      <c r="F72" s="31">
        <v>2158.0</v>
      </c>
      <c r="G72" s="31">
        <v>79.0</v>
      </c>
      <c r="H72" s="31">
        <v>62.0</v>
      </c>
      <c r="I72" s="31">
        <v>204.0</v>
      </c>
      <c r="J72" s="31">
        <v>45.0</v>
      </c>
      <c r="K72" s="31">
        <f t="shared" si="2"/>
        <v>390</v>
      </c>
      <c r="L72" s="31">
        <v>18.0</v>
      </c>
      <c r="M72" s="31">
        <v>40.0</v>
      </c>
      <c r="N72">
        <f>84+252</f>
        <v>336</v>
      </c>
      <c r="O72" s="31">
        <v>40.0</v>
      </c>
      <c r="P72">
        <f t="shared" si="3"/>
        <v>434</v>
      </c>
      <c r="Q72" s="80">
        <f t="shared" si="4"/>
        <v>-44</v>
      </c>
      <c r="R72" s="83">
        <v>1.0</v>
      </c>
      <c r="S72" s="82">
        <f t="shared" si="5"/>
        <v>0.03333333333</v>
      </c>
      <c r="T72" s="83">
        <v>0.0</v>
      </c>
      <c r="U72" s="84">
        <v>6.0</v>
      </c>
      <c r="V72" s="85">
        <f t="shared" si="6"/>
        <v>-0.44</v>
      </c>
      <c r="W72" s="83">
        <v>30.0</v>
      </c>
      <c r="X72" s="86">
        <f t="shared" si="7"/>
        <v>0</v>
      </c>
      <c r="Y72" s="92">
        <v>32.0</v>
      </c>
      <c r="Z72" s="88">
        <f t="shared" si="8"/>
        <v>2.88</v>
      </c>
      <c r="AA72" s="89">
        <f t="shared" si="9"/>
        <v>0</v>
      </c>
      <c r="AB72" s="82">
        <f t="shared" si="10"/>
        <v>0.03333333333</v>
      </c>
      <c r="AC72" s="83">
        <v>39.0</v>
      </c>
      <c r="AD72" s="79">
        <f t="shared" si="11"/>
        <v>5.07</v>
      </c>
      <c r="AE72" s="84">
        <f t="shared" si="12"/>
        <v>7</v>
      </c>
      <c r="AF72" s="90">
        <f t="shared" si="13"/>
        <v>0.2527075812</v>
      </c>
      <c r="AG72" s="79">
        <f t="shared" si="14"/>
        <v>6.56</v>
      </c>
      <c r="AH72" s="79">
        <f t="shared" si="15"/>
        <v>0.2368231047</v>
      </c>
    </row>
    <row r="73">
      <c r="A73" s="31" t="s">
        <v>153</v>
      </c>
      <c r="B73" s="31" t="s">
        <v>53</v>
      </c>
      <c r="C73" s="31" t="s">
        <v>51</v>
      </c>
      <c r="D73" s="31">
        <v>1825.0</v>
      </c>
      <c r="E73" s="79">
        <f t="shared" si="1"/>
        <v>20.27777778</v>
      </c>
      <c r="F73" s="31">
        <v>1667.0</v>
      </c>
      <c r="G73" s="31">
        <v>30.0</v>
      </c>
      <c r="H73" s="31">
        <v>27.0</v>
      </c>
      <c r="I73" s="31">
        <v>105.0</v>
      </c>
      <c r="J73" s="31">
        <v>11.0</v>
      </c>
      <c r="K73" s="31">
        <f t="shared" si="2"/>
        <v>173</v>
      </c>
      <c r="L73" s="31">
        <v>14.0</v>
      </c>
      <c r="M73" s="31">
        <v>13.0</v>
      </c>
      <c r="N73">
        <f>45+123</f>
        <v>168</v>
      </c>
      <c r="O73" s="31">
        <v>27.0</v>
      </c>
      <c r="P73">
        <f t="shared" si="3"/>
        <v>222</v>
      </c>
      <c r="Q73" s="80">
        <f t="shared" si="4"/>
        <v>-49</v>
      </c>
      <c r="R73" s="83">
        <v>0.0</v>
      </c>
      <c r="S73" s="82">
        <f t="shared" si="5"/>
        <v>0</v>
      </c>
      <c r="T73" s="83">
        <v>5.0</v>
      </c>
      <c r="U73" s="84">
        <v>6.0</v>
      </c>
      <c r="V73" s="85">
        <f t="shared" si="6"/>
        <v>-0.49</v>
      </c>
      <c r="W73" s="91">
        <v>19.0</v>
      </c>
      <c r="X73" s="86">
        <f t="shared" si="7"/>
        <v>5</v>
      </c>
      <c r="Y73" s="83">
        <v>39.0</v>
      </c>
      <c r="Z73" s="88">
        <f t="shared" si="8"/>
        <v>3.51</v>
      </c>
      <c r="AA73" s="89">
        <f t="shared" si="9"/>
        <v>0.1136363636</v>
      </c>
      <c r="AB73" s="82">
        <f t="shared" si="10"/>
        <v>0.1136363636</v>
      </c>
      <c r="AC73" s="91">
        <v>11.0</v>
      </c>
      <c r="AD73" s="79">
        <f t="shared" si="11"/>
        <v>1.43</v>
      </c>
      <c r="AE73" s="84">
        <f t="shared" si="12"/>
        <v>11</v>
      </c>
      <c r="AF73" s="90">
        <f t="shared" si="13"/>
        <v>0.5424657534</v>
      </c>
      <c r="AG73" s="79">
        <f t="shared" si="14"/>
        <v>10.51</v>
      </c>
      <c r="AH73" s="79">
        <f t="shared" si="15"/>
        <v>0.5183013699</v>
      </c>
    </row>
    <row r="74">
      <c r="A74" s="31" t="s">
        <v>154</v>
      </c>
      <c r="B74" s="31" t="s">
        <v>58</v>
      </c>
      <c r="C74" s="31" t="s">
        <v>77</v>
      </c>
      <c r="D74" s="31">
        <v>3268.0</v>
      </c>
      <c r="E74" s="79">
        <f t="shared" si="1"/>
        <v>36.31111111</v>
      </c>
      <c r="F74" s="31">
        <v>3178.0</v>
      </c>
      <c r="G74" s="31">
        <v>79.0</v>
      </c>
      <c r="H74" s="31">
        <v>80.0</v>
      </c>
      <c r="I74" s="31">
        <v>151.0</v>
      </c>
      <c r="J74" s="31">
        <v>86.0</v>
      </c>
      <c r="K74" s="31">
        <f t="shared" si="2"/>
        <v>396</v>
      </c>
      <c r="L74" s="31">
        <v>6.0</v>
      </c>
      <c r="M74" s="31">
        <v>28.0</v>
      </c>
      <c r="N74">
        <f>104+244</f>
        <v>348</v>
      </c>
      <c r="O74" s="31">
        <v>68.0</v>
      </c>
      <c r="P74">
        <f t="shared" si="3"/>
        <v>450</v>
      </c>
      <c r="Q74" s="80">
        <f t="shared" si="4"/>
        <v>-54</v>
      </c>
      <c r="R74" s="83">
        <v>3.0</v>
      </c>
      <c r="S74" s="82">
        <f t="shared" si="5"/>
        <v>0.1</v>
      </c>
      <c r="T74" s="83">
        <v>2.0</v>
      </c>
      <c r="U74" s="84">
        <v>2.0</v>
      </c>
      <c r="V74" s="85">
        <f t="shared" si="6"/>
        <v>-0.54</v>
      </c>
      <c r="W74" s="83">
        <v>30.0</v>
      </c>
      <c r="X74" s="86">
        <f t="shared" si="7"/>
        <v>2</v>
      </c>
      <c r="Y74" s="92">
        <v>18.0</v>
      </c>
      <c r="Z74" s="88">
        <f t="shared" si="8"/>
        <v>1.62</v>
      </c>
      <c r="AA74" s="89">
        <f t="shared" si="9"/>
        <v>0.1</v>
      </c>
      <c r="AB74" s="82">
        <f t="shared" si="10"/>
        <v>0.2</v>
      </c>
      <c r="AC74" s="83">
        <v>8.0</v>
      </c>
      <c r="AD74" s="79">
        <f t="shared" si="11"/>
        <v>1.04</v>
      </c>
      <c r="AE74" s="84">
        <f t="shared" si="12"/>
        <v>7</v>
      </c>
      <c r="AF74" s="90">
        <f t="shared" si="13"/>
        <v>0.1927784578</v>
      </c>
      <c r="AG74" s="79">
        <f t="shared" si="14"/>
        <v>6.46</v>
      </c>
      <c r="AH74" s="79">
        <f t="shared" si="15"/>
        <v>0.1779069767</v>
      </c>
    </row>
    <row r="75">
      <c r="A75" s="31" t="s">
        <v>155</v>
      </c>
      <c r="B75" s="31" t="s">
        <v>71</v>
      </c>
      <c r="C75" s="31" t="s">
        <v>54</v>
      </c>
      <c r="D75" s="31">
        <v>2608.0</v>
      </c>
      <c r="E75" s="79">
        <f t="shared" si="1"/>
        <v>28.97777778</v>
      </c>
      <c r="F75" s="31">
        <v>1494.0</v>
      </c>
      <c r="G75" s="31">
        <v>54.0</v>
      </c>
      <c r="H75" s="31">
        <v>35.0</v>
      </c>
      <c r="I75" s="31">
        <v>183.0</v>
      </c>
      <c r="J75" s="31">
        <v>29.0</v>
      </c>
      <c r="K75" s="31">
        <f t="shared" si="2"/>
        <v>301</v>
      </c>
      <c r="L75" s="31">
        <v>63.0</v>
      </c>
      <c r="M75" s="31">
        <v>60.0</v>
      </c>
      <c r="N75">
        <f>9+176</f>
        <v>185</v>
      </c>
      <c r="O75" s="31">
        <v>48.0</v>
      </c>
      <c r="P75">
        <f t="shared" si="3"/>
        <v>356</v>
      </c>
      <c r="Q75" s="80">
        <f t="shared" si="4"/>
        <v>-55</v>
      </c>
      <c r="R75" s="83">
        <v>11.0</v>
      </c>
      <c r="S75" s="82">
        <f t="shared" si="5"/>
        <v>0.1279069767</v>
      </c>
      <c r="T75" s="83">
        <v>6.0</v>
      </c>
      <c r="U75" s="84">
        <v>3.0</v>
      </c>
      <c r="V75" s="85">
        <f t="shared" si="6"/>
        <v>-0.55</v>
      </c>
      <c r="W75" s="83">
        <v>86.0</v>
      </c>
      <c r="X75" s="86">
        <f t="shared" si="7"/>
        <v>6</v>
      </c>
      <c r="Y75" s="92">
        <v>41.0</v>
      </c>
      <c r="Z75" s="88">
        <f t="shared" si="8"/>
        <v>3.69</v>
      </c>
      <c r="AA75" s="89">
        <f t="shared" si="9"/>
        <v>0.1276595745</v>
      </c>
      <c r="AB75" s="82">
        <f t="shared" si="10"/>
        <v>0.2555665512</v>
      </c>
      <c r="AC75" s="83">
        <v>77.0</v>
      </c>
      <c r="AD75" s="79">
        <f t="shared" si="11"/>
        <v>10.01</v>
      </c>
      <c r="AE75" s="84">
        <f t="shared" si="12"/>
        <v>20</v>
      </c>
      <c r="AF75" s="90">
        <f t="shared" si="13"/>
        <v>0.6901840491</v>
      </c>
      <c r="AG75" s="79">
        <f t="shared" si="14"/>
        <v>19.45</v>
      </c>
      <c r="AH75" s="79">
        <f t="shared" si="15"/>
        <v>0.6712039877</v>
      </c>
    </row>
    <row r="76">
      <c r="A76" s="31" t="s">
        <v>156</v>
      </c>
      <c r="B76" s="31" t="s">
        <v>68</v>
      </c>
      <c r="C76" s="31" t="s">
        <v>91</v>
      </c>
      <c r="D76" s="31">
        <v>1712.0</v>
      </c>
      <c r="E76" s="79">
        <f t="shared" si="1"/>
        <v>19.02222222</v>
      </c>
      <c r="F76" s="31">
        <v>1026.0</v>
      </c>
      <c r="G76" s="31">
        <v>18.0</v>
      </c>
      <c r="H76" s="31">
        <v>15.0</v>
      </c>
      <c r="I76" s="31">
        <v>97.0</v>
      </c>
      <c r="J76" s="31">
        <v>2.0</v>
      </c>
      <c r="K76" s="31">
        <f t="shared" si="2"/>
        <v>132</v>
      </c>
      <c r="L76" s="31">
        <v>48.0</v>
      </c>
      <c r="M76" s="31">
        <v>38.0</v>
      </c>
      <c r="N76">
        <f>10+104</f>
        <v>114</v>
      </c>
      <c r="O76" s="31">
        <v>11.0</v>
      </c>
      <c r="P76">
        <f t="shared" si="3"/>
        <v>211</v>
      </c>
      <c r="Q76" s="80">
        <f t="shared" si="4"/>
        <v>-79</v>
      </c>
      <c r="R76" s="83">
        <v>7.0</v>
      </c>
      <c r="S76" s="82">
        <f t="shared" si="5"/>
        <v>0.1944444444</v>
      </c>
      <c r="T76" s="83">
        <v>1.0</v>
      </c>
      <c r="U76" s="84">
        <v>3.0</v>
      </c>
      <c r="V76" s="85">
        <f t="shared" si="6"/>
        <v>-0.79</v>
      </c>
      <c r="W76" s="91">
        <v>36.0</v>
      </c>
      <c r="X76" s="86">
        <f t="shared" si="7"/>
        <v>1</v>
      </c>
      <c r="Y76" s="83">
        <v>26.0</v>
      </c>
      <c r="Z76" s="88">
        <f t="shared" si="8"/>
        <v>2.34</v>
      </c>
      <c r="AA76" s="89">
        <f t="shared" si="9"/>
        <v>0.03703703704</v>
      </c>
      <c r="AB76" s="82">
        <f t="shared" si="10"/>
        <v>0.2314814815</v>
      </c>
      <c r="AC76" s="91">
        <v>47.0</v>
      </c>
      <c r="AD76" s="79">
        <f t="shared" si="11"/>
        <v>6.11</v>
      </c>
      <c r="AE76" s="84">
        <f t="shared" si="12"/>
        <v>11</v>
      </c>
      <c r="AF76" s="90">
        <f t="shared" si="13"/>
        <v>0.578271028</v>
      </c>
      <c r="AG76" s="79">
        <f t="shared" si="14"/>
        <v>10.21</v>
      </c>
      <c r="AH76" s="79">
        <f t="shared" si="15"/>
        <v>0.5367406542</v>
      </c>
    </row>
    <row r="77">
      <c r="A77" s="31" t="s">
        <v>157</v>
      </c>
      <c r="B77" s="31" t="s">
        <v>85</v>
      </c>
      <c r="C77" s="31" t="s">
        <v>98</v>
      </c>
      <c r="D77" s="31">
        <v>2335.0</v>
      </c>
      <c r="E77" s="79">
        <f t="shared" si="1"/>
        <v>25.94444444</v>
      </c>
      <c r="F77" s="31">
        <v>2259.0</v>
      </c>
      <c r="G77" s="31">
        <v>43.0</v>
      </c>
      <c r="H77" s="31">
        <v>25.0</v>
      </c>
      <c r="I77" s="31">
        <v>158.0</v>
      </c>
      <c r="J77" s="31">
        <v>28.0</v>
      </c>
      <c r="K77" s="31">
        <f t="shared" si="2"/>
        <v>254</v>
      </c>
      <c r="L77" s="31">
        <v>16.0</v>
      </c>
      <c r="M77" s="31">
        <v>46.0</v>
      </c>
      <c r="N77">
        <f>50+199</f>
        <v>249</v>
      </c>
      <c r="O77" s="31">
        <v>33.0</v>
      </c>
      <c r="P77">
        <f t="shared" si="3"/>
        <v>344</v>
      </c>
      <c r="Q77" s="80">
        <f t="shared" si="4"/>
        <v>-90</v>
      </c>
      <c r="R77" s="83">
        <v>6.0</v>
      </c>
      <c r="S77" s="82">
        <f t="shared" si="5"/>
        <v>0.07792207792</v>
      </c>
      <c r="T77" s="83">
        <v>5.0</v>
      </c>
      <c r="U77" s="84">
        <v>4.0</v>
      </c>
      <c r="V77" s="85">
        <f t="shared" si="6"/>
        <v>-0.9</v>
      </c>
      <c r="W77" s="91">
        <v>77.0</v>
      </c>
      <c r="X77" s="86">
        <f t="shared" si="7"/>
        <v>5</v>
      </c>
      <c r="Y77" s="83">
        <v>44.0</v>
      </c>
      <c r="Z77" s="88">
        <f t="shared" si="8"/>
        <v>3.96</v>
      </c>
      <c r="AA77" s="89">
        <f t="shared" si="9"/>
        <v>0.1020408163</v>
      </c>
      <c r="AB77" s="82">
        <f t="shared" si="10"/>
        <v>0.1799628942</v>
      </c>
      <c r="AC77" s="91">
        <v>58.0</v>
      </c>
      <c r="AD77" s="79">
        <f t="shared" si="11"/>
        <v>7.54</v>
      </c>
      <c r="AE77" s="84">
        <f t="shared" si="12"/>
        <v>15</v>
      </c>
      <c r="AF77" s="90">
        <f t="shared" si="13"/>
        <v>0.5781584582</v>
      </c>
      <c r="AG77" s="79">
        <f t="shared" si="14"/>
        <v>14.1</v>
      </c>
      <c r="AH77" s="79">
        <f t="shared" si="15"/>
        <v>0.5434689507</v>
      </c>
    </row>
    <row r="78">
      <c r="A78" s="31" t="s">
        <v>158</v>
      </c>
      <c r="B78" s="31" t="s">
        <v>85</v>
      </c>
      <c r="C78" s="31" t="s">
        <v>91</v>
      </c>
      <c r="D78" s="31">
        <v>1802.0</v>
      </c>
      <c r="E78" s="79">
        <f t="shared" si="1"/>
        <v>20.02222222</v>
      </c>
      <c r="F78" s="31">
        <v>1065.0</v>
      </c>
      <c r="G78" s="31">
        <v>36.0</v>
      </c>
      <c r="H78" s="31">
        <v>16.0</v>
      </c>
      <c r="I78" s="31">
        <v>122.0</v>
      </c>
      <c r="J78" s="31">
        <v>9.0</v>
      </c>
      <c r="K78" s="31">
        <f t="shared" si="2"/>
        <v>183</v>
      </c>
      <c r="L78" s="31">
        <v>17.0</v>
      </c>
      <c r="M78" s="31">
        <v>58.0</v>
      </c>
      <c r="N78">
        <f>21+167</f>
        <v>188</v>
      </c>
      <c r="O78" s="31">
        <v>14.0</v>
      </c>
      <c r="P78">
        <f t="shared" si="3"/>
        <v>277</v>
      </c>
      <c r="Q78" s="80">
        <f t="shared" si="4"/>
        <v>-94</v>
      </c>
      <c r="R78" s="83">
        <v>2.0</v>
      </c>
      <c r="S78" s="82">
        <f t="shared" si="5"/>
        <v>0.06896551724</v>
      </c>
      <c r="T78" s="83">
        <v>11.0</v>
      </c>
      <c r="U78" s="84">
        <v>6.0</v>
      </c>
      <c r="V78" s="85">
        <f t="shared" si="6"/>
        <v>-0.94</v>
      </c>
      <c r="W78" s="91">
        <v>29.0</v>
      </c>
      <c r="X78" s="86">
        <f t="shared" si="7"/>
        <v>11</v>
      </c>
      <c r="Y78" s="83">
        <v>67.0</v>
      </c>
      <c r="Z78" s="88">
        <f t="shared" si="8"/>
        <v>6.03</v>
      </c>
      <c r="AA78" s="89">
        <f t="shared" si="9"/>
        <v>0.141025641</v>
      </c>
      <c r="AB78" s="82">
        <f t="shared" si="10"/>
        <v>0.2099911583</v>
      </c>
      <c r="AC78" s="91">
        <v>31.0</v>
      </c>
      <c r="AD78" s="79">
        <f t="shared" si="11"/>
        <v>4.03</v>
      </c>
      <c r="AE78" s="84">
        <f t="shared" si="12"/>
        <v>19</v>
      </c>
      <c r="AF78" s="90">
        <f t="shared" si="13"/>
        <v>0.948945616</v>
      </c>
      <c r="AG78" s="79">
        <f t="shared" si="14"/>
        <v>18.06</v>
      </c>
      <c r="AH78" s="79">
        <f t="shared" si="15"/>
        <v>0.9019977802</v>
      </c>
    </row>
    <row r="79">
      <c r="A79" s="31" t="s">
        <v>159</v>
      </c>
      <c r="B79" s="31" t="s">
        <v>79</v>
      </c>
      <c r="C79" s="31" t="s">
        <v>86</v>
      </c>
      <c r="D79" s="31">
        <v>1775.0</v>
      </c>
      <c r="E79" s="79">
        <f t="shared" si="1"/>
        <v>19.72222222</v>
      </c>
      <c r="F79" s="31">
        <v>1161.0</v>
      </c>
      <c r="G79" s="31">
        <v>62.0</v>
      </c>
      <c r="H79" s="31">
        <v>13.0</v>
      </c>
      <c r="I79" s="31">
        <v>102.0</v>
      </c>
      <c r="J79" s="31">
        <v>12.0</v>
      </c>
      <c r="K79" s="31">
        <f t="shared" si="2"/>
        <v>189</v>
      </c>
      <c r="L79" s="31">
        <v>36.0</v>
      </c>
      <c r="M79" s="31">
        <v>29.0</v>
      </c>
      <c r="N79">
        <f>29+168</f>
        <v>197</v>
      </c>
      <c r="O79" s="31">
        <v>22.0</v>
      </c>
      <c r="P79">
        <f t="shared" si="3"/>
        <v>284</v>
      </c>
      <c r="Q79" s="80">
        <f t="shared" si="4"/>
        <v>-95</v>
      </c>
      <c r="R79" s="83">
        <v>3.0</v>
      </c>
      <c r="S79" s="82">
        <f t="shared" si="5"/>
        <v>0.05769230769</v>
      </c>
      <c r="T79" s="83">
        <v>3.0</v>
      </c>
      <c r="U79" s="84">
        <v>5.0</v>
      </c>
      <c r="V79" s="85">
        <f t="shared" si="6"/>
        <v>-0.95</v>
      </c>
      <c r="W79" s="91">
        <v>52.0</v>
      </c>
      <c r="X79" s="86">
        <f t="shared" si="7"/>
        <v>3</v>
      </c>
      <c r="Y79" s="83">
        <v>29.0</v>
      </c>
      <c r="Z79" s="88">
        <f t="shared" si="8"/>
        <v>2.61</v>
      </c>
      <c r="AA79" s="89">
        <f t="shared" si="9"/>
        <v>0.09375</v>
      </c>
      <c r="AB79" s="82">
        <f t="shared" si="10"/>
        <v>0.1514423077</v>
      </c>
      <c r="AC79" s="91">
        <v>26.0</v>
      </c>
      <c r="AD79" s="79">
        <f t="shared" si="11"/>
        <v>3.38</v>
      </c>
      <c r="AE79" s="84">
        <f t="shared" si="12"/>
        <v>11</v>
      </c>
      <c r="AF79" s="90">
        <f t="shared" si="13"/>
        <v>0.5577464789</v>
      </c>
      <c r="AG79" s="79">
        <f t="shared" si="14"/>
        <v>10.05</v>
      </c>
      <c r="AH79" s="79">
        <f t="shared" si="15"/>
        <v>0.5095774648</v>
      </c>
    </row>
    <row r="80">
      <c r="A80" s="31" t="s">
        <v>160</v>
      </c>
      <c r="B80" s="31" t="s">
        <v>104</v>
      </c>
      <c r="C80" s="31" t="s">
        <v>69</v>
      </c>
      <c r="D80" s="31">
        <v>2006.0</v>
      </c>
      <c r="E80" s="79">
        <f t="shared" si="1"/>
        <v>22.28888889</v>
      </c>
      <c r="F80" s="31">
        <v>1532.0</v>
      </c>
      <c r="G80" s="31">
        <v>27.0</v>
      </c>
      <c r="H80" s="31">
        <v>15.0</v>
      </c>
      <c r="I80" s="31">
        <v>169.0</v>
      </c>
      <c r="J80" s="31">
        <v>3.0</v>
      </c>
      <c r="K80" s="31">
        <f t="shared" si="2"/>
        <v>214</v>
      </c>
      <c r="L80" s="31">
        <v>29.0</v>
      </c>
      <c r="M80" s="31">
        <v>68.0</v>
      </c>
      <c r="N80">
        <f>28+171</f>
        <v>199</v>
      </c>
      <c r="O80" s="31">
        <v>14.0</v>
      </c>
      <c r="P80">
        <f t="shared" si="3"/>
        <v>310</v>
      </c>
      <c r="Q80" s="80">
        <f t="shared" si="4"/>
        <v>-96</v>
      </c>
      <c r="R80" s="83">
        <v>4.0</v>
      </c>
      <c r="S80" s="82">
        <f t="shared" si="5"/>
        <v>0.1538461538</v>
      </c>
      <c r="T80" s="83">
        <v>8.0</v>
      </c>
      <c r="U80" s="84">
        <v>1.0</v>
      </c>
      <c r="V80" s="85">
        <f t="shared" si="6"/>
        <v>-0.96</v>
      </c>
      <c r="W80" s="91">
        <v>26.0</v>
      </c>
      <c r="X80" s="86">
        <f t="shared" si="7"/>
        <v>8</v>
      </c>
      <c r="Y80" s="83">
        <v>49.0</v>
      </c>
      <c r="Z80" s="88">
        <f t="shared" si="8"/>
        <v>4.41</v>
      </c>
      <c r="AA80" s="89">
        <f t="shared" si="9"/>
        <v>0.1403508772</v>
      </c>
      <c r="AB80" s="82">
        <f t="shared" si="10"/>
        <v>0.294197031</v>
      </c>
      <c r="AC80" s="91">
        <v>34.0</v>
      </c>
      <c r="AD80" s="79">
        <f t="shared" si="11"/>
        <v>4.42</v>
      </c>
      <c r="AE80" s="84">
        <f t="shared" si="12"/>
        <v>13</v>
      </c>
      <c r="AF80" s="90">
        <f t="shared" si="13"/>
        <v>0.5832502493</v>
      </c>
      <c r="AG80" s="79">
        <f t="shared" si="14"/>
        <v>12.04</v>
      </c>
      <c r="AH80" s="79">
        <f t="shared" si="15"/>
        <v>0.5401794616</v>
      </c>
    </row>
    <row r="81">
      <c r="A81" s="31" t="s">
        <v>161</v>
      </c>
      <c r="B81" s="31" t="s">
        <v>58</v>
      </c>
      <c r="C81" s="31" t="s">
        <v>77</v>
      </c>
      <c r="D81" s="31">
        <v>2482.0</v>
      </c>
      <c r="E81" s="79">
        <f t="shared" si="1"/>
        <v>27.57777778</v>
      </c>
      <c r="F81" s="31">
        <v>1955.0</v>
      </c>
      <c r="G81" s="31">
        <v>71.0</v>
      </c>
      <c r="H81" s="31">
        <v>60.0</v>
      </c>
      <c r="I81" s="31">
        <v>175.0</v>
      </c>
      <c r="J81" s="31">
        <v>37.0</v>
      </c>
      <c r="K81" s="31">
        <f t="shared" si="2"/>
        <v>343</v>
      </c>
      <c r="L81" s="31">
        <v>62.0</v>
      </c>
      <c r="M81" s="31">
        <v>84.0</v>
      </c>
      <c r="N81">
        <f>47+215</f>
        <v>262</v>
      </c>
      <c r="O81" s="31">
        <v>44.0</v>
      </c>
      <c r="P81">
        <f t="shared" si="3"/>
        <v>452</v>
      </c>
      <c r="Q81" s="80">
        <f t="shared" si="4"/>
        <v>-109</v>
      </c>
      <c r="R81" s="83">
        <v>10.0</v>
      </c>
      <c r="S81" s="82">
        <f t="shared" si="5"/>
        <v>0.1351351351</v>
      </c>
      <c r="T81" s="83">
        <v>9.0</v>
      </c>
      <c r="U81" s="84">
        <v>3.0</v>
      </c>
      <c r="V81" s="85">
        <f t="shared" si="6"/>
        <v>-1.09</v>
      </c>
      <c r="W81" s="83">
        <v>74.0</v>
      </c>
      <c r="X81" s="86">
        <f t="shared" si="7"/>
        <v>9</v>
      </c>
      <c r="Y81" s="92">
        <v>55.0</v>
      </c>
      <c r="Z81" s="88">
        <f t="shared" si="8"/>
        <v>4.95</v>
      </c>
      <c r="AA81" s="89">
        <f t="shared" si="9"/>
        <v>0.140625</v>
      </c>
      <c r="AB81" s="82">
        <f t="shared" si="10"/>
        <v>0.2757601351</v>
      </c>
      <c r="AC81" s="83">
        <v>30.0</v>
      </c>
      <c r="AD81" s="79">
        <f t="shared" si="11"/>
        <v>3.9</v>
      </c>
      <c r="AE81" s="84">
        <f t="shared" si="12"/>
        <v>22</v>
      </c>
      <c r="AF81" s="90">
        <f t="shared" si="13"/>
        <v>0.797743755</v>
      </c>
      <c r="AG81" s="79">
        <f t="shared" si="14"/>
        <v>20.91</v>
      </c>
      <c r="AH81" s="79">
        <f t="shared" si="15"/>
        <v>0.7582191781</v>
      </c>
    </row>
    <row r="82">
      <c r="A82" s="31" t="s">
        <v>162</v>
      </c>
      <c r="B82" s="31" t="s">
        <v>104</v>
      </c>
      <c r="C82" s="31" t="s">
        <v>77</v>
      </c>
      <c r="D82" s="31">
        <v>2953.0</v>
      </c>
      <c r="E82" s="79">
        <f t="shared" si="1"/>
        <v>32.81111111</v>
      </c>
      <c r="F82" s="31">
        <v>1686.0</v>
      </c>
      <c r="G82" s="31">
        <v>76.0</v>
      </c>
      <c r="H82" s="31">
        <v>42.0</v>
      </c>
      <c r="I82" s="31">
        <v>188.0</v>
      </c>
      <c r="J82" s="31">
        <v>32.0</v>
      </c>
      <c r="K82" s="31">
        <f t="shared" si="2"/>
        <v>338</v>
      </c>
      <c r="L82" s="31">
        <v>17.0</v>
      </c>
      <c r="M82" s="31">
        <v>35.0</v>
      </c>
      <c r="N82">
        <f>103+220</f>
        <v>323</v>
      </c>
      <c r="O82" s="31">
        <v>77.0</v>
      </c>
      <c r="P82">
        <f t="shared" si="3"/>
        <v>452</v>
      </c>
      <c r="Q82" s="80">
        <f t="shared" si="4"/>
        <v>-114</v>
      </c>
      <c r="R82" s="81">
        <v>3.0</v>
      </c>
      <c r="S82" s="82">
        <f t="shared" si="5"/>
        <v>0.08571428571</v>
      </c>
      <c r="T82" s="83">
        <v>4.0</v>
      </c>
      <c r="U82" s="84">
        <v>4.0</v>
      </c>
      <c r="V82" s="85">
        <f t="shared" si="6"/>
        <v>-1.14</v>
      </c>
      <c r="W82" s="81">
        <v>35.0</v>
      </c>
      <c r="X82" s="86">
        <f t="shared" si="7"/>
        <v>4</v>
      </c>
      <c r="Y82" s="87">
        <v>26.0</v>
      </c>
      <c r="Z82" s="88">
        <f t="shared" si="8"/>
        <v>2.34</v>
      </c>
      <c r="AA82" s="89">
        <f t="shared" si="9"/>
        <v>0.1333333333</v>
      </c>
      <c r="AB82" s="82">
        <f t="shared" si="10"/>
        <v>0.219047619</v>
      </c>
      <c r="AC82" s="81">
        <v>28.0</v>
      </c>
      <c r="AD82" s="79">
        <f t="shared" si="11"/>
        <v>3.64</v>
      </c>
      <c r="AE82" s="84">
        <f t="shared" si="12"/>
        <v>11</v>
      </c>
      <c r="AF82" s="90">
        <f t="shared" si="13"/>
        <v>0.3352522858</v>
      </c>
      <c r="AG82" s="79">
        <f t="shared" si="14"/>
        <v>9.86</v>
      </c>
      <c r="AH82" s="79">
        <f t="shared" si="15"/>
        <v>0.300507958</v>
      </c>
    </row>
    <row r="83">
      <c r="A83" s="31" t="s">
        <v>163</v>
      </c>
      <c r="B83" s="31" t="s">
        <v>164</v>
      </c>
      <c r="C83" s="31" t="s">
        <v>91</v>
      </c>
      <c r="D83" s="31">
        <v>2899.0</v>
      </c>
      <c r="E83" s="79">
        <f t="shared" si="1"/>
        <v>32.21111111</v>
      </c>
      <c r="F83" s="31">
        <v>2814.0</v>
      </c>
      <c r="G83" s="31">
        <v>103.0</v>
      </c>
      <c r="H83" s="31">
        <v>23.0</v>
      </c>
      <c r="I83" s="31">
        <v>253.0</v>
      </c>
      <c r="J83" s="31">
        <v>22.0</v>
      </c>
      <c r="K83" s="31">
        <f t="shared" si="2"/>
        <v>401</v>
      </c>
      <c r="L83" s="31">
        <v>19.0</v>
      </c>
      <c r="M83" s="31">
        <v>30.0</v>
      </c>
      <c r="N83" s="31">
        <f>116+338</f>
        <v>454</v>
      </c>
      <c r="O83" s="31">
        <v>19.0</v>
      </c>
      <c r="P83">
        <f t="shared" si="3"/>
        <v>522</v>
      </c>
      <c r="Q83" s="80">
        <f t="shared" si="4"/>
        <v>-121</v>
      </c>
      <c r="R83" s="83">
        <v>5.0</v>
      </c>
      <c r="S83" s="82">
        <f t="shared" si="5"/>
        <v>0.1111111111</v>
      </c>
      <c r="T83" s="83">
        <v>7.0</v>
      </c>
      <c r="U83" s="84">
        <v>7.0</v>
      </c>
      <c r="V83" s="85">
        <f t="shared" si="6"/>
        <v>-1.21</v>
      </c>
      <c r="W83" s="83">
        <v>45.0</v>
      </c>
      <c r="X83" s="86">
        <f t="shared" si="7"/>
        <v>7</v>
      </c>
      <c r="Y83" s="92">
        <v>67.0</v>
      </c>
      <c r="Z83" s="88">
        <f t="shared" si="8"/>
        <v>6.03</v>
      </c>
      <c r="AA83" s="89">
        <f t="shared" si="9"/>
        <v>0.09459459459</v>
      </c>
      <c r="AB83" s="82">
        <f t="shared" si="10"/>
        <v>0.2057057057</v>
      </c>
      <c r="AC83" s="83">
        <v>23.0</v>
      </c>
      <c r="AD83" s="79">
        <f t="shared" si="11"/>
        <v>2.99</v>
      </c>
      <c r="AE83" s="84">
        <f t="shared" si="12"/>
        <v>19</v>
      </c>
      <c r="AF83" s="90">
        <f t="shared" si="13"/>
        <v>0.5898585719</v>
      </c>
      <c r="AG83" s="79">
        <f t="shared" si="14"/>
        <v>17.79</v>
      </c>
      <c r="AH83" s="79">
        <f t="shared" si="15"/>
        <v>0.5522938944</v>
      </c>
    </row>
    <row r="84">
      <c r="A84" s="31" t="s">
        <v>165</v>
      </c>
      <c r="B84" s="31" t="s">
        <v>100</v>
      </c>
      <c r="C84" s="31" t="s">
        <v>77</v>
      </c>
      <c r="D84" s="31">
        <v>2416.0</v>
      </c>
      <c r="E84" s="79">
        <f t="shared" si="1"/>
        <v>26.84444444</v>
      </c>
      <c r="F84" s="31">
        <v>1546.0</v>
      </c>
      <c r="G84" s="31">
        <v>69.0</v>
      </c>
      <c r="H84" s="31">
        <v>37.0</v>
      </c>
      <c r="I84" s="31">
        <v>163.0</v>
      </c>
      <c r="J84" s="31">
        <v>32.0</v>
      </c>
      <c r="K84" s="31">
        <f t="shared" si="2"/>
        <v>301</v>
      </c>
      <c r="L84" s="31">
        <v>14.0</v>
      </c>
      <c r="M84" s="31">
        <v>61.0</v>
      </c>
      <c r="N84">
        <f>80+230</f>
        <v>310</v>
      </c>
      <c r="O84" s="31">
        <v>42.0</v>
      </c>
      <c r="P84">
        <f t="shared" si="3"/>
        <v>427</v>
      </c>
      <c r="Q84" s="80">
        <f t="shared" si="4"/>
        <v>-126</v>
      </c>
      <c r="R84" s="83">
        <v>5.0</v>
      </c>
      <c r="S84" s="82">
        <f t="shared" si="5"/>
        <v>0.1282051282</v>
      </c>
      <c r="T84" s="83">
        <v>11.0</v>
      </c>
      <c r="U84" s="84">
        <v>2.0</v>
      </c>
      <c r="V84" s="85">
        <f t="shared" si="6"/>
        <v>-1.26</v>
      </c>
      <c r="W84" s="91">
        <v>39.0</v>
      </c>
      <c r="X84" s="86">
        <f t="shared" si="7"/>
        <v>11</v>
      </c>
      <c r="Y84" s="83">
        <v>61.0</v>
      </c>
      <c r="Z84" s="88">
        <f t="shared" si="8"/>
        <v>5.49</v>
      </c>
      <c r="AA84" s="89">
        <f t="shared" si="9"/>
        <v>0.1527777778</v>
      </c>
      <c r="AB84" s="82">
        <f t="shared" si="10"/>
        <v>0.280982906</v>
      </c>
      <c r="AC84" s="91">
        <v>19.0</v>
      </c>
      <c r="AD84" s="79">
        <f t="shared" si="11"/>
        <v>2.47</v>
      </c>
      <c r="AE84" s="84">
        <f t="shared" si="12"/>
        <v>18</v>
      </c>
      <c r="AF84" s="90">
        <f t="shared" si="13"/>
        <v>0.6705298013</v>
      </c>
      <c r="AG84" s="79">
        <f t="shared" si="14"/>
        <v>16.74</v>
      </c>
      <c r="AH84" s="79">
        <f t="shared" si="15"/>
        <v>0.6235927152</v>
      </c>
    </row>
    <row r="85">
      <c r="A85" s="31" t="s">
        <v>166</v>
      </c>
      <c r="B85" s="31" t="s">
        <v>88</v>
      </c>
      <c r="C85" s="31" t="s">
        <v>167</v>
      </c>
      <c r="D85" s="31">
        <v>2917.0</v>
      </c>
      <c r="E85" s="79">
        <f t="shared" si="1"/>
        <v>32.41111111</v>
      </c>
      <c r="F85" s="31">
        <v>2351.0</v>
      </c>
      <c r="G85" s="31">
        <v>42.0</v>
      </c>
      <c r="H85" s="31">
        <v>27.0</v>
      </c>
      <c r="I85" s="31">
        <v>132.0</v>
      </c>
      <c r="J85" s="31">
        <v>5.0</v>
      </c>
      <c r="K85" s="31">
        <f t="shared" si="2"/>
        <v>206</v>
      </c>
      <c r="L85" s="31">
        <v>19.0</v>
      </c>
      <c r="M85" s="31">
        <v>47.0</v>
      </c>
      <c r="N85">
        <f>34+218</f>
        <v>252</v>
      </c>
      <c r="O85" s="31">
        <v>27.0</v>
      </c>
      <c r="P85">
        <f t="shared" si="3"/>
        <v>345</v>
      </c>
      <c r="Q85" s="80">
        <f t="shared" si="4"/>
        <v>-139</v>
      </c>
      <c r="R85" s="81">
        <v>11.0</v>
      </c>
      <c r="S85" s="82">
        <f t="shared" si="5"/>
        <v>0.125</v>
      </c>
      <c r="T85" s="83">
        <v>3.0</v>
      </c>
      <c r="U85" s="84">
        <v>5.0</v>
      </c>
      <c r="V85" s="85">
        <f t="shared" si="6"/>
        <v>-1.39</v>
      </c>
      <c r="W85" s="81">
        <v>88.0</v>
      </c>
      <c r="X85" s="86">
        <f t="shared" si="7"/>
        <v>3</v>
      </c>
      <c r="Y85" s="87">
        <v>57.0</v>
      </c>
      <c r="Z85" s="88">
        <f t="shared" si="8"/>
        <v>5.13</v>
      </c>
      <c r="AA85" s="89">
        <f t="shared" si="9"/>
        <v>0.05</v>
      </c>
      <c r="AB85" s="82">
        <f t="shared" si="10"/>
        <v>0.175</v>
      </c>
      <c r="AC85" s="81">
        <v>24.0</v>
      </c>
      <c r="AD85" s="79">
        <f t="shared" si="11"/>
        <v>3.12</v>
      </c>
      <c r="AE85" s="84">
        <f t="shared" si="12"/>
        <v>19</v>
      </c>
      <c r="AF85" s="90">
        <f t="shared" si="13"/>
        <v>0.5862187179</v>
      </c>
      <c r="AG85" s="79">
        <f t="shared" si="14"/>
        <v>17.61</v>
      </c>
      <c r="AH85" s="79">
        <f t="shared" si="15"/>
        <v>0.5433321906</v>
      </c>
    </row>
    <row r="86">
      <c r="A86" s="31" t="s">
        <v>168</v>
      </c>
      <c r="B86" s="31" t="s">
        <v>108</v>
      </c>
      <c r="C86" s="31" t="s">
        <v>77</v>
      </c>
      <c r="D86" s="31">
        <v>3087.0</v>
      </c>
      <c r="E86" s="79">
        <f t="shared" si="1"/>
        <v>34.3</v>
      </c>
      <c r="F86" s="31">
        <v>3040.0</v>
      </c>
      <c r="G86" s="31">
        <v>34.0</v>
      </c>
      <c r="H86" s="31">
        <v>17.0</v>
      </c>
      <c r="I86" s="31">
        <v>186.0</v>
      </c>
      <c r="J86" s="31">
        <v>29.0</v>
      </c>
      <c r="K86" s="31">
        <f t="shared" si="2"/>
        <v>266</v>
      </c>
      <c r="L86" s="31">
        <v>67.0</v>
      </c>
      <c r="M86" s="31">
        <v>76.0</v>
      </c>
      <c r="N86">
        <f>49+204</f>
        <v>253</v>
      </c>
      <c r="O86" s="31">
        <v>31.0</v>
      </c>
      <c r="P86">
        <f t="shared" si="3"/>
        <v>427</v>
      </c>
      <c r="Q86" s="80">
        <f t="shared" si="4"/>
        <v>-161</v>
      </c>
      <c r="R86" s="81">
        <v>8.0</v>
      </c>
      <c r="S86" s="82">
        <f t="shared" si="5"/>
        <v>0.08421052632</v>
      </c>
      <c r="T86" s="83">
        <v>8.0</v>
      </c>
      <c r="U86" s="84">
        <v>4.0</v>
      </c>
      <c r="V86" s="85">
        <f t="shared" si="6"/>
        <v>-1.61</v>
      </c>
      <c r="W86" s="81">
        <v>95.0</v>
      </c>
      <c r="X86" s="86">
        <f t="shared" si="7"/>
        <v>8</v>
      </c>
      <c r="Y86" s="87">
        <v>56.0</v>
      </c>
      <c r="Z86" s="88">
        <f t="shared" si="8"/>
        <v>5.04</v>
      </c>
      <c r="AA86" s="89">
        <f t="shared" si="9"/>
        <v>0.125</v>
      </c>
      <c r="AB86" s="82">
        <f t="shared" si="10"/>
        <v>0.2092105263</v>
      </c>
      <c r="AC86" s="81">
        <v>116.0</v>
      </c>
      <c r="AD86" s="79">
        <f t="shared" si="11"/>
        <v>15.08</v>
      </c>
      <c r="AE86" s="84">
        <f t="shared" si="12"/>
        <v>20</v>
      </c>
      <c r="AF86" s="90">
        <f t="shared" si="13"/>
        <v>0.583090379</v>
      </c>
      <c r="AG86" s="79">
        <f t="shared" si="14"/>
        <v>18.39</v>
      </c>
      <c r="AH86" s="79">
        <f t="shared" si="15"/>
        <v>0.5361516035</v>
      </c>
    </row>
    <row r="87">
      <c r="A87" s="31" t="s">
        <v>169</v>
      </c>
      <c r="B87" s="31" t="s">
        <v>58</v>
      </c>
      <c r="C87" s="31" t="s">
        <v>170</v>
      </c>
      <c r="D87" s="31">
        <v>2942.0</v>
      </c>
      <c r="E87" s="79">
        <f t="shared" si="1"/>
        <v>32.68888889</v>
      </c>
      <c r="F87" s="31">
        <v>1317.0</v>
      </c>
      <c r="G87" s="31">
        <v>47.0</v>
      </c>
      <c r="H87" s="31">
        <v>35.0</v>
      </c>
      <c r="I87" s="31">
        <v>191.0</v>
      </c>
      <c r="J87" s="31">
        <v>17.0</v>
      </c>
      <c r="K87" s="31">
        <f t="shared" si="2"/>
        <v>290</v>
      </c>
      <c r="L87" s="31">
        <v>31.0</v>
      </c>
      <c r="M87" s="31">
        <v>64.0</v>
      </c>
      <c r="N87">
        <f>52+294</f>
        <v>346</v>
      </c>
      <c r="O87" s="31">
        <v>31.0</v>
      </c>
      <c r="P87">
        <f t="shared" si="3"/>
        <v>472</v>
      </c>
      <c r="Q87" s="80">
        <f t="shared" si="4"/>
        <v>-182</v>
      </c>
      <c r="R87" s="81">
        <v>6.0</v>
      </c>
      <c r="S87" s="82">
        <f t="shared" si="5"/>
        <v>0.06</v>
      </c>
      <c r="T87" s="83">
        <v>13.0</v>
      </c>
      <c r="U87" s="84">
        <v>4.0</v>
      </c>
      <c r="V87" s="85">
        <f t="shared" si="6"/>
        <v>-1.82</v>
      </c>
      <c r="W87" s="81">
        <v>100.0</v>
      </c>
      <c r="X87" s="86">
        <f t="shared" si="7"/>
        <v>13</v>
      </c>
      <c r="Y87" s="87">
        <v>115.0</v>
      </c>
      <c r="Z87" s="88">
        <f t="shared" si="8"/>
        <v>10.35</v>
      </c>
      <c r="AA87" s="89">
        <f t="shared" si="9"/>
        <v>0.1015625</v>
      </c>
      <c r="AB87" s="82">
        <f t="shared" si="10"/>
        <v>0.1615625</v>
      </c>
      <c r="AC87" s="81">
        <v>35.0</v>
      </c>
      <c r="AD87" s="79">
        <f t="shared" si="11"/>
        <v>4.55</v>
      </c>
      <c r="AE87" s="84">
        <f t="shared" si="12"/>
        <v>23</v>
      </c>
      <c r="AF87" s="90">
        <f t="shared" si="13"/>
        <v>0.7036029912</v>
      </c>
      <c r="AG87" s="79">
        <f t="shared" si="14"/>
        <v>21.18</v>
      </c>
      <c r="AH87" s="79">
        <f t="shared" si="15"/>
        <v>0.6479265806</v>
      </c>
    </row>
    <row r="88">
      <c r="A88" s="31" t="s">
        <v>171</v>
      </c>
      <c r="B88" s="31" t="s">
        <v>56</v>
      </c>
      <c r="C88" s="31" t="s">
        <v>133</v>
      </c>
      <c r="D88" s="31">
        <v>3049.0</v>
      </c>
      <c r="E88" s="79">
        <f t="shared" si="1"/>
        <v>33.87777778</v>
      </c>
      <c r="F88" s="31">
        <v>3049.0</v>
      </c>
      <c r="G88" s="31">
        <v>35.0</v>
      </c>
      <c r="H88" s="31">
        <v>22.0</v>
      </c>
      <c r="I88" s="31">
        <v>147.0</v>
      </c>
      <c r="J88" s="31">
        <v>3.0</v>
      </c>
      <c r="K88" s="31">
        <f t="shared" si="2"/>
        <v>207</v>
      </c>
      <c r="L88" s="31">
        <v>35.0</v>
      </c>
      <c r="M88" s="31">
        <v>60.0</v>
      </c>
      <c r="N88">
        <f>30+282</f>
        <v>312</v>
      </c>
      <c r="O88" s="31">
        <v>15.0</v>
      </c>
      <c r="P88">
        <f t="shared" si="3"/>
        <v>422</v>
      </c>
      <c r="Q88" s="80">
        <f t="shared" si="4"/>
        <v>-215</v>
      </c>
      <c r="R88" s="81">
        <v>6.0</v>
      </c>
      <c r="S88" s="82">
        <f t="shared" si="5"/>
        <v>0.125</v>
      </c>
      <c r="T88" s="83">
        <v>19.0</v>
      </c>
      <c r="U88" s="84">
        <v>4.0</v>
      </c>
      <c r="V88" s="85">
        <f t="shared" si="6"/>
        <v>-2.15</v>
      </c>
      <c r="W88" s="81">
        <v>48.0</v>
      </c>
      <c r="X88" s="86">
        <f t="shared" si="7"/>
        <v>19</v>
      </c>
      <c r="Y88" s="87">
        <v>146.0</v>
      </c>
      <c r="Z88" s="88">
        <f t="shared" si="8"/>
        <v>13.14</v>
      </c>
      <c r="AA88" s="89">
        <f t="shared" si="9"/>
        <v>0.1151515152</v>
      </c>
      <c r="AB88" s="82">
        <f t="shared" si="10"/>
        <v>0.2401515152</v>
      </c>
      <c r="AC88" s="81">
        <v>46.0</v>
      </c>
      <c r="AD88" s="79">
        <f t="shared" si="11"/>
        <v>5.98</v>
      </c>
      <c r="AE88" s="84">
        <f t="shared" si="12"/>
        <v>29</v>
      </c>
      <c r="AF88" s="90">
        <f t="shared" si="13"/>
        <v>0.8560183667</v>
      </c>
      <c r="AG88" s="79">
        <f t="shared" si="14"/>
        <v>26.85</v>
      </c>
      <c r="AH88" s="79">
        <f t="shared" si="15"/>
        <v>0.792554936</v>
      </c>
    </row>
    <row r="89">
      <c r="R89" s="94"/>
      <c r="V89" s="95"/>
      <c r="W89" s="96"/>
      <c r="X89" s="55"/>
      <c r="Z89" s="96"/>
      <c r="AA89" s="96"/>
      <c r="AB89" s="96"/>
      <c r="AC89" s="96"/>
      <c r="AD89" s="97"/>
      <c r="AF89" s="98"/>
      <c r="AH89" s="55"/>
    </row>
    <row r="90">
      <c r="R90" s="94"/>
      <c r="V90" s="95"/>
      <c r="W90" s="96"/>
      <c r="X90" s="55"/>
      <c r="Z90" s="96"/>
      <c r="AA90" s="96"/>
      <c r="AB90" s="96"/>
      <c r="AC90" s="96"/>
      <c r="AD90" s="97"/>
      <c r="AF90" s="98"/>
      <c r="AH90" s="55"/>
    </row>
    <row r="91">
      <c r="R91" s="94"/>
      <c r="V91" s="95"/>
      <c r="W91" s="96"/>
      <c r="X91" s="55"/>
      <c r="Z91" s="96"/>
      <c r="AA91" s="96"/>
      <c r="AB91" s="96"/>
      <c r="AC91" s="96"/>
      <c r="AD91" s="97"/>
      <c r="AF91" s="98">
        <f>MEDIAN(AF15:AF88)</f>
        <v>0.257702302</v>
      </c>
      <c r="AH91" s="55"/>
    </row>
    <row r="92">
      <c r="R92" s="94"/>
      <c r="V92" s="95"/>
      <c r="W92" s="96"/>
      <c r="X92" s="55"/>
      <c r="Z92" s="96"/>
      <c r="AA92" s="96"/>
      <c r="AB92" s="96"/>
      <c r="AC92" s="96"/>
      <c r="AD92" s="97"/>
      <c r="AF92" s="98"/>
      <c r="AH92" s="55"/>
    </row>
    <row r="93">
      <c r="R93" s="94"/>
      <c r="V93" s="95"/>
      <c r="W93" s="96"/>
      <c r="X93" s="55"/>
      <c r="Z93" s="96"/>
      <c r="AA93" s="96"/>
      <c r="AB93" s="96"/>
      <c r="AC93" s="96"/>
      <c r="AD93" s="97"/>
      <c r="AF93" s="98"/>
      <c r="AH93" s="55"/>
    </row>
    <row r="94">
      <c r="R94" s="94"/>
      <c r="V94" s="95"/>
      <c r="W94" s="96"/>
      <c r="X94" s="55"/>
      <c r="Z94" s="96"/>
      <c r="AA94" s="96"/>
      <c r="AB94" s="96"/>
      <c r="AC94" s="96"/>
      <c r="AD94" s="97"/>
      <c r="AF94" s="98"/>
      <c r="AH94" s="55"/>
    </row>
    <row r="95">
      <c r="R95" s="94"/>
      <c r="V95" s="95"/>
      <c r="W95" s="96"/>
      <c r="X95" s="55"/>
      <c r="Z95" s="96"/>
      <c r="AA95" s="96"/>
      <c r="AB95" s="96"/>
      <c r="AC95" s="96"/>
      <c r="AD95" s="97"/>
      <c r="AF95" s="98"/>
      <c r="AH95" s="55"/>
    </row>
    <row r="96">
      <c r="R96" s="94"/>
      <c r="V96" s="95"/>
      <c r="W96" s="96"/>
      <c r="X96" s="55"/>
      <c r="Z96" s="96"/>
      <c r="AA96" s="96"/>
      <c r="AB96" s="96"/>
      <c r="AC96" s="96"/>
      <c r="AD96" s="97"/>
      <c r="AF96" s="98"/>
      <c r="AH96" s="55"/>
    </row>
    <row r="97">
      <c r="R97" s="94"/>
      <c r="V97" s="95"/>
      <c r="W97" s="96"/>
      <c r="X97" s="55"/>
      <c r="Z97" s="96"/>
      <c r="AA97" s="96"/>
      <c r="AB97" s="96"/>
      <c r="AC97" s="96"/>
      <c r="AD97" s="97"/>
      <c r="AF97" s="98"/>
      <c r="AH97" s="55"/>
    </row>
    <row r="98">
      <c r="R98" s="94"/>
      <c r="V98" s="95"/>
      <c r="W98" s="96"/>
      <c r="X98" s="55"/>
      <c r="Z98" s="96"/>
      <c r="AA98" s="96"/>
      <c r="AB98" s="96"/>
      <c r="AC98" s="96"/>
      <c r="AD98" s="97"/>
      <c r="AF98" s="98"/>
      <c r="AH98" s="55"/>
    </row>
    <row r="99">
      <c r="R99" s="94"/>
      <c r="V99" s="95"/>
      <c r="W99" s="96"/>
      <c r="X99" s="55"/>
      <c r="Z99" s="96"/>
      <c r="AA99" s="96"/>
      <c r="AB99" s="96"/>
      <c r="AC99" s="96"/>
      <c r="AD99" s="97"/>
      <c r="AF99" s="98"/>
      <c r="AH99" s="55"/>
    </row>
    <row r="100">
      <c r="R100" s="94"/>
      <c r="V100" s="95"/>
      <c r="W100" s="96"/>
      <c r="X100" s="55"/>
      <c r="Z100" s="96"/>
      <c r="AA100" s="96"/>
      <c r="AB100" s="96"/>
      <c r="AC100" s="96"/>
      <c r="AD100" s="97"/>
      <c r="AF100" s="98"/>
      <c r="AH100" s="55"/>
    </row>
    <row r="101">
      <c r="R101" s="94"/>
      <c r="V101" s="95"/>
      <c r="W101" s="96"/>
      <c r="X101" s="55"/>
      <c r="Z101" s="96"/>
      <c r="AA101" s="96"/>
      <c r="AB101" s="96"/>
      <c r="AC101" s="96"/>
      <c r="AD101" s="97"/>
      <c r="AF101" s="98"/>
      <c r="AH101" s="55"/>
    </row>
    <row r="102">
      <c r="R102" s="94"/>
      <c r="V102" s="95"/>
      <c r="W102" s="96"/>
      <c r="X102" s="55"/>
      <c r="Z102" s="96"/>
      <c r="AA102" s="96"/>
      <c r="AB102" s="96"/>
      <c r="AC102" s="96"/>
      <c r="AD102" s="97"/>
      <c r="AF102" s="98"/>
      <c r="AH102" s="55"/>
    </row>
    <row r="103">
      <c r="R103" s="94"/>
      <c r="V103" s="95"/>
      <c r="W103" s="96"/>
      <c r="X103" s="55"/>
      <c r="Z103" s="96"/>
      <c r="AA103" s="96"/>
      <c r="AB103" s="96"/>
      <c r="AC103" s="96"/>
      <c r="AD103" s="97"/>
      <c r="AF103" s="98"/>
      <c r="AH103" s="55"/>
    </row>
    <row r="104">
      <c r="R104" s="94"/>
      <c r="V104" s="95"/>
      <c r="W104" s="96"/>
      <c r="X104" s="55"/>
      <c r="Z104" s="96"/>
      <c r="AA104" s="96"/>
      <c r="AB104" s="96"/>
      <c r="AC104" s="96"/>
      <c r="AD104" s="97"/>
      <c r="AF104" s="98"/>
      <c r="AH104" s="55"/>
    </row>
    <row r="105">
      <c r="R105" s="94"/>
      <c r="V105" s="95"/>
      <c r="W105" s="96"/>
      <c r="X105" s="55"/>
      <c r="Z105" s="96"/>
      <c r="AA105" s="96"/>
      <c r="AB105" s="96"/>
      <c r="AC105" s="96"/>
      <c r="AD105" s="97"/>
      <c r="AF105" s="98"/>
      <c r="AH105" s="55"/>
    </row>
    <row r="106">
      <c r="R106" s="94"/>
      <c r="V106" s="95"/>
      <c r="W106" s="96"/>
      <c r="X106" s="55"/>
      <c r="Z106" s="96"/>
      <c r="AA106" s="96"/>
      <c r="AB106" s="96"/>
      <c r="AC106" s="96"/>
      <c r="AD106" s="97"/>
      <c r="AF106" s="98"/>
      <c r="AH106" s="55"/>
    </row>
    <row r="107">
      <c r="R107" s="94"/>
      <c r="V107" s="95"/>
      <c r="W107" s="96"/>
      <c r="X107" s="55"/>
      <c r="Z107" s="96"/>
      <c r="AA107" s="96"/>
      <c r="AB107" s="96"/>
      <c r="AC107" s="96"/>
      <c r="AD107" s="97"/>
      <c r="AF107" s="98"/>
      <c r="AH107" s="55"/>
    </row>
    <row r="108">
      <c r="R108" s="94"/>
      <c r="V108" s="95"/>
      <c r="W108" s="96"/>
      <c r="X108" s="55"/>
      <c r="Z108" s="96"/>
      <c r="AA108" s="96"/>
      <c r="AB108" s="96"/>
      <c r="AC108" s="96"/>
      <c r="AD108" s="97"/>
      <c r="AF108" s="98"/>
      <c r="AH108" s="55"/>
    </row>
    <row r="109">
      <c r="R109" s="94"/>
      <c r="V109" s="95"/>
      <c r="W109" s="96"/>
      <c r="X109" s="55"/>
      <c r="Z109" s="96"/>
      <c r="AA109" s="96"/>
      <c r="AB109" s="96"/>
      <c r="AC109" s="96"/>
      <c r="AD109" s="97"/>
      <c r="AF109" s="98"/>
      <c r="AH109" s="55"/>
    </row>
    <row r="110">
      <c r="R110" s="94"/>
      <c r="V110" s="95"/>
      <c r="W110" s="96"/>
      <c r="X110" s="55"/>
      <c r="Z110" s="96"/>
      <c r="AA110" s="96"/>
      <c r="AB110" s="96"/>
      <c r="AC110" s="96"/>
      <c r="AD110" s="97"/>
      <c r="AF110" s="98"/>
      <c r="AH110" s="55"/>
    </row>
    <row r="111">
      <c r="R111" s="94"/>
      <c r="V111" s="95"/>
      <c r="W111" s="96"/>
      <c r="X111" s="55"/>
      <c r="Z111" s="96"/>
      <c r="AA111" s="96"/>
      <c r="AB111" s="96"/>
      <c r="AC111" s="96"/>
      <c r="AD111" s="97"/>
      <c r="AF111" s="98"/>
      <c r="AH111" s="55"/>
    </row>
    <row r="112">
      <c r="R112" s="94"/>
      <c r="V112" s="95"/>
      <c r="W112" s="96"/>
      <c r="X112" s="55"/>
      <c r="Z112" s="96"/>
      <c r="AA112" s="96"/>
      <c r="AB112" s="96"/>
      <c r="AC112" s="96"/>
      <c r="AD112" s="97"/>
      <c r="AF112" s="98"/>
      <c r="AH112" s="55"/>
    </row>
    <row r="113">
      <c r="R113" s="94"/>
      <c r="V113" s="95"/>
      <c r="W113" s="96"/>
      <c r="X113" s="55"/>
      <c r="Z113" s="96"/>
      <c r="AA113" s="96"/>
      <c r="AB113" s="96"/>
      <c r="AC113" s="96"/>
      <c r="AD113" s="97"/>
      <c r="AF113" s="98"/>
      <c r="AH113" s="55"/>
    </row>
    <row r="114">
      <c r="R114" s="94"/>
      <c r="V114" s="95"/>
      <c r="W114" s="96"/>
      <c r="X114" s="55"/>
      <c r="Z114" s="96"/>
      <c r="AA114" s="96"/>
      <c r="AB114" s="96"/>
      <c r="AC114" s="96"/>
      <c r="AD114" s="97"/>
      <c r="AF114" s="98"/>
      <c r="AH114" s="55"/>
    </row>
    <row r="115">
      <c r="R115" s="94"/>
      <c r="V115" s="95"/>
      <c r="W115" s="96"/>
      <c r="X115" s="55"/>
      <c r="Z115" s="96"/>
      <c r="AA115" s="96"/>
      <c r="AB115" s="96"/>
      <c r="AC115" s="96"/>
      <c r="AD115" s="97"/>
      <c r="AF115" s="98"/>
      <c r="AH115" s="55"/>
    </row>
    <row r="116">
      <c r="R116" s="94"/>
      <c r="V116" s="95"/>
      <c r="W116" s="96"/>
      <c r="X116" s="55"/>
      <c r="Z116" s="96"/>
      <c r="AA116" s="96"/>
      <c r="AB116" s="96"/>
      <c r="AC116" s="96"/>
      <c r="AD116" s="97"/>
      <c r="AF116" s="98"/>
      <c r="AH116" s="55"/>
    </row>
    <row r="117">
      <c r="R117" s="94"/>
      <c r="V117" s="95"/>
      <c r="W117" s="96"/>
      <c r="X117" s="55"/>
      <c r="Z117" s="96"/>
      <c r="AA117" s="96"/>
      <c r="AB117" s="96"/>
      <c r="AC117" s="96"/>
      <c r="AD117" s="97"/>
      <c r="AF117" s="98"/>
      <c r="AH117" s="55"/>
    </row>
    <row r="118">
      <c r="R118" s="94"/>
      <c r="V118" s="95"/>
      <c r="W118" s="96"/>
      <c r="X118" s="55"/>
      <c r="Z118" s="96"/>
      <c r="AA118" s="96"/>
      <c r="AB118" s="96"/>
      <c r="AC118" s="96"/>
      <c r="AD118" s="97"/>
      <c r="AF118" s="98"/>
      <c r="AH118" s="55"/>
    </row>
    <row r="119">
      <c r="R119" s="94"/>
      <c r="V119" s="95"/>
      <c r="W119" s="96"/>
      <c r="X119" s="55"/>
      <c r="Z119" s="96"/>
      <c r="AA119" s="96"/>
      <c r="AB119" s="96"/>
      <c r="AC119" s="96"/>
      <c r="AD119" s="97"/>
      <c r="AF119" s="98"/>
      <c r="AH119" s="55"/>
    </row>
    <row r="120">
      <c r="R120" s="94"/>
      <c r="V120" s="95"/>
      <c r="W120" s="96"/>
      <c r="X120" s="55"/>
      <c r="Z120" s="96"/>
      <c r="AA120" s="96"/>
      <c r="AB120" s="96"/>
      <c r="AC120" s="96"/>
      <c r="AD120" s="97"/>
      <c r="AF120" s="98"/>
      <c r="AH120" s="55"/>
    </row>
    <row r="122">
      <c r="R122" s="94"/>
      <c r="V122" s="95"/>
      <c r="W122" s="96"/>
      <c r="X122" s="55"/>
      <c r="Z122" s="96"/>
      <c r="AA122" s="96"/>
      <c r="AB122" s="96"/>
      <c r="AC122" s="96"/>
      <c r="AD122" s="97"/>
      <c r="AF122" s="98"/>
      <c r="AH122" s="55"/>
    </row>
    <row r="123">
      <c r="R123" s="94"/>
      <c r="V123" s="95"/>
      <c r="W123" s="96"/>
      <c r="X123" s="55"/>
      <c r="Z123" s="96"/>
      <c r="AA123" s="96"/>
      <c r="AB123" s="96"/>
      <c r="AC123" s="96"/>
      <c r="AD123" s="97"/>
      <c r="AF123" s="98"/>
      <c r="AH123" s="55"/>
    </row>
    <row r="124">
      <c r="R124" s="94"/>
      <c r="V124" s="95"/>
      <c r="W124" s="96"/>
      <c r="X124" s="55"/>
      <c r="Z124" s="96"/>
      <c r="AA124" s="96"/>
      <c r="AB124" s="96"/>
      <c r="AC124" s="96"/>
      <c r="AD124" s="97"/>
      <c r="AF124" s="98"/>
      <c r="AH124" s="55"/>
    </row>
    <row r="125">
      <c r="R125" s="94"/>
      <c r="V125" s="95"/>
      <c r="W125" s="96"/>
      <c r="X125" s="55"/>
      <c r="Z125" s="96"/>
      <c r="AA125" s="96"/>
      <c r="AB125" s="96"/>
      <c r="AC125" s="96"/>
      <c r="AD125" s="97"/>
      <c r="AF125" s="98"/>
      <c r="AH125" s="55"/>
    </row>
    <row r="126">
      <c r="R126" s="94"/>
      <c r="V126" s="95"/>
      <c r="W126" s="96"/>
      <c r="X126" s="55"/>
      <c r="Z126" s="96"/>
      <c r="AA126" s="96"/>
      <c r="AB126" s="96"/>
      <c r="AC126" s="96"/>
      <c r="AD126" s="97"/>
      <c r="AF126" s="98"/>
      <c r="AH126" s="55"/>
    </row>
    <row r="127">
      <c r="R127" s="94"/>
      <c r="V127" s="95"/>
      <c r="W127" s="96"/>
      <c r="X127" s="55"/>
      <c r="Z127" s="96"/>
      <c r="AA127" s="96"/>
      <c r="AB127" s="96"/>
      <c r="AC127" s="96"/>
      <c r="AD127" s="97"/>
      <c r="AF127" s="98"/>
      <c r="AH127" s="55"/>
    </row>
    <row r="128">
      <c r="R128" s="94"/>
      <c r="V128" s="95"/>
      <c r="W128" s="96"/>
      <c r="X128" s="55"/>
      <c r="Z128" s="96"/>
      <c r="AA128" s="96"/>
      <c r="AB128" s="96"/>
      <c r="AC128" s="96"/>
      <c r="AD128" s="97"/>
      <c r="AF128" s="98"/>
      <c r="AH128" s="55"/>
    </row>
    <row r="129">
      <c r="R129" s="94"/>
      <c r="V129" s="95"/>
      <c r="W129" s="96"/>
      <c r="X129" s="55"/>
      <c r="Z129" s="96"/>
      <c r="AA129" s="96"/>
      <c r="AB129" s="96"/>
      <c r="AC129" s="96"/>
      <c r="AD129" s="97"/>
      <c r="AF129" s="98"/>
      <c r="AH129" s="55"/>
    </row>
    <row r="130">
      <c r="R130" s="94"/>
      <c r="V130" s="95"/>
      <c r="W130" s="96"/>
      <c r="X130" s="55"/>
      <c r="Z130" s="96"/>
      <c r="AA130" s="96"/>
      <c r="AB130" s="96"/>
      <c r="AC130" s="96"/>
      <c r="AD130" s="97"/>
      <c r="AF130" s="98"/>
      <c r="AH130" s="55"/>
    </row>
    <row r="131">
      <c r="R131" s="94"/>
      <c r="V131" s="95"/>
      <c r="W131" s="96"/>
      <c r="X131" s="55"/>
      <c r="Z131" s="96"/>
      <c r="AA131" s="96"/>
      <c r="AB131" s="96"/>
      <c r="AC131" s="96"/>
      <c r="AD131" s="97"/>
      <c r="AF131" s="98"/>
      <c r="AH131" s="55"/>
    </row>
    <row r="132">
      <c r="R132" s="94"/>
      <c r="V132" s="95"/>
      <c r="W132" s="96"/>
      <c r="X132" s="55"/>
      <c r="Z132" s="96"/>
      <c r="AA132" s="96"/>
      <c r="AB132" s="96"/>
      <c r="AC132" s="96"/>
      <c r="AD132" s="97"/>
      <c r="AF132" s="98"/>
      <c r="AH132" s="55"/>
    </row>
    <row r="133">
      <c r="R133" s="94"/>
      <c r="V133" s="95"/>
      <c r="W133" s="96"/>
      <c r="X133" s="55"/>
      <c r="Z133" s="96"/>
      <c r="AA133" s="96"/>
      <c r="AB133" s="96"/>
      <c r="AC133" s="96"/>
      <c r="AD133" s="97"/>
      <c r="AF133" s="98"/>
      <c r="AH133" s="55"/>
    </row>
    <row r="134">
      <c r="R134" s="94"/>
      <c r="V134" s="95"/>
      <c r="W134" s="96"/>
      <c r="X134" s="55"/>
      <c r="Z134" s="96"/>
      <c r="AA134" s="96"/>
      <c r="AB134" s="96"/>
      <c r="AC134" s="96"/>
      <c r="AD134" s="97"/>
      <c r="AF134" s="98"/>
      <c r="AH134" s="55"/>
    </row>
    <row r="135">
      <c r="R135" s="94"/>
      <c r="V135" s="95"/>
      <c r="W135" s="96"/>
      <c r="X135" s="55"/>
      <c r="Z135" s="96"/>
      <c r="AA135" s="96"/>
      <c r="AB135" s="96"/>
      <c r="AC135" s="96"/>
      <c r="AD135" s="97"/>
      <c r="AF135" s="98"/>
      <c r="AH135" s="55"/>
    </row>
    <row r="136">
      <c r="R136" s="94"/>
      <c r="V136" s="95"/>
      <c r="W136" s="96"/>
      <c r="X136" s="55"/>
      <c r="Z136" s="96"/>
      <c r="AA136" s="96"/>
      <c r="AB136" s="96"/>
      <c r="AC136" s="96"/>
      <c r="AD136" s="97"/>
      <c r="AF136" s="98"/>
      <c r="AH136" s="55"/>
    </row>
    <row r="137">
      <c r="R137" s="94"/>
      <c r="V137" s="95"/>
      <c r="W137" s="96"/>
      <c r="X137" s="55"/>
      <c r="Z137" s="96"/>
      <c r="AA137" s="96"/>
      <c r="AB137" s="96"/>
      <c r="AC137" s="96"/>
      <c r="AD137" s="97"/>
      <c r="AF137" s="98"/>
      <c r="AH137" s="55"/>
    </row>
    <row r="138">
      <c r="R138" s="94"/>
      <c r="V138" s="95"/>
      <c r="W138" s="96"/>
      <c r="X138" s="55"/>
      <c r="Z138" s="96"/>
      <c r="AA138" s="96"/>
      <c r="AB138" s="96"/>
      <c r="AC138" s="96"/>
      <c r="AD138" s="97"/>
      <c r="AF138" s="98"/>
      <c r="AH138" s="55"/>
    </row>
    <row r="139">
      <c r="R139" s="94"/>
      <c r="V139" s="95"/>
      <c r="W139" s="96"/>
      <c r="X139" s="55"/>
      <c r="Z139" s="96"/>
      <c r="AA139" s="96"/>
      <c r="AB139" s="96"/>
      <c r="AC139" s="96"/>
      <c r="AD139" s="97"/>
      <c r="AF139" s="98"/>
      <c r="AH139" s="55"/>
    </row>
    <row r="140">
      <c r="R140" s="94"/>
      <c r="V140" s="95"/>
      <c r="W140" s="96"/>
      <c r="X140" s="55"/>
      <c r="Z140" s="96"/>
      <c r="AA140" s="96"/>
      <c r="AB140" s="96"/>
      <c r="AC140" s="96"/>
      <c r="AD140" s="97"/>
      <c r="AF140" s="98"/>
      <c r="AH140" s="55"/>
    </row>
    <row r="141">
      <c r="R141" s="94"/>
      <c r="V141" s="95"/>
      <c r="W141" s="96"/>
      <c r="X141" s="55"/>
      <c r="Z141" s="96"/>
      <c r="AA141" s="96"/>
      <c r="AB141" s="96"/>
      <c r="AC141" s="96"/>
      <c r="AD141" s="97"/>
      <c r="AF141" s="98"/>
      <c r="AH141" s="55"/>
    </row>
    <row r="142">
      <c r="R142" s="94"/>
      <c r="V142" s="95"/>
      <c r="W142" s="96"/>
      <c r="X142" s="55"/>
      <c r="Z142" s="96"/>
      <c r="AA142" s="96"/>
      <c r="AB142" s="96"/>
      <c r="AC142" s="96"/>
      <c r="AD142" s="97"/>
      <c r="AF142" s="98"/>
      <c r="AH142" s="55"/>
    </row>
    <row r="143">
      <c r="R143" s="94"/>
      <c r="V143" s="95"/>
      <c r="W143" s="96"/>
      <c r="X143" s="55"/>
      <c r="Z143" s="96"/>
      <c r="AA143" s="96"/>
      <c r="AB143" s="96"/>
      <c r="AC143" s="96"/>
      <c r="AD143" s="97"/>
      <c r="AF143" s="98"/>
      <c r="AH143" s="55"/>
    </row>
    <row r="144">
      <c r="R144" s="94"/>
      <c r="V144" s="95"/>
      <c r="W144" s="96"/>
      <c r="X144" s="55"/>
      <c r="Z144" s="96"/>
      <c r="AA144" s="96"/>
      <c r="AB144" s="96"/>
      <c r="AC144" s="96"/>
      <c r="AD144" s="97"/>
      <c r="AF144" s="98"/>
      <c r="AH144" s="55"/>
    </row>
    <row r="145">
      <c r="R145" s="94"/>
      <c r="V145" s="95"/>
      <c r="W145" s="96"/>
      <c r="X145" s="55"/>
      <c r="Z145" s="96"/>
      <c r="AA145" s="96"/>
      <c r="AB145" s="96"/>
      <c r="AC145" s="96"/>
      <c r="AD145" s="97"/>
      <c r="AF145" s="98"/>
      <c r="AH145" s="55"/>
    </row>
    <row r="146">
      <c r="R146" s="94"/>
      <c r="V146" s="95"/>
      <c r="W146" s="96"/>
      <c r="X146" s="55"/>
      <c r="Z146" s="96"/>
      <c r="AA146" s="96"/>
      <c r="AB146" s="96"/>
      <c r="AC146" s="96"/>
      <c r="AD146" s="97"/>
      <c r="AF146" s="98"/>
      <c r="AH146" s="55"/>
    </row>
    <row r="147">
      <c r="R147" s="94"/>
      <c r="V147" s="95"/>
      <c r="W147" s="96"/>
      <c r="X147" s="55"/>
      <c r="Z147" s="96"/>
      <c r="AA147" s="96"/>
      <c r="AB147" s="96"/>
      <c r="AC147" s="96"/>
      <c r="AD147" s="97"/>
      <c r="AF147" s="98"/>
      <c r="AH147" s="55"/>
    </row>
    <row r="148">
      <c r="R148" s="94"/>
      <c r="V148" s="95"/>
      <c r="W148" s="96"/>
      <c r="X148" s="55"/>
      <c r="Z148" s="96"/>
      <c r="AA148" s="96"/>
      <c r="AB148" s="96"/>
      <c r="AC148" s="96"/>
      <c r="AD148" s="97"/>
      <c r="AF148" s="98"/>
      <c r="AH148" s="55"/>
    </row>
    <row r="149">
      <c r="R149" s="94"/>
      <c r="V149" s="95"/>
      <c r="W149" s="96"/>
      <c r="X149" s="55"/>
      <c r="Z149" s="96"/>
      <c r="AA149" s="96"/>
      <c r="AB149" s="96"/>
      <c r="AC149" s="96"/>
      <c r="AD149" s="97"/>
      <c r="AF149" s="98"/>
      <c r="AH149" s="55"/>
    </row>
    <row r="150">
      <c r="R150" s="94"/>
      <c r="V150" s="95"/>
      <c r="W150" s="96"/>
      <c r="X150" s="55"/>
      <c r="Z150" s="96"/>
      <c r="AA150" s="96"/>
      <c r="AB150" s="96"/>
      <c r="AC150" s="96"/>
      <c r="AD150" s="97"/>
      <c r="AF150" s="98"/>
      <c r="AH150" s="55"/>
    </row>
    <row r="151">
      <c r="R151" s="94"/>
      <c r="V151" s="95"/>
      <c r="W151" s="96"/>
      <c r="X151" s="55"/>
      <c r="Z151" s="96"/>
      <c r="AA151" s="96"/>
      <c r="AB151" s="96"/>
      <c r="AC151" s="96"/>
      <c r="AD151" s="97"/>
      <c r="AF151" s="98"/>
      <c r="AH151" s="55"/>
    </row>
    <row r="152">
      <c r="R152" s="94"/>
      <c r="V152" s="95"/>
      <c r="W152" s="96"/>
      <c r="X152" s="55"/>
      <c r="Z152" s="96"/>
      <c r="AA152" s="96"/>
      <c r="AB152" s="96"/>
      <c r="AC152" s="96"/>
      <c r="AD152" s="97"/>
      <c r="AF152" s="98"/>
      <c r="AH152" s="55"/>
    </row>
    <row r="153">
      <c r="R153" s="94"/>
      <c r="V153" s="95"/>
      <c r="W153" s="96"/>
      <c r="X153" s="55"/>
      <c r="Z153" s="96"/>
      <c r="AA153" s="96"/>
      <c r="AB153" s="96"/>
      <c r="AC153" s="96"/>
      <c r="AD153" s="97"/>
      <c r="AF153" s="98"/>
      <c r="AH153" s="55"/>
    </row>
    <row r="154">
      <c r="R154" s="94"/>
      <c r="V154" s="95"/>
      <c r="W154" s="96"/>
      <c r="X154" s="55"/>
      <c r="Z154" s="96"/>
      <c r="AA154" s="96"/>
      <c r="AB154" s="96"/>
      <c r="AC154" s="96"/>
      <c r="AD154" s="97"/>
      <c r="AF154" s="98"/>
      <c r="AH154" s="55"/>
    </row>
    <row r="157">
      <c r="R157" s="94"/>
      <c r="V157" s="95"/>
      <c r="W157" s="96"/>
      <c r="X157" s="55"/>
      <c r="Z157" s="96"/>
      <c r="AA157" s="96"/>
      <c r="AB157" s="96"/>
      <c r="AC157" s="96"/>
      <c r="AD157" s="97"/>
      <c r="AF157" s="98"/>
      <c r="AH157" s="55"/>
    </row>
    <row r="158">
      <c r="R158" s="94"/>
      <c r="V158" s="95"/>
      <c r="W158" s="96"/>
      <c r="X158" s="55"/>
      <c r="Z158" s="96"/>
      <c r="AA158" s="96"/>
      <c r="AB158" s="96"/>
      <c r="AC158" s="96"/>
      <c r="AD158" s="97"/>
      <c r="AF158" s="98"/>
      <c r="AH158" s="55"/>
    </row>
    <row r="159">
      <c r="R159" s="94"/>
      <c r="V159" s="95"/>
      <c r="W159" s="96"/>
      <c r="X159" s="55"/>
      <c r="Z159" s="96"/>
      <c r="AA159" s="96"/>
      <c r="AB159" s="96"/>
      <c r="AC159" s="96"/>
      <c r="AD159" s="97"/>
      <c r="AF159" s="98"/>
      <c r="AH159" s="55"/>
    </row>
    <row r="160">
      <c r="R160" s="94"/>
      <c r="V160" s="95"/>
      <c r="W160" s="96"/>
      <c r="X160" s="55"/>
      <c r="Z160" s="96"/>
      <c r="AA160" s="96"/>
      <c r="AB160" s="96"/>
      <c r="AC160" s="96"/>
      <c r="AD160" s="97"/>
      <c r="AF160" s="98"/>
      <c r="AH160" s="55"/>
    </row>
    <row r="161">
      <c r="R161" s="94"/>
      <c r="V161" s="95"/>
      <c r="W161" s="96"/>
      <c r="X161" s="55"/>
      <c r="Z161" s="96"/>
      <c r="AA161" s="96"/>
      <c r="AB161" s="96"/>
      <c r="AC161" s="96"/>
      <c r="AD161" s="97"/>
      <c r="AF161" s="98"/>
      <c r="AH161" s="55"/>
    </row>
    <row r="162">
      <c r="R162" s="94"/>
      <c r="V162" s="95"/>
      <c r="W162" s="96"/>
      <c r="X162" s="55"/>
      <c r="Z162" s="96"/>
      <c r="AA162" s="96"/>
      <c r="AB162" s="96"/>
      <c r="AC162" s="96"/>
      <c r="AD162" s="97"/>
      <c r="AF162" s="98"/>
      <c r="AH162" s="55"/>
    </row>
    <row r="163">
      <c r="R163" s="94"/>
      <c r="V163" s="95"/>
      <c r="W163" s="96"/>
      <c r="X163" s="55"/>
      <c r="Z163" s="96"/>
      <c r="AA163" s="96"/>
      <c r="AB163" s="96"/>
      <c r="AC163" s="96"/>
      <c r="AD163" s="97"/>
      <c r="AF163" s="98"/>
      <c r="AH163" s="55"/>
    </row>
    <row r="164">
      <c r="R164" s="94"/>
      <c r="V164" s="95"/>
      <c r="W164" s="96"/>
      <c r="X164" s="55"/>
      <c r="Z164" s="96"/>
      <c r="AA164" s="96"/>
      <c r="AB164" s="96"/>
      <c r="AC164" s="96"/>
      <c r="AD164" s="97"/>
      <c r="AF164" s="98"/>
      <c r="AH164" s="55"/>
    </row>
    <row r="165">
      <c r="R165" s="94"/>
      <c r="V165" s="95"/>
      <c r="W165" s="96"/>
      <c r="X165" s="55"/>
      <c r="Z165" s="96"/>
      <c r="AA165" s="96"/>
      <c r="AB165" s="96"/>
      <c r="AC165" s="96"/>
      <c r="AD165" s="97"/>
      <c r="AF165" s="98"/>
      <c r="AH165" s="55"/>
    </row>
    <row r="166">
      <c r="R166" s="94"/>
      <c r="V166" s="95"/>
      <c r="W166" s="96"/>
      <c r="X166" s="55"/>
      <c r="Z166" s="96"/>
      <c r="AA166" s="96"/>
      <c r="AB166" s="96"/>
      <c r="AC166" s="96"/>
      <c r="AD166" s="97"/>
      <c r="AF166" s="98"/>
      <c r="AH166" s="55"/>
    </row>
    <row r="167">
      <c r="R167" s="94"/>
      <c r="V167" s="95"/>
      <c r="W167" s="96"/>
      <c r="X167" s="55"/>
      <c r="Z167" s="96"/>
      <c r="AA167" s="96"/>
      <c r="AB167" s="96"/>
      <c r="AC167" s="96"/>
      <c r="AD167" s="97"/>
      <c r="AF167" s="98"/>
      <c r="AH167" s="55"/>
    </row>
    <row r="168">
      <c r="R168" s="94"/>
      <c r="V168" s="95"/>
      <c r="W168" s="96"/>
      <c r="X168" s="55"/>
      <c r="Z168" s="96"/>
      <c r="AA168" s="96"/>
      <c r="AB168" s="96"/>
      <c r="AC168" s="96"/>
      <c r="AD168" s="97"/>
      <c r="AF168" s="98"/>
      <c r="AH168" s="55"/>
    </row>
    <row r="169">
      <c r="R169" s="94"/>
      <c r="V169" s="95"/>
      <c r="W169" s="96"/>
      <c r="X169" s="55"/>
      <c r="Z169" s="96"/>
      <c r="AA169" s="96"/>
      <c r="AB169" s="96"/>
      <c r="AC169" s="96"/>
      <c r="AD169" s="97"/>
      <c r="AF169" s="98"/>
      <c r="AH169" s="55"/>
    </row>
    <row r="170">
      <c r="R170" s="94"/>
      <c r="V170" s="95"/>
      <c r="W170" s="96"/>
      <c r="X170" s="55"/>
      <c r="Z170" s="96"/>
      <c r="AA170" s="96"/>
      <c r="AB170" s="96"/>
      <c r="AC170" s="96"/>
      <c r="AD170" s="97"/>
      <c r="AF170" s="98"/>
      <c r="AH170" s="55"/>
    </row>
    <row r="179">
      <c r="R179" s="94"/>
      <c r="V179" s="95"/>
      <c r="W179" s="96"/>
      <c r="X179" s="55"/>
      <c r="Z179" s="96"/>
      <c r="AA179" s="96"/>
      <c r="AB179" s="96"/>
      <c r="AC179" s="96"/>
      <c r="AD179" s="97"/>
      <c r="AF179" s="98"/>
      <c r="AH179" s="55"/>
    </row>
    <row r="180">
      <c r="R180" s="94"/>
      <c r="V180" s="95"/>
      <c r="W180" s="96"/>
      <c r="X180" s="55"/>
      <c r="Z180" s="96"/>
      <c r="AA180" s="96"/>
      <c r="AB180" s="96"/>
      <c r="AC180" s="96"/>
      <c r="AD180" s="97"/>
      <c r="AF180" s="98"/>
      <c r="AH180" s="55"/>
    </row>
    <row r="181">
      <c r="R181" s="94"/>
      <c r="V181" s="95"/>
      <c r="W181" s="96"/>
      <c r="X181" s="55"/>
      <c r="Z181" s="96"/>
      <c r="AA181" s="96"/>
      <c r="AB181" s="96"/>
      <c r="AC181" s="96"/>
      <c r="AD181" s="97"/>
      <c r="AF181" s="98"/>
      <c r="AH181" s="55"/>
    </row>
    <row r="182">
      <c r="R182" s="94"/>
      <c r="V182" s="95"/>
      <c r="W182" s="96"/>
      <c r="X182" s="55"/>
      <c r="Z182" s="96"/>
      <c r="AA182" s="96"/>
      <c r="AB182" s="96"/>
      <c r="AC182" s="96"/>
      <c r="AD182" s="97"/>
      <c r="AF182" s="98"/>
      <c r="AH182" s="55"/>
    </row>
    <row r="183">
      <c r="A183" s="99" t="s">
        <v>172</v>
      </c>
      <c r="B183" s="100"/>
      <c r="C183" s="100"/>
      <c r="D183" s="100"/>
      <c r="E183" s="100"/>
      <c r="F183" s="100"/>
      <c r="G183" s="100"/>
      <c r="H183" s="100"/>
      <c r="I183" s="100"/>
      <c r="J183" s="100"/>
      <c r="K183" s="100"/>
      <c r="L183" s="100"/>
      <c r="M183" s="100"/>
      <c r="N183" s="100"/>
      <c r="O183" s="100"/>
      <c r="P183" s="100"/>
      <c r="Q183" s="100"/>
      <c r="R183" s="101"/>
      <c r="S183" s="100"/>
      <c r="T183" s="100"/>
      <c r="U183" s="100"/>
      <c r="V183" s="102"/>
      <c r="W183" s="103"/>
      <c r="X183" s="104"/>
      <c r="Y183" s="100"/>
      <c r="Z183" s="103"/>
      <c r="AA183" s="103"/>
      <c r="AB183" s="103"/>
      <c r="AC183" s="103"/>
      <c r="AD183" s="105"/>
      <c r="AE183" s="100"/>
      <c r="AF183" s="106"/>
      <c r="AG183" s="100"/>
      <c r="AH183" s="104"/>
      <c r="AI183" s="100"/>
    </row>
    <row r="184">
      <c r="A184" s="99" t="s">
        <v>173</v>
      </c>
      <c r="B184" s="100"/>
      <c r="C184" s="100"/>
      <c r="D184" s="100"/>
      <c r="E184" s="100"/>
      <c r="F184" s="100"/>
      <c r="G184" s="100"/>
      <c r="H184" s="100"/>
      <c r="I184" s="100"/>
      <c r="J184" s="100"/>
      <c r="K184" s="100"/>
      <c r="L184" s="100"/>
      <c r="M184" s="100"/>
      <c r="N184" s="100"/>
      <c r="O184" s="100"/>
      <c r="P184" s="100"/>
      <c r="Q184" s="100"/>
      <c r="R184" s="101"/>
      <c r="S184" s="100"/>
      <c r="T184" s="100"/>
      <c r="U184" s="100"/>
      <c r="V184" s="102"/>
      <c r="W184" s="103"/>
      <c r="X184" s="104"/>
      <c r="Y184" s="100"/>
      <c r="Z184" s="103"/>
      <c r="AA184" s="103"/>
      <c r="AB184" s="103"/>
      <c r="AC184" s="103"/>
      <c r="AD184" s="105"/>
      <c r="AE184" s="100"/>
      <c r="AF184" s="106"/>
      <c r="AG184" s="100"/>
      <c r="AH184" s="104"/>
      <c r="AI184" s="100"/>
    </row>
    <row r="185">
      <c r="A185" s="107" t="s">
        <v>174</v>
      </c>
      <c r="B185" s="108"/>
      <c r="C185" s="108"/>
      <c r="D185" s="108"/>
      <c r="E185" s="108"/>
      <c r="F185" s="108"/>
      <c r="G185" s="108"/>
      <c r="H185" s="108"/>
      <c r="I185" s="108"/>
      <c r="J185" s="108"/>
      <c r="K185" s="108"/>
      <c r="L185" s="108"/>
      <c r="M185" s="108"/>
      <c r="N185" s="108"/>
      <c r="O185" s="108"/>
      <c r="P185" s="108"/>
      <c r="Q185" s="108"/>
      <c r="R185" s="109"/>
      <c r="S185" s="108"/>
      <c r="T185" s="108"/>
      <c r="U185" s="108"/>
      <c r="V185" s="110"/>
      <c r="W185" s="111"/>
      <c r="X185" s="112"/>
      <c r="Y185" s="108"/>
      <c r="Z185" s="111"/>
      <c r="AA185" s="111"/>
      <c r="AB185" s="111"/>
      <c r="AC185" s="111"/>
      <c r="AD185" s="113"/>
      <c r="AE185" s="108"/>
      <c r="AF185" s="114"/>
      <c r="AG185" s="108"/>
      <c r="AH185" s="112"/>
      <c r="AI185" s="108"/>
    </row>
    <row r="186">
      <c r="R186" s="94"/>
      <c r="V186" s="95"/>
      <c r="W186" s="96"/>
      <c r="X186" s="55"/>
      <c r="Z186" s="96"/>
      <c r="AA186" s="96"/>
      <c r="AB186" s="96"/>
      <c r="AC186" s="96"/>
      <c r="AD186" s="97"/>
      <c r="AF186" s="98"/>
      <c r="AH186" s="55"/>
    </row>
    <row r="187">
      <c r="R187" s="94"/>
      <c r="V187" s="95"/>
      <c r="W187" s="96"/>
      <c r="X187" s="55"/>
      <c r="Z187" s="96"/>
      <c r="AA187" s="96"/>
      <c r="AB187" s="96"/>
      <c r="AC187" s="96"/>
      <c r="AD187" s="97"/>
      <c r="AF187" s="98"/>
      <c r="AH187" s="55"/>
    </row>
    <row r="188">
      <c r="R188" s="94"/>
      <c r="V188" s="95"/>
      <c r="W188" s="96"/>
      <c r="X188" s="55"/>
      <c r="Z188" s="96"/>
      <c r="AA188" s="96"/>
      <c r="AB188" s="96"/>
      <c r="AC188" s="96"/>
      <c r="AD188" s="97"/>
      <c r="AF188" s="98"/>
      <c r="AH188" s="55"/>
    </row>
    <row r="189">
      <c r="R189" s="94"/>
      <c r="V189" s="95"/>
      <c r="W189" s="96"/>
      <c r="X189" s="55"/>
      <c r="Z189" s="96"/>
      <c r="AA189" s="96"/>
      <c r="AB189" s="96"/>
      <c r="AC189" s="96"/>
      <c r="AD189" s="97"/>
      <c r="AF189" s="98"/>
      <c r="AH189" s="55"/>
    </row>
    <row r="190">
      <c r="R190" s="94"/>
      <c r="V190" s="95"/>
      <c r="W190" s="96"/>
      <c r="X190" s="55"/>
      <c r="Z190" s="96"/>
      <c r="AA190" s="96"/>
      <c r="AB190" s="96"/>
      <c r="AC190" s="96"/>
      <c r="AD190" s="97"/>
      <c r="AF190" s="98"/>
      <c r="AH190" s="55"/>
    </row>
    <row r="191">
      <c r="R191" s="94"/>
      <c r="V191" s="95"/>
      <c r="W191" s="96"/>
      <c r="X191" s="55"/>
      <c r="Z191" s="96"/>
      <c r="AA191" s="96"/>
      <c r="AB191" s="96"/>
      <c r="AC191" s="96"/>
      <c r="AD191" s="97"/>
      <c r="AF191" s="98"/>
      <c r="AH191" s="55"/>
    </row>
    <row r="194">
      <c r="R194" s="94"/>
      <c r="V194" s="95"/>
      <c r="W194" s="96"/>
      <c r="X194" s="55"/>
      <c r="Z194" s="96"/>
      <c r="AA194" s="96"/>
      <c r="AB194" s="96"/>
      <c r="AC194" s="96"/>
      <c r="AD194" s="97"/>
      <c r="AF194" s="98"/>
      <c r="AH194" s="55"/>
    </row>
    <row r="195">
      <c r="R195" s="94"/>
      <c r="V195" s="95"/>
      <c r="W195" s="96"/>
      <c r="X195" s="55"/>
      <c r="Z195" s="96"/>
      <c r="AA195" s="96"/>
      <c r="AB195" s="96"/>
      <c r="AC195" s="96"/>
      <c r="AD195" s="97"/>
      <c r="AF195" s="98"/>
      <c r="AH195" s="55"/>
    </row>
    <row r="199">
      <c r="R199" s="94"/>
      <c r="V199" s="95"/>
      <c r="W199" s="96"/>
      <c r="X199" s="55"/>
      <c r="Z199" s="96"/>
      <c r="AA199" s="96"/>
      <c r="AB199" s="96"/>
      <c r="AC199" s="96"/>
      <c r="AD199" s="97"/>
      <c r="AF199" s="98"/>
      <c r="AH199" s="55"/>
    </row>
    <row r="200">
      <c r="R200" s="94"/>
      <c r="V200" s="95"/>
      <c r="W200" s="96"/>
      <c r="X200" s="55"/>
      <c r="Z200" s="96"/>
      <c r="AA200" s="96"/>
      <c r="AB200" s="96"/>
      <c r="AC200" s="96"/>
      <c r="AD200" s="97"/>
      <c r="AF200" s="98"/>
      <c r="AH200" s="55"/>
    </row>
    <row r="201">
      <c r="R201" s="94"/>
      <c r="V201" s="95"/>
      <c r="W201" s="96"/>
      <c r="X201" s="55"/>
      <c r="Z201" s="96"/>
      <c r="AA201" s="96"/>
      <c r="AB201" s="96"/>
      <c r="AC201" s="96"/>
      <c r="AD201" s="97"/>
      <c r="AF201" s="98"/>
      <c r="AH201" s="55"/>
    </row>
    <row r="202">
      <c r="R202" s="94"/>
      <c r="V202" s="95"/>
      <c r="W202" s="96"/>
      <c r="X202" s="55"/>
      <c r="Z202" s="96"/>
      <c r="AA202" s="96"/>
      <c r="AB202" s="96"/>
      <c r="AC202" s="96"/>
      <c r="AD202" s="97"/>
      <c r="AF202" s="98"/>
      <c r="AH202" s="55"/>
    </row>
    <row r="203">
      <c r="R203" s="94"/>
      <c r="V203" s="95"/>
      <c r="W203" s="96"/>
      <c r="X203" s="55"/>
      <c r="Z203" s="96"/>
      <c r="AA203" s="96"/>
      <c r="AB203" s="96"/>
      <c r="AC203" s="96"/>
      <c r="AD203" s="97"/>
      <c r="AF203" s="98"/>
      <c r="AH203" s="55"/>
    </row>
    <row r="204">
      <c r="R204" s="94"/>
      <c r="V204" s="95"/>
      <c r="W204" s="96"/>
      <c r="X204" s="55"/>
      <c r="Z204" s="96"/>
      <c r="AA204" s="96"/>
      <c r="AB204" s="96"/>
      <c r="AC204" s="96"/>
      <c r="AD204" s="97"/>
      <c r="AF204" s="98"/>
      <c r="AH204" s="55"/>
    </row>
    <row r="205">
      <c r="R205" s="94"/>
      <c r="V205" s="95"/>
      <c r="W205" s="96"/>
      <c r="X205" s="55"/>
      <c r="Z205" s="96"/>
      <c r="AA205" s="96"/>
      <c r="AB205" s="96"/>
      <c r="AC205" s="96"/>
      <c r="AD205" s="97"/>
      <c r="AF205" s="98"/>
      <c r="AH205" s="55"/>
    </row>
    <row r="206">
      <c r="R206" s="94"/>
      <c r="V206" s="95"/>
      <c r="W206" s="96"/>
      <c r="X206" s="55"/>
      <c r="Z206" s="96"/>
      <c r="AA206" s="96"/>
      <c r="AB206" s="96"/>
      <c r="AC206" s="96"/>
      <c r="AD206" s="97"/>
      <c r="AF206" s="98"/>
      <c r="AH206" s="55"/>
    </row>
    <row r="207">
      <c r="R207" s="94"/>
      <c r="V207" s="95"/>
      <c r="W207" s="96"/>
      <c r="X207" s="55"/>
      <c r="Z207" s="96"/>
      <c r="AA207" s="96"/>
      <c r="AB207" s="96"/>
      <c r="AC207" s="96"/>
      <c r="AD207" s="97"/>
      <c r="AF207" s="98"/>
      <c r="AH207" s="55"/>
    </row>
    <row r="208">
      <c r="R208" s="94"/>
      <c r="V208" s="95"/>
      <c r="W208" s="96"/>
      <c r="X208" s="55"/>
      <c r="Z208" s="96"/>
      <c r="AA208" s="96"/>
      <c r="AB208" s="96"/>
      <c r="AC208" s="96"/>
      <c r="AD208" s="97"/>
      <c r="AF208" s="98"/>
      <c r="AH208" s="55"/>
    </row>
    <row r="209">
      <c r="R209" s="94"/>
      <c r="V209" s="95"/>
      <c r="W209" s="96"/>
      <c r="X209" s="55"/>
      <c r="Z209" s="96"/>
      <c r="AA209" s="96"/>
      <c r="AB209" s="96"/>
      <c r="AC209" s="96"/>
      <c r="AD209" s="97"/>
      <c r="AF209" s="98"/>
      <c r="AH209" s="55"/>
    </row>
    <row r="210">
      <c r="R210" s="94"/>
      <c r="V210" s="95"/>
      <c r="W210" s="96"/>
      <c r="X210" s="55"/>
      <c r="Z210" s="96"/>
      <c r="AA210" s="96"/>
      <c r="AB210" s="96"/>
      <c r="AC210" s="96"/>
      <c r="AD210" s="97"/>
      <c r="AF210" s="98"/>
      <c r="AH210" s="55"/>
    </row>
    <row r="211">
      <c r="R211" s="94"/>
      <c r="V211" s="95"/>
      <c r="W211" s="96"/>
      <c r="X211" s="55"/>
      <c r="Z211" s="96"/>
      <c r="AA211" s="96"/>
      <c r="AB211" s="96"/>
      <c r="AC211" s="96"/>
      <c r="AD211" s="97"/>
      <c r="AF211" s="98"/>
      <c r="AH211" s="55"/>
    </row>
    <row r="212">
      <c r="R212" s="94"/>
      <c r="V212" s="95"/>
      <c r="W212" s="96"/>
      <c r="X212" s="55"/>
      <c r="Z212" s="96"/>
      <c r="AA212" s="96"/>
      <c r="AB212" s="96"/>
      <c r="AC212" s="96"/>
      <c r="AD212" s="97"/>
      <c r="AF212" s="98"/>
      <c r="AH212" s="55"/>
    </row>
    <row r="213">
      <c r="R213" s="94"/>
      <c r="V213" s="95"/>
      <c r="W213" s="96"/>
      <c r="X213" s="55"/>
      <c r="Z213" s="96"/>
      <c r="AA213" s="96"/>
      <c r="AB213" s="96"/>
      <c r="AC213" s="96"/>
      <c r="AD213" s="97"/>
      <c r="AF213" s="98"/>
      <c r="AH213" s="55"/>
    </row>
    <row r="217">
      <c r="R217" s="94"/>
      <c r="V217" s="95"/>
      <c r="W217" s="96"/>
      <c r="X217" s="55"/>
      <c r="Z217" s="96"/>
      <c r="AA217" s="96"/>
      <c r="AB217" s="96"/>
      <c r="AC217" s="96"/>
      <c r="AD217" s="97"/>
      <c r="AF217" s="98"/>
      <c r="AH217" s="55"/>
    </row>
    <row r="218">
      <c r="R218" s="94"/>
      <c r="V218" s="95"/>
      <c r="W218" s="96"/>
      <c r="X218" s="55"/>
      <c r="Z218" s="96"/>
      <c r="AA218" s="96"/>
      <c r="AB218" s="96"/>
      <c r="AC218" s="96"/>
      <c r="AD218" s="97"/>
      <c r="AF218" s="98"/>
      <c r="AH218" s="55"/>
    </row>
    <row r="219">
      <c r="R219" s="94"/>
      <c r="V219" s="95"/>
      <c r="W219" s="96"/>
      <c r="X219" s="55"/>
      <c r="Z219" s="96"/>
      <c r="AA219" s="96"/>
      <c r="AB219" s="96"/>
      <c r="AC219" s="96"/>
      <c r="AD219" s="97"/>
      <c r="AF219" s="98"/>
      <c r="AH219" s="55"/>
    </row>
    <row r="220">
      <c r="R220" s="94"/>
      <c r="V220" s="95"/>
      <c r="W220" s="96"/>
      <c r="X220" s="55"/>
      <c r="Z220" s="96"/>
      <c r="AA220" s="96"/>
      <c r="AB220" s="96"/>
      <c r="AC220" s="96"/>
      <c r="AD220" s="97"/>
      <c r="AF220" s="98"/>
      <c r="AH220" s="55"/>
    </row>
    <row r="221">
      <c r="R221" s="94"/>
      <c r="V221" s="95"/>
      <c r="W221" s="96"/>
      <c r="X221" s="55"/>
      <c r="Z221" s="96"/>
      <c r="AA221" s="96"/>
      <c r="AB221" s="96"/>
      <c r="AC221" s="96"/>
      <c r="AD221" s="97"/>
      <c r="AF221" s="98"/>
      <c r="AH221" s="55"/>
    </row>
    <row r="222">
      <c r="R222" s="94"/>
      <c r="V222" s="95"/>
      <c r="W222" s="96"/>
      <c r="X222" s="55"/>
      <c r="Z222" s="96"/>
      <c r="AA222" s="96"/>
      <c r="AB222" s="96"/>
      <c r="AC222" s="96"/>
      <c r="AD222" s="97"/>
      <c r="AF222" s="98"/>
      <c r="AH222" s="55"/>
    </row>
    <row r="223">
      <c r="R223" s="94"/>
      <c r="V223" s="95"/>
      <c r="W223" s="96"/>
      <c r="X223" s="55"/>
      <c r="Z223" s="96"/>
      <c r="AA223" s="96"/>
      <c r="AB223" s="96"/>
      <c r="AC223" s="96"/>
      <c r="AD223" s="97"/>
      <c r="AF223" s="98"/>
      <c r="AH223" s="55"/>
    </row>
    <row r="224">
      <c r="R224" s="94"/>
      <c r="V224" s="95"/>
      <c r="W224" s="96"/>
      <c r="X224" s="55"/>
      <c r="Z224" s="96"/>
      <c r="AA224" s="96"/>
      <c r="AB224" s="96"/>
      <c r="AC224" s="96"/>
      <c r="AD224" s="97"/>
      <c r="AF224" s="98"/>
      <c r="AH224" s="55"/>
    </row>
    <row r="225">
      <c r="R225" s="94"/>
      <c r="V225" s="95"/>
      <c r="W225" s="96"/>
      <c r="X225" s="55"/>
      <c r="Z225" s="96"/>
      <c r="AA225" s="96"/>
      <c r="AB225" s="96"/>
      <c r="AC225" s="96"/>
      <c r="AD225" s="97"/>
      <c r="AF225" s="98"/>
      <c r="AH225" s="55"/>
    </row>
    <row r="226">
      <c r="R226" s="94"/>
      <c r="V226" s="95"/>
      <c r="W226" s="96"/>
      <c r="X226" s="55"/>
      <c r="Z226" s="96"/>
      <c r="AA226" s="96"/>
      <c r="AB226" s="96"/>
      <c r="AC226" s="96"/>
      <c r="AD226" s="97"/>
      <c r="AF226" s="98"/>
      <c r="AH226" s="55"/>
    </row>
    <row r="227">
      <c r="R227" s="94"/>
      <c r="V227" s="95"/>
      <c r="W227" s="96"/>
      <c r="X227" s="55"/>
      <c r="Z227" s="96"/>
      <c r="AA227" s="96"/>
      <c r="AB227" s="96"/>
      <c r="AC227" s="96"/>
      <c r="AD227" s="97"/>
      <c r="AF227" s="98"/>
      <c r="AH227" s="55"/>
    </row>
    <row r="228">
      <c r="R228" s="94"/>
      <c r="V228" s="95"/>
      <c r="W228" s="96"/>
      <c r="X228" s="55"/>
      <c r="Z228" s="96"/>
      <c r="AA228" s="96"/>
      <c r="AB228" s="96"/>
      <c r="AC228" s="96"/>
      <c r="AD228" s="97"/>
      <c r="AF228" s="98"/>
      <c r="AH228" s="55"/>
    </row>
    <row r="234">
      <c r="R234" s="94"/>
      <c r="V234" s="95"/>
      <c r="W234" s="96"/>
      <c r="X234" s="55"/>
      <c r="Z234" s="96"/>
      <c r="AA234" s="96"/>
      <c r="AB234" s="96"/>
      <c r="AC234" s="96"/>
      <c r="AD234" s="97"/>
      <c r="AF234" s="98"/>
      <c r="AH234" s="55"/>
    </row>
    <row r="235">
      <c r="B235" s="115"/>
      <c r="C235" s="115"/>
      <c r="D235" s="115"/>
      <c r="E235" s="115"/>
      <c r="F235" s="115"/>
      <c r="G235" s="115"/>
      <c r="H235" s="115"/>
      <c r="I235" s="115"/>
      <c r="J235" s="115"/>
      <c r="K235" s="115"/>
      <c r="L235" s="115"/>
      <c r="M235" s="115"/>
      <c r="N235" s="115"/>
      <c r="O235" s="115"/>
      <c r="P235" s="115"/>
      <c r="Q235" s="115"/>
      <c r="R235" s="116"/>
      <c r="S235" s="115"/>
      <c r="T235" s="115"/>
      <c r="U235" s="115"/>
      <c r="V235" s="117"/>
      <c r="W235" s="118"/>
      <c r="X235" s="119"/>
      <c r="Y235" s="115"/>
      <c r="Z235" s="118"/>
      <c r="AA235" s="118"/>
      <c r="AB235" s="118"/>
      <c r="AC235" s="118"/>
      <c r="AD235" s="120"/>
      <c r="AE235" s="115"/>
      <c r="AF235" s="121"/>
      <c r="AG235" s="115"/>
      <c r="AH235" s="119"/>
      <c r="AI235" s="115"/>
    </row>
    <row r="236">
      <c r="B236" s="115"/>
      <c r="C236" s="115"/>
      <c r="D236" s="115"/>
      <c r="E236" s="115"/>
      <c r="F236" s="115"/>
      <c r="G236" s="115"/>
      <c r="H236" s="115"/>
      <c r="I236" s="115"/>
      <c r="J236" s="115"/>
      <c r="K236" s="115"/>
      <c r="L236" s="115"/>
      <c r="M236" s="115"/>
      <c r="N236" s="115"/>
      <c r="O236" s="115"/>
      <c r="P236" s="115"/>
      <c r="Q236" s="115"/>
      <c r="R236" s="116"/>
      <c r="S236" s="115"/>
      <c r="T236" s="115"/>
      <c r="U236" s="115"/>
      <c r="V236" s="117"/>
      <c r="W236" s="118"/>
      <c r="X236" s="119"/>
      <c r="Y236" s="115"/>
      <c r="Z236" s="118"/>
      <c r="AA236" s="118"/>
      <c r="AB236" s="118"/>
      <c r="AC236" s="118"/>
      <c r="AD236" s="120"/>
      <c r="AE236" s="115"/>
      <c r="AF236" s="121"/>
      <c r="AG236" s="115"/>
      <c r="AH236" s="119"/>
      <c r="AI236" s="115"/>
    </row>
    <row r="238">
      <c r="R238" s="94"/>
      <c r="V238" s="95"/>
      <c r="W238" s="96"/>
      <c r="X238" s="55"/>
      <c r="Z238" s="96"/>
      <c r="AA238" s="96"/>
      <c r="AB238" s="96"/>
      <c r="AC238" s="96"/>
      <c r="AD238" s="97"/>
      <c r="AF238" s="98"/>
      <c r="AH238" s="55"/>
    </row>
    <row r="239">
      <c r="R239" s="94"/>
      <c r="V239" s="95"/>
      <c r="W239" s="96"/>
      <c r="X239" s="55"/>
      <c r="Z239" s="96"/>
      <c r="AA239" s="96"/>
      <c r="AB239" s="96"/>
      <c r="AC239" s="96"/>
      <c r="AD239" s="97"/>
      <c r="AF239" s="98"/>
      <c r="AH239" s="55"/>
    </row>
    <row r="240">
      <c r="R240" s="94"/>
      <c r="V240" s="95"/>
      <c r="W240" s="96"/>
      <c r="X240" s="55"/>
      <c r="Z240" s="96"/>
      <c r="AA240" s="96"/>
      <c r="AB240" s="96"/>
      <c r="AC240" s="96"/>
      <c r="AD240" s="97"/>
      <c r="AF240" s="98"/>
      <c r="AH240" s="55"/>
    </row>
    <row r="241">
      <c r="R241" s="94"/>
      <c r="V241" s="95"/>
      <c r="W241" s="96"/>
      <c r="X241" s="55"/>
      <c r="Z241" s="96"/>
      <c r="AA241" s="96"/>
      <c r="AB241" s="96"/>
      <c r="AC241" s="96"/>
      <c r="AD241" s="97"/>
      <c r="AF241" s="98"/>
      <c r="AH241" s="55"/>
    </row>
    <row r="242">
      <c r="R242" s="94"/>
      <c r="V242" s="95"/>
      <c r="W242" s="96"/>
      <c r="X242" s="55"/>
      <c r="Z242" s="96"/>
      <c r="AA242" s="96"/>
      <c r="AB242" s="96"/>
      <c r="AC242" s="96"/>
      <c r="AD242" s="97"/>
      <c r="AF242" s="98"/>
      <c r="AH242" s="55"/>
    </row>
    <row r="243">
      <c r="R243" s="94"/>
      <c r="V243" s="95"/>
      <c r="W243" s="96"/>
      <c r="X243" s="55"/>
      <c r="Z243" s="96"/>
      <c r="AA243" s="96"/>
      <c r="AB243" s="96"/>
      <c r="AC243" s="96"/>
      <c r="AD243" s="97"/>
      <c r="AF243" s="98"/>
      <c r="AH243" s="55"/>
    </row>
    <row r="244">
      <c r="R244" s="94"/>
      <c r="V244" s="95"/>
      <c r="W244" s="96"/>
      <c r="X244" s="55"/>
      <c r="Z244" s="96"/>
      <c r="AA244" s="96"/>
      <c r="AB244" s="96"/>
      <c r="AC244" s="96"/>
      <c r="AD244" s="97"/>
      <c r="AF244" s="98"/>
      <c r="AH244" s="55"/>
    </row>
    <row r="245">
      <c r="R245" s="94"/>
      <c r="V245" s="95"/>
      <c r="W245" s="96"/>
      <c r="X245" s="55"/>
      <c r="Z245" s="96"/>
      <c r="AA245" s="96"/>
      <c r="AB245" s="96"/>
      <c r="AC245" s="96"/>
      <c r="AD245" s="97"/>
      <c r="AF245" s="98"/>
      <c r="AH245" s="55"/>
    </row>
    <row r="246">
      <c r="R246" s="94"/>
      <c r="V246" s="95"/>
      <c r="W246" s="96"/>
      <c r="X246" s="55"/>
      <c r="Z246" s="96"/>
      <c r="AA246" s="96"/>
      <c r="AB246" s="96"/>
      <c r="AC246" s="96"/>
      <c r="AD246" s="97"/>
      <c r="AF246" s="98"/>
      <c r="AH246" s="55"/>
    </row>
    <row r="247">
      <c r="R247" s="94"/>
      <c r="V247" s="95"/>
      <c r="W247" s="96"/>
      <c r="X247" s="55"/>
      <c r="Z247" s="96"/>
      <c r="AA247" s="96"/>
      <c r="AB247" s="96"/>
      <c r="AC247" s="96"/>
      <c r="AD247" s="97"/>
      <c r="AF247" s="98"/>
      <c r="AH247" s="55"/>
    </row>
    <row r="248">
      <c r="R248" s="94"/>
      <c r="V248" s="95"/>
      <c r="W248" s="96"/>
      <c r="X248" s="55"/>
      <c r="Z248" s="96"/>
      <c r="AA248" s="96"/>
      <c r="AB248" s="96"/>
      <c r="AC248" s="96"/>
      <c r="AD248" s="97"/>
      <c r="AF248" s="98"/>
      <c r="AH248" s="55"/>
    </row>
    <row r="249">
      <c r="R249" s="94"/>
      <c r="V249" s="95"/>
      <c r="W249" s="96"/>
      <c r="X249" s="55"/>
      <c r="Z249" s="96"/>
      <c r="AA249" s="96"/>
      <c r="AB249" s="96"/>
      <c r="AC249" s="96"/>
      <c r="AD249" s="97"/>
      <c r="AF249" s="98"/>
      <c r="AH249" s="55"/>
    </row>
    <row r="250">
      <c r="R250" s="94"/>
      <c r="V250" s="95"/>
      <c r="W250" s="96"/>
      <c r="X250" s="55"/>
      <c r="Z250" s="96"/>
      <c r="AA250" s="96"/>
      <c r="AB250" s="96"/>
      <c r="AC250" s="96"/>
      <c r="AD250" s="97"/>
      <c r="AF250" s="98"/>
      <c r="AH250" s="55"/>
    </row>
    <row r="251">
      <c r="R251" s="94"/>
      <c r="V251" s="95"/>
      <c r="W251" s="96"/>
      <c r="X251" s="55"/>
      <c r="Z251" s="96"/>
      <c r="AA251" s="96"/>
      <c r="AB251" s="96"/>
      <c r="AC251" s="96"/>
      <c r="AD251" s="97"/>
      <c r="AF251" s="98"/>
      <c r="AH251" s="55"/>
    </row>
    <row r="252">
      <c r="R252" s="94"/>
      <c r="V252" s="95"/>
      <c r="W252" s="96"/>
      <c r="X252" s="55"/>
      <c r="Z252" s="96"/>
      <c r="AA252" s="96"/>
      <c r="AB252" s="96"/>
      <c r="AC252" s="96"/>
      <c r="AD252" s="97"/>
      <c r="AF252" s="98"/>
      <c r="AH252" s="55"/>
    </row>
    <row r="253">
      <c r="R253" s="94"/>
      <c r="V253" s="95"/>
      <c r="W253" s="96"/>
      <c r="X253" s="55"/>
      <c r="Z253" s="96"/>
      <c r="AA253" s="96"/>
      <c r="AB253" s="96"/>
      <c r="AC253" s="96"/>
      <c r="AD253" s="97"/>
      <c r="AF253" s="98"/>
      <c r="AH253" s="55"/>
    </row>
    <row r="254">
      <c r="R254" s="94"/>
      <c r="V254" s="95"/>
      <c r="W254" s="96"/>
      <c r="X254" s="55"/>
      <c r="Z254" s="96"/>
      <c r="AA254" s="96"/>
      <c r="AB254" s="96"/>
      <c r="AC254" s="96"/>
      <c r="AD254" s="97"/>
      <c r="AF254" s="98"/>
      <c r="AH254" s="55"/>
    </row>
    <row r="255">
      <c r="A255" s="122"/>
      <c r="R255" s="94"/>
      <c r="V255" s="95"/>
      <c r="W255" s="96"/>
      <c r="X255" s="55"/>
      <c r="Z255" s="96"/>
      <c r="AA255" s="96"/>
      <c r="AB255" s="96"/>
      <c r="AC255" s="96"/>
      <c r="AD255" s="97"/>
      <c r="AF255" s="98"/>
      <c r="AH255" s="55"/>
    </row>
    <row r="256">
      <c r="R256" s="94"/>
      <c r="V256" s="95"/>
      <c r="W256" s="96"/>
      <c r="X256" s="55"/>
      <c r="Z256" s="96"/>
      <c r="AA256" s="96"/>
      <c r="AB256" s="96"/>
      <c r="AC256" s="96"/>
      <c r="AD256" s="97"/>
      <c r="AF256" s="98"/>
      <c r="AH256" s="55"/>
    </row>
    <row r="257">
      <c r="R257" s="94"/>
      <c r="V257" s="95"/>
      <c r="W257" s="96"/>
      <c r="X257" s="55"/>
      <c r="Z257" s="96"/>
      <c r="AA257" s="96"/>
      <c r="AB257" s="96"/>
      <c r="AC257" s="96"/>
      <c r="AD257" s="97"/>
      <c r="AF257" s="98"/>
      <c r="AH257" s="55"/>
    </row>
    <row r="258">
      <c r="R258" s="94"/>
      <c r="V258" s="95"/>
      <c r="W258" s="96"/>
      <c r="X258" s="55"/>
      <c r="Z258" s="96"/>
      <c r="AA258" s="96"/>
      <c r="AB258" s="96"/>
      <c r="AC258" s="96"/>
      <c r="AD258" s="97"/>
      <c r="AF258" s="98"/>
      <c r="AH258" s="55"/>
    </row>
    <row r="259">
      <c r="R259" s="94"/>
      <c r="V259" s="95"/>
      <c r="W259" s="96"/>
      <c r="X259" s="55"/>
      <c r="Z259" s="96"/>
      <c r="AA259" s="96"/>
      <c r="AB259" s="96"/>
      <c r="AC259" s="96"/>
      <c r="AD259" s="97"/>
      <c r="AF259" s="98"/>
      <c r="AH259" s="55"/>
    </row>
    <row r="260">
      <c r="R260" s="94"/>
      <c r="V260" s="95"/>
      <c r="W260" s="96"/>
      <c r="X260" s="55"/>
      <c r="Z260" s="96"/>
      <c r="AA260" s="96"/>
      <c r="AB260" s="96"/>
      <c r="AC260" s="96"/>
      <c r="AD260" s="97"/>
      <c r="AF260" s="98"/>
      <c r="AH260" s="55"/>
    </row>
    <row r="261">
      <c r="R261" s="94"/>
      <c r="V261" s="95"/>
      <c r="W261" s="96"/>
      <c r="X261" s="55"/>
      <c r="Z261" s="96"/>
      <c r="AA261" s="96"/>
      <c r="AB261" s="96"/>
      <c r="AC261" s="96"/>
      <c r="AD261" s="97"/>
      <c r="AF261" s="98"/>
      <c r="AH261" s="55"/>
    </row>
    <row r="262">
      <c r="R262" s="94"/>
      <c r="V262" s="95"/>
      <c r="W262" s="96"/>
      <c r="X262" s="55"/>
      <c r="Z262" s="96"/>
      <c r="AA262" s="96"/>
      <c r="AB262" s="96"/>
      <c r="AC262" s="96"/>
      <c r="AD262" s="97"/>
      <c r="AF262" s="98"/>
      <c r="AH262" s="55"/>
    </row>
    <row r="263">
      <c r="R263" s="94"/>
      <c r="V263" s="95"/>
      <c r="W263" s="96"/>
      <c r="X263" s="55"/>
      <c r="Z263" s="96"/>
      <c r="AA263" s="96"/>
      <c r="AB263" s="96"/>
      <c r="AC263" s="96"/>
      <c r="AD263" s="97"/>
      <c r="AF263" s="98"/>
      <c r="AH263" s="55"/>
    </row>
    <row r="264">
      <c r="R264" s="94"/>
      <c r="V264" s="95"/>
      <c r="W264" s="96"/>
      <c r="X264" s="55"/>
      <c r="Z264" s="96"/>
      <c r="AA264" s="96"/>
      <c r="AB264" s="96"/>
      <c r="AC264" s="96"/>
      <c r="AD264" s="97"/>
      <c r="AF264" s="98"/>
      <c r="AH264" s="55"/>
    </row>
    <row r="265">
      <c r="R265" s="94"/>
      <c r="V265" s="95"/>
      <c r="W265" s="96"/>
      <c r="X265" s="55"/>
      <c r="Z265" s="96"/>
      <c r="AA265" s="96"/>
      <c r="AB265" s="96"/>
      <c r="AC265" s="96"/>
      <c r="AD265" s="97"/>
      <c r="AF265" s="98"/>
      <c r="AH265" s="55"/>
    </row>
    <row r="271">
      <c r="R271" s="94"/>
      <c r="V271" s="95"/>
      <c r="W271" s="96"/>
      <c r="X271" s="55"/>
      <c r="Z271" s="96"/>
      <c r="AA271" s="96"/>
      <c r="AB271" s="96"/>
      <c r="AC271" s="96"/>
      <c r="AD271" s="97"/>
      <c r="AF271" s="98"/>
      <c r="AH271" s="55"/>
    </row>
    <row r="272">
      <c r="R272" s="94"/>
      <c r="V272" s="95"/>
      <c r="W272" s="96"/>
      <c r="X272" s="55"/>
      <c r="Z272" s="96"/>
      <c r="AA272" s="96"/>
      <c r="AB272" s="96"/>
      <c r="AC272" s="96"/>
      <c r="AD272" s="97"/>
      <c r="AF272" s="98"/>
      <c r="AH272" s="55"/>
    </row>
    <row r="273">
      <c r="R273" s="94"/>
      <c r="V273" s="95"/>
      <c r="W273" s="96"/>
      <c r="X273" s="55"/>
      <c r="Z273" s="96"/>
      <c r="AA273" s="96"/>
      <c r="AB273" s="96"/>
      <c r="AC273" s="96"/>
      <c r="AD273" s="97"/>
      <c r="AF273" s="98"/>
      <c r="AH273" s="55"/>
    </row>
    <row r="274">
      <c r="R274" s="94"/>
      <c r="V274" s="95"/>
      <c r="W274" s="96"/>
      <c r="X274" s="55"/>
      <c r="Z274" s="96"/>
      <c r="AA274" s="96"/>
      <c r="AB274" s="96"/>
      <c r="AC274" s="96"/>
      <c r="AD274" s="97"/>
      <c r="AF274" s="98"/>
      <c r="AH274" s="55"/>
    </row>
    <row r="275">
      <c r="R275" s="94"/>
      <c r="V275" s="95"/>
      <c r="W275" s="96"/>
      <c r="X275" s="55"/>
      <c r="Z275" s="96"/>
      <c r="AA275" s="96"/>
      <c r="AB275" s="96"/>
      <c r="AC275" s="96"/>
      <c r="AD275" s="97"/>
      <c r="AF275" s="98"/>
      <c r="AH275" s="55"/>
    </row>
    <row r="276">
      <c r="R276" s="94"/>
      <c r="V276" s="95"/>
      <c r="W276" s="96"/>
      <c r="X276" s="55"/>
      <c r="Z276" s="96"/>
      <c r="AA276" s="96"/>
      <c r="AB276" s="96"/>
      <c r="AC276" s="96"/>
      <c r="AD276" s="97"/>
      <c r="AF276" s="98"/>
      <c r="AH276" s="55"/>
    </row>
    <row r="277">
      <c r="R277" s="94"/>
      <c r="V277" s="95"/>
      <c r="W277" s="96"/>
      <c r="X277" s="55"/>
      <c r="Z277" s="96"/>
      <c r="AA277" s="96"/>
      <c r="AB277" s="96"/>
      <c r="AC277" s="96"/>
      <c r="AD277" s="97"/>
      <c r="AF277" s="98"/>
      <c r="AH277" s="55"/>
    </row>
    <row r="278">
      <c r="R278" s="94"/>
      <c r="V278" s="95"/>
      <c r="W278" s="96"/>
      <c r="X278" s="55"/>
      <c r="Z278" s="96"/>
      <c r="AA278" s="96"/>
      <c r="AB278" s="96"/>
      <c r="AC278" s="96"/>
      <c r="AD278" s="97"/>
      <c r="AF278" s="98"/>
      <c r="AH278" s="55"/>
    </row>
    <row r="279">
      <c r="R279" s="94"/>
      <c r="V279" s="95"/>
      <c r="W279" s="96"/>
      <c r="X279" s="55"/>
      <c r="Z279" s="96"/>
      <c r="AA279" s="96"/>
      <c r="AB279" s="96"/>
      <c r="AC279" s="96"/>
      <c r="AD279" s="97"/>
      <c r="AF279" s="98"/>
      <c r="AH279" s="55"/>
    </row>
    <row r="280">
      <c r="R280" s="94"/>
      <c r="V280" s="95"/>
      <c r="W280" s="96"/>
      <c r="X280" s="55"/>
      <c r="Z280" s="96"/>
      <c r="AA280" s="96"/>
      <c r="AB280" s="96"/>
      <c r="AC280" s="96"/>
      <c r="AD280" s="97"/>
      <c r="AF280" s="98"/>
      <c r="AH280" s="55"/>
    </row>
    <row r="281">
      <c r="R281" s="94"/>
      <c r="V281" s="95"/>
      <c r="W281" s="96"/>
      <c r="X281" s="55"/>
      <c r="Z281" s="96"/>
      <c r="AA281" s="96"/>
      <c r="AB281" s="96"/>
      <c r="AC281" s="96"/>
      <c r="AD281" s="97"/>
      <c r="AF281" s="98"/>
      <c r="AH281" s="55"/>
    </row>
    <row r="282">
      <c r="R282" s="94"/>
      <c r="V282" s="95"/>
      <c r="W282" s="96"/>
      <c r="X282" s="55"/>
      <c r="Z282" s="96"/>
      <c r="AA282" s="96"/>
      <c r="AB282" s="96"/>
      <c r="AC282" s="96"/>
      <c r="AD282" s="97"/>
      <c r="AF282" s="98"/>
      <c r="AH282" s="55"/>
    </row>
    <row r="283">
      <c r="R283" s="94"/>
      <c r="V283" s="95"/>
      <c r="W283" s="96"/>
      <c r="X283" s="55"/>
      <c r="Z283" s="96"/>
      <c r="AA283" s="96"/>
      <c r="AB283" s="96"/>
      <c r="AC283" s="96"/>
      <c r="AD283" s="97"/>
      <c r="AF283" s="98"/>
      <c r="AH283" s="55"/>
    </row>
    <row r="284">
      <c r="R284" s="94"/>
      <c r="V284" s="95"/>
      <c r="W284" s="96"/>
      <c r="X284" s="55"/>
      <c r="Z284" s="96"/>
      <c r="AA284" s="96"/>
      <c r="AB284" s="96"/>
      <c r="AC284" s="96"/>
      <c r="AD284" s="97"/>
      <c r="AF284" s="98"/>
      <c r="AH284" s="55"/>
    </row>
    <row r="285">
      <c r="R285" s="94"/>
      <c r="V285" s="95"/>
      <c r="W285" s="96"/>
      <c r="X285" s="55"/>
      <c r="Z285" s="96"/>
      <c r="AA285" s="96"/>
      <c r="AB285" s="96"/>
      <c r="AC285" s="96"/>
      <c r="AD285" s="97"/>
      <c r="AF285" s="98"/>
      <c r="AH285" s="55"/>
    </row>
    <row r="286">
      <c r="R286" s="94"/>
      <c r="V286" s="95"/>
      <c r="W286" s="96"/>
      <c r="X286" s="55"/>
      <c r="Z286" s="96"/>
      <c r="AA286" s="96"/>
      <c r="AB286" s="96"/>
      <c r="AC286" s="96"/>
      <c r="AD286" s="97"/>
      <c r="AF286" s="98"/>
      <c r="AH286" s="55"/>
    </row>
    <row r="287">
      <c r="A287" s="123" t="s">
        <v>175</v>
      </c>
      <c r="B287" s="124"/>
      <c r="C287" s="124"/>
      <c r="D287" s="124"/>
      <c r="E287" s="124"/>
      <c r="F287" s="124"/>
      <c r="G287" s="124"/>
      <c r="H287" s="124"/>
      <c r="I287" s="124"/>
      <c r="J287" s="124"/>
      <c r="K287" s="124"/>
      <c r="L287" s="124"/>
      <c r="M287" s="124"/>
      <c r="N287" s="124"/>
      <c r="O287" s="124"/>
      <c r="P287" s="124"/>
      <c r="Q287" s="124"/>
      <c r="R287" s="125"/>
      <c r="S287" s="124"/>
      <c r="T287" s="124"/>
      <c r="U287" s="124"/>
      <c r="V287" s="126"/>
      <c r="W287" s="127"/>
      <c r="X287" s="128"/>
      <c r="Y287" s="124"/>
      <c r="Z287" s="127"/>
      <c r="AA287" s="127"/>
      <c r="AB287" s="127"/>
      <c r="AC287" s="127"/>
      <c r="AD287" s="129"/>
      <c r="AE287" s="124"/>
      <c r="AF287" s="130"/>
      <c r="AG287" s="124"/>
      <c r="AH287" s="128"/>
      <c r="AI287" s="124"/>
    </row>
    <row r="288">
      <c r="A288" s="123" t="s">
        <v>176</v>
      </c>
      <c r="B288" s="124"/>
      <c r="C288" s="124"/>
      <c r="D288" s="124"/>
      <c r="E288" s="124"/>
      <c r="F288" s="124"/>
      <c r="G288" s="124"/>
      <c r="H288" s="124"/>
      <c r="I288" s="124"/>
      <c r="J288" s="124"/>
      <c r="K288" s="124"/>
      <c r="L288" s="124"/>
      <c r="M288" s="124"/>
      <c r="N288" s="124"/>
      <c r="O288" s="124"/>
      <c r="P288" s="124"/>
      <c r="Q288" s="124"/>
      <c r="R288" s="125"/>
      <c r="S288" s="124"/>
      <c r="T288" s="124"/>
      <c r="U288" s="124"/>
      <c r="V288" s="126"/>
      <c r="W288" s="127"/>
      <c r="X288" s="128"/>
      <c r="Y288" s="124"/>
      <c r="Z288" s="127"/>
      <c r="AA288" s="127"/>
      <c r="AB288" s="127"/>
      <c r="AC288" s="127"/>
      <c r="AD288" s="129"/>
      <c r="AE288" s="124"/>
      <c r="AF288" s="130"/>
      <c r="AG288" s="124"/>
      <c r="AH288" s="128"/>
      <c r="AI288" s="124"/>
    </row>
    <row r="289">
      <c r="A289" s="123" t="s">
        <v>177</v>
      </c>
      <c r="B289" s="124"/>
      <c r="C289" s="124"/>
      <c r="D289" s="124"/>
      <c r="E289" s="124"/>
      <c r="F289" s="124"/>
      <c r="G289" s="124"/>
      <c r="H289" s="124"/>
      <c r="I289" s="124"/>
      <c r="J289" s="124"/>
      <c r="K289" s="124"/>
      <c r="L289" s="124"/>
      <c r="M289" s="124"/>
      <c r="N289" s="124"/>
      <c r="O289" s="124"/>
      <c r="P289" s="124"/>
      <c r="Q289" s="124"/>
      <c r="R289" s="125"/>
      <c r="S289" s="124"/>
      <c r="T289" s="124"/>
      <c r="U289" s="124"/>
      <c r="V289" s="126"/>
      <c r="W289" s="127"/>
      <c r="X289" s="128"/>
      <c r="Y289" s="124"/>
      <c r="Z289" s="127"/>
      <c r="AA289" s="127"/>
      <c r="AB289" s="127"/>
      <c r="AC289" s="127"/>
      <c r="AD289" s="129"/>
      <c r="AE289" s="124"/>
      <c r="AF289" s="130"/>
      <c r="AG289" s="124"/>
      <c r="AH289" s="128"/>
      <c r="AI289" s="124"/>
    </row>
    <row r="290">
      <c r="A290" s="123" t="s">
        <v>178</v>
      </c>
      <c r="B290" s="124"/>
      <c r="C290" s="124"/>
      <c r="D290" s="124"/>
      <c r="E290" s="124"/>
      <c r="F290" s="124"/>
      <c r="G290" s="124"/>
      <c r="H290" s="124"/>
      <c r="I290" s="124"/>
      <c r="J290" s="124"/>
      <c r="K290" s="124"/>
      <c r="L290" s="124"/>
      <c r="M290" s="124"/>
      <c r="N290" s="124"/>
      <c r="O290" s="124"/>
      <c r="P290" s="124"/>
      <c r="Q290" s="124"/>
      <c r="R290" s="125"/>
      <c r="S290" s="124"/>
      <c r="T290" s="124"/>
      <c r="U290" s="124"/>
      <c r="V290" s="126"/>
      <c r="W290" s="127"/>
      <c r="X290" s="128"/>
      <c r="Y290" s="124"/>
      <c r="Z290" s="127"/>
      <c r="AA290" s="127"/>
      <c r="AB290" s="127"/>
      <c r="AC290" s="127"/>
      <c r="AD290" s="129"/>
      <c r="AE290" s="124"/>
      <c r="AF290" s="130"/>
      <c r="AG290" s="124"/>
      <c r="AH290" s="128"/>
      <c r="AI290" s="124"/>
    </row>
    <row r="291">
      <c r="A291" s="123" t="s">
        <v>179</v>
      </c>
      <c r="B291" s="124"/>
      <c r="C291" s="124"/>
      <c r="D291" s="124"/>
      <c r="E291" s="124"/>
      <c r="F291" s="124"/>
      <c r="G291" s="124"/>
      <c r="H291" s="124"/>
      <c r="I291" s="124"/>
      <c r="J291" s="124"/>
      <c r="K291" s="124"/>
      <c r="L291" s="124"/>
      <c r="M291" s="124"/>
      <c r="N291" s="124"/>
      <c r="O291" s="124"/>
      <c r="P291" s="124"/>
      <c r="Q291" s="124"/>
      <c r="R291" s="125"/>
      <c r="S291" s="124"/>
      <c r="T291" s="124"/>
      <c r="U291" s="124"/>
      <c r="V291" s="126"/>
      <c r="W291" s="127"/>
      <c r="X291" s="128"/>
      <c r="Y291" s="124"/>
      <c r="Z291" s="127"/>
      <c r="AA291" s="127"/>
      <c r="AB291" s="127"/>
      <c r="AC291" s="127"/>
      <c r="AD291" s="129"/>
      <c r="AE291" s="124"/>
      <c r="AF291" s="130"/>
      <c r="AG291" s="124"/>
      <c r="AH291" s="128"/>
      <c r="AI291" s="124"/>
    </row>
    <row r="292">
      <c r="A292" s="123" t="s">
        <v>180</v>
      </c>
      <c r="B292" s="124"/>
      <c r="C292" s="124"/>
      <c r="D292" s="124"/>
      <c r="E292" s="124"/>
      <c r="F292" s="124"/>
      <c r="G292" s="124"/>
      <c r="H292" s="124"/>
      <c r="I292" s="124"/>
      <c r="J292" s="124"/>
      <c r="K292" s="124"/>
      <c r="L292" s="124"/>
      <c r="M292" s="124"/>
      <c r="N292" s="124"/>
      <c r="O292" s="124"/>
      <c r="P292" s="124"/>
      <c r="Q292" s="124"/>
      <c r="R292" s="125"/>
      <c r="S292" s="124"/>
      <c r="T292" s="124"/>
      <c r="U292" s="124"/>
      <c r="V292" s="126"/>
      <c r="W292" s="127"/>
      <c r="X292" s="128"/>
      <c r="Y292" s="124"/>
      <c r="Z292" s="127"/>
      <c r="AA292" s="127"/>
      <c r="AB292" s="127"/>
      <c r="AC292" s="127"/>
      <c r="AD292" s="129"/>
      <c r="AE292" s="124"/>
      <c r="AF292" s="130"/>
      <c r="AG292" s="124"/>
      <c r="AH292" s="128"/>
      <c r="AI292" s="124"/>
    </row>
    <row r="293">
      <c r="R293" s="94"/>
      <c r="V293" s="95"/>
      <c r="W293" s="96"/>
      <c r="X293" s="55"/>
      <c r="Z293" s="96"/>
      <c r="AA293" s="96"/>
      <c r="AB293" s="96"/>
      <c r="AC293" s="96"/>
      <c r="AD293" s="97"/>
      <c r="AF293" s="98"/>
      <c r="AH293" s="55"/>
    </row>
    <row r="294">
      <c r="R294" s="94"/>
      <c r="V294" s="95"/>
      <c r="W294" s="96"/>
      <c r="X294" s="55"/>
      <c r="Z294" s="96"/>
      <c r="AA294" s="96"/>
      <c r="AB294" s="96"/>
      <c r="AC294" s="96"/>
      <c r="AD294" s="97"/>
      <c r="AF294" s="98"/>
      <c r="AH294" s="55"/>
    </row>
    <row r="295">
      <c r="R295" s="94"/>
      <c r="V295" s="95"/>
      <c r="W295" s="96"/>
      <c r="X295" s="55"/>
      <c r="Z295" s="96"/>
      <c r="AA295" s="96"/>
      <c r="AB295" s="96"/>
      <c r="AC295" s="96"/>
      <c r="AD295" s="97"/>
      <c r="AF295" s="98"/>
      <c r="AH295" s="55"/>
    </row>
    <row r="296">
      <c r="R296" s="94"/>
      <c r="V296" s="95"/>
      <c r="W296" s="96"/>
      <c r="X296" s="55"/>
      <c r="Z296" s="96"/>
      <c r="AA296" s="96"/>
      <c r="AB296" s="96"/>
      <c r="AC296" s="96"/>
      <c r="AD296" s="97"/>
      <c r="AF296" s="98"/>
      <c r="AH296" s="55"/>
    </row>
    <row r="297">
      <c r="R297" s="94"/>
      <c r="V297" s="95"/>
      <c r="W297" s="96"/>
      <c r="X297" s="55"/>
      <c r="Z297" s="96"/>
      <c r="AA297" s="96"/>
      <c r="AB297" s="96"/>
      <c r="AC297" s="96"/>
      <c r="AD297" s="97"/>
      <c r="AF297" s="98"/>
      <c r="AH297" s="55"/>
    </row>
    <row r="298">
      <c r="R298" s="94"/>
      <c r="V298" s="95"/>
      <c r="W298" s="96"/>
      <c r="X298" s="55"/>
      <c r="Z298" s="96"/>
      <c r="AA298" s="96"/>
      <c r="AB298" s="96"/>
      <c r="AC298" s="96"/>
      <c r="AD298" s="97"/>
      <c r="AF298" s="98"/>
      <c r="AH298" s="55"/>
    </row>
    <row r="299">
      <c r="R299" s="94"/>
      <c r="V299" s="95"/>
      <c r="W299" s="96"/>
      <c r="X299" s="55"/>
      <c r="Z299" s="96"/>
      <c r="AA299" s="96"/>
      <c r="AB299" s="96"/>
      <c r="AC299" s="96"/>
      <c r="AD299" s="97"/>
      <c r="AF299" s="98"/>
      <c r="AH299" s="55"/>
    </row>
    <row r="300">
      <c r="R300" s="94"/>
      <c r="V300" s="95"/>
      <c r="W300" s="96"/>
      <c r="X300" s="55"/>
      <c r="Z300" s="96"/>
      <c r="AA300" s="96"/>
      <c r="AB300" s="96"/>
      <c r="AC300" s="96"/>
      <c r="AD300" s="97"/>
      <c r="AF300" s="98"/>
      <c r="AH300" s="55"/>
    </row>
    <row r="301">
      <c r="R301" s="94"/>
      <c r="V301" s="95"/>
      <c r="W301" s="96"/>
      <c r="X301" s="55"/>
      <c r="Z301" s="96"/>
      <c r="AA301" s="96"/>
      <c r="AB301" s="96"/>
      <c r="AC301" s="96"/>
      <c r="AD301" s="97"/>
      <c r="AF301" s="98"/>
      <c r="AH301" s="55"/>
    </row>
    <row r="302">
      <c r="R302" s="94"/>
      <c r="V302" s="95"/>
      <c r="W302" s="96"/>
      <c r="X302" s="55"/>
      <c r="Z302" s="96"/>
      <c r="AA302" s="96"/>
      <c r="AB302" s="96"/>
      <c r="AC302" s="96"/>
      <c r="AD302" s="97"/>
      <c r="AF302" s="98"/>
      <c r="AH302" s="55"/>
    </row>
    <row r="303">
      <c r="R303" s="94"/>
      <c r="V303" s="95"/>
      <c r="W303" s="96"/>
      <c r="X303" s="55"/>
      <c r="Z303" s="96"/>
      <c r="AA303" s="96"/>
      <c r="AB303" s="96"/>
      <c r="AC303" s="96"/>
      <c r="AD303" s="97"/>
      <c r="AF303" s="98"/>
      <c r="AH303" s="55"/>
    </row>
    <row r="304">
      <c r="R304" s="94"/>
      <c r="V304" s="95"/>
      <c r="W304" s="96"/>
      <c r="X304" s="55"/>
      <c r="Z304" s="96"/>
      <c r="AA304" s="96"/>
      <c r="AB304" s="96"/>
      <c r="AC304" s="96"/>
      <c r="AD304" s="97"/>
      <c r="AF304" s="98"/>
      <c r="AH304" s="55"/>
    </row>
    <row r="305">
      <c r="R305" s="94"/>
      <c r="V305" s="95"/>
      <c r="W305" s="96"/>
      <c r="X305" s="55"/>
      <c r="Z305" s="96"/>
      <c r="AA305" s="96"/>
      <c r="AB305" s="96"/>
      <c r="AC305" s="96"/>
      <c r="AD305" s="97"/>
      <c r="AF305" s="98"/>
      <c r="AH305" s="55"/>
    </row>
    <row r="306">
      <c r="R306" s="94"/>
      <c r="V306" s="95"/>
      <c r="W306" s="96"/>
      <c r="X306" s="55"/>
      <c r="Z306" s="96"/>
      <c r="AA306" s="96"/>
      <c r="AB306" s="96"/>
      <c r="AC306" s="96"/>
      <c r="AD306" s="97"/>
      <c r="AF306" s="98"/>
      <c r="AH306" s="55"/>
    </row>
    <row r="307">
      <c r="R307" s="94"/>
      <c r="V307" s="95"/>
      <c r="W307" s="96"/>
      <c r="X307" s="55"/>
      <c r="Z307" s="96"/>
      <c r="AA307" s="96"/>
      <c r="AB307" s="96"/>
      <c r="AC307" s="96"/>
      <c r="AD307" s="97"/>
      <c r="AF307" s="98"/>
      <c r="AH307" s="55"/>
    </row>
    <row r="308">
      <c r="R308" s="94"/>
      <c r="V308" s="95"/>
      <c r="W308" s="96"/>
      <c r="X308" s="55"/>
      <c r="Z308" s="96"/>
      <c r="AA308" s="96"/>
      <c r="AB308" s="96"/>
      <c r="AC308" s="96"/>
      <c r="AD308" s="97"/>
      <c r="AF308" s="98"/>
      <c r="AH308" s="55"/>
    </row>
    <row r="309">
      <c r="R309" s="94"/>
      <c r="V309" s="95"/>
      <c r="W309" s="96"/>
      <c r="X309" s="55"/>
      <c r="Z309" s="96"/>
      <c r="AA309" s="96"/>
      <c r="AB309" s="96"/>
      <c r="AC309" s="96"/>
      <c r="AD309" s="97"/>
      <c r="AF309" s="98"/>
      <c r="AH309" s="55"/>
    </row>
    <row r="310">
      <c r="R310" s="94"/>
      <c r="V310" s="95"/>
      <c r="W310" s="96"/>
      <c r="X310" s="55"/>
      <c r="Z310" s="96"/>
      <c r="AA310" s="96"/>
      <c r="AB310" s="96"/>
      <c r="AC310" s="96"/>
      <c r="AD310" s="97"/>
      <c r="AF310" s="98"/>
      <c r="AH310" s="55"/>
    </row>
    <row r="311">
      <c r="R311" s="94"/>
      <c r="V311" s="95"/>
      <c r="W311" s="96"/>
      <c r="X311" s="55"/>
      <c r="Z311" s="96"/>
      <c r="AA311" s="96"/>
      <c r="AB311" s="96"/>
      <c r="AC311" s="96"/>
      <c r="AD311" s="97"/>
      <c r="AF311" s="98"/>
      <c r="AH311" s="55"/>
    </row>
    <row r="312">
      <c r="R312" s="94"/>
      <c r="V312" s="95"/>
      <c r="W312" s="96"/>
      <c r="X312" s="55"/>
      <c r="Z312" s="96"/>
      <c r="AA312" s="96"/>
      <c r="AB312" s="96"/>
      <c r="AC312" s="96"/>
      <c r="AD312" s="97"/>
      <c r="AF312" s="98"/>
      <c r="AH312" s="55"/>
    </row>
    <row r="313">
      <c r="R313" s="94"/>
      <c r="V313" s="95"/>
      <c r="W313" s="96"/>
      <c r="X313" s="55"/>
      <c r="Z313" s="96"/>
      <c r="AA313" s="96"/>
      <c r="AB313" s="96"/>
      <c r="AC313" s="96"/>
      <c r="AD313" s="97"/>
      <c r="AF313" s="98"/>
      <c r="AH313" s="55"/>
    </row>
    <row r="314">
      <c r="R314" s="94"/>
      <c r="V314" s="95"/>
      <c r="W314" s="96"/>
      <c r="X314" s="55"/>
      <c r="Z314" s="96"/>
      <c r="AA314" s="96"/>
      <c r="AB314" s="96"/>
      <c r="AC314" s="96"/>
      <c r="AD314" s="97"/>
      <c r="AF314" s="98"/>
      <c r="AH314" s="55"/>
    </row>
    <row r="315">
      <c r="R315" s="94"/>
      <c r="V315" s="95"/>
      <c r="W315" s="96"/>
      <c r="X315" s="55"/>
      <c r="Z315" s="96"/>
      <c r="AA315" s="96"/>
      <c r="AB315" s="96"/>
      <c r="AC315" s="96"/>
      <c r="AD315" s="97"/>
      <c r="AF315" s="98"/>
      <c r="AH315" s="55"/>
    </row>
    <row r="316">
      <c r="R316" s="94"/>
      <c r="V316" s="95"/>
      <c r="W316" s="96"/>
      <c r="X316" s="55"/>
      <c r="Z316" s="96"/>
      <c r="AA316" s="96"/>
      <c r="AB316" s="96"/>
      <c r="AC316" s="96"/>
      <c r="AD316" s="97"/>
      <c r="AF316" s="98"/>
      <c r="AH316" s="55"/>
    </row>
    <row r="317">
      <c r="R317" s="94"/>
      <c r="V317" s="95"/>
      <c r="W317" s="96"/>
      <c r="X317" s="55"/>
      <c r="Z317" s="96"/>
      <c r="AA317" s="96"/>
      <c r="AB317" s="96"/>
      <c r="AC317" s="96"/>
      <c r="AD317" s="97"/>
      <c r="AF317" s="98"/>
      <c r="AH317" s="55"/>
    </row>
    <row r="318">
      <c r="R318" s="94"/>
      <c r="V318" s="95"/>
      <c r="W318" s="96"/>
      <c r="X318" s="55"/>
      <c r="Z318" s="96"/>
      <c r="AA318" s="96"/>
      <c r="AB318" s="96"/>
      <c r="AC318" s="96"/>
      <c r="AD318" s="97"/>
      <c r="AF318" s="98"/>
      <c r="AH318" s="55"/>
    </row>
    <row r="319">
      <c r="R319" s="94"/>
      <c r="V319" s="95"/>
      <c r="W319" s="96"/>
      <c r="X319" s="55"/>
      <c r="Z319" s="96"/>
      <c r="AA319" s="96"/>
      <c r="AB319" s="96"/>
      <c r="AC319" s="96"/>
      <c r="AD319" s="97"/>
      <c r="AF319" s="98"/>
      <c r="AH319" s="55"/>
    </row>
    <row r="320">
      <c r="R320" s="94"/>
      <c r="V320" s="95"/>
      <c r="W320" s="96"/>
      <c r="X320" s="55"/>
      <c r="Z320" s="96"/>
      <c r="AA320" s="96"/>
      <c r="AB320" s="96"/>
      <c r="AC320" s="96"/>
      <c r="AD320" s="97"/>
      <c r="AF320" s="98"/>
      <c r="AH320" s="55"/>
    </row>
    <row r="321">
      <c r="R321" s="94"/>
      <c r="V321" s="95"/>
      <c r="W321" s="96"/>
      <c r="X321" s="55"/>
      <c r="Z321" s="96"/>
      <c r="AA321" s="96"/>
      <c r="AB321" s="96"/>
      <c r="AC321" s="96"/>
      <c r="AD321" s="97"/>
      <c r="AF321" s="98"/>
      <c r="AH321" s="55"/>
    </row>
    <row r="322">
      <c r="R322" s="94"/>
      <c r="V322" s="95"/>
      <c r="W322" s="96"/>
      <c r="X322" s="55"/>
      <c r="Z322" s="96"/>
      <c r="AA322" s="96"/>
      <c r="AB322" s="96"/>
      <c r="AC322" s="96"/>
      <c r="AD322" s="97"/>
      <c r="AF322" s="98"/>
      <c r="AH322" s="55"/>
    </row>
    <row r="323">
      <c r="R323" s="94"/>
      <c r="V323" s="95"/>
      <c r="W323" s="96"/>
      <c r="X323" s="55"/>
      <c r="Z323" s="96"/>
      <c r="AA323" s="96"/>
      <c r="AB323" s="96"/>
      <c r="AC323" s="96"/>
      <c r="AD323" s="97"/>
      <c r="AF323" s="98"/>
      <c r="AH323" s="55"/>
    </row>
    <row r="324">
      <c r="R324" s="94"/>
      <c r="V324" s="95"/>
      <c r="W324" s="96"/>
      <c r="X324" s="55"/>
      <c r="Z324" s="96"/>
      <c r="AA324" s="96"/>
      <c r="AB324" s="96"/>
      <c r="AC324" s="96"/>
      <c r="AD324" s="97"/>
      <c r="AF324" s="98"/>
      <c r="AH324" s="55"/>
    </row>
    <row r="325">
      <c r="R325" s="94"/>
      <c r="V325" s="95"/>
      <c r="W325" s="96"/>
      <c r="X325" s="55"/>
      <c r="Z325" s="96"/>
      <c r="AA325" s="96"/>
      <c r="AB325" s="96"/>
      <c r="AC325" s="96"/>
      <c r="AD325" s="97"/>
      <c r="AF325" s="98"/>
      <c r="AH325" s="55"/>
    </row>
    <row r="326">
      <c r="R326" s="94"/>
      <c r="V326" s="95"/>
      <c r="W326" s="96"/>
      <c r="X326" s="55"/>
      <c r="Z326" s="96"/>
      <c r="AA326" s="96"/>
      <c r="AB326" s="96"/>
      <c r="AC326" s="96"/>
      <c r="AD326" s="97"/>
      <c r="AF326" s="98"/>
      <c r="AH326" s="55"/>
    </row>
    <row r="327">
      <c r="R327" s="94"/>
      <c r="V327" s="95"/>
      <c r="W327" s="96"/>
      <c r="X327" s="55"/>
      <c r="Z327" s="96"/>
      <c r="AA327" s="96"/>
      <c r="AB327" s="96"/>
      <c r="AC327" s="96"/>
      <c r="AD327" s="97"/>
      <c r="AF327" s="98"/>
      <c r="AH327" s="55"/>
    </row>
    <row r="328">
      <c r="R328" s="94"/>
      <c r="V328" s="95"/>
      <c r="W328" s="96"/>
      <c r="X328" s="55"/>
      <c r="Z328" s="96"/>
      <c r="AA328" s="96"/>
      <c r="AB328" s="96"/>
      <c r="AC328" s="96"/>
      <c r="AD328" s="97"/>
      <c r="AF328" s="98"/>
      <c r="AH328" s="55"/>
    </row>
    <row r="329">
      <c r="R329" s="94"/>
      <c r="V329" s="95"/>
      <c r="W329" s="96"/>
      <c r="X329" s="55"/>
      <c r="Z329" s="96"/>
      <c r="AA329" s="96"/>
      <c r="AB329" s="96"/>
      <c r="AC329" s="96"/>
      <c r="AD329" s="97"/>
      <c r="AF329" s="98"/>
      <c r="AH329" s="55"/>
    </row>
    <row r="330">
      <c r="R330" s="94"/>
      <c r="V330" s="95"/>
      <c r="W330" s="96"/>
      <c r="X330" s="55"/>
      <c r="Z330" s="96"/>
      <c r="AA330" s="96"/>
      <c r="AB330" s="96"/>
      <c r="AC330" s="96"/>
      <c r="AD330" s="97"/>
      <c r="AF330" s="98"/>
      <c r="AH330" s="55"/>
    </row>
    <row r="331">
      <c r="R331" s="94"/>
      <c r="V331" s="95"/>
      <c r="W331" s="96"/>
      <c r="X331" s="55"/>
      <c r="Z331" s="96"/>
      <c r="AA331" s="96"/>
      <c r="AB331" s="96"/>
      <c r="AC331" s="96"/>
      <c r="AD331" s="97"/>
      <c r="AF331" s="98"/>
      <c r="AH331" s="55"/>
    </row>
    <row r="332">
      <c r="R332" s="94"/>
      <c r="V332" s="95"/>
      <c r="W332" s="96"/>
      <c r="X332" s="55"/>
      <c r="Z332" s="96"/>
      <c r="AA332" s="96"/>
      <c r="AB332" s="96"/>
      <c r="AC332" s="96"/>
      <c r="AD332" s="97"/>
      <c r="AF332" s="98"/>
      <c r="AH332" s="55"/>
    </row>
    <row r="333">
      <c r="R333" s="94"/>
      <c r="V333" s="95"/>
      <c r="W333" s="96"/>
      <c r="X333" s="55"/>
      <c r="Z333" s="96"/>
      <c r="AA333" s="96"/>
      <c r="AB333" s="96"/>
      <c r="AC333" s="96"/>
      <c r="AD333" s="97"/>
      <c r="AF333" s="98"/>
      <c r="AH333" s="55"/>
    </row>
    <row r="334">
      <c r="R334" s="94"/>
      <c r="V334" s="95"/>
      <c r="W334" s="96"/>
      <c r="X334" s="55"/>
      <c r="Z334" s="96"/>
      <c r="AA334" s="96"/>
      <c r="AB334" s="96"/>
      <c r="AC334" s="96"/>
      <c r="AD334" s="97"/>
      <c r="AF334" s="98"/>
      <c r="AH334" s="55"/>
    </row>
    <row r="335">
      <c r="R335" s="94"/>
      <c r="V335" s="95"/>
      <c r="W335" s="96"/>
      <c r="X335" s="55"/>
      <c r="Z335" s="96"/>
      <c r="AA335" s="96"/>
      <c r="AB335" s="96"/>
      <c r="AC335" s="96"/>
      <c r="AD335" s="97"/>
      <c r="AF335" s="98"/>
      <c r="AH335" s="55"/>
    </row>
    <row r="336">
      <c r="R336" s="94"/>
      <c r="V336" s="95"/>
      <c r="W336" s="96"/>
      <c r="X336" s="55"/>
      <c r="Z336" s="96"/>
      <c r="AA336" s="96"/>
      <c r="AB336" s="96"/>
      <c r="AC336" s="96"/>
      <c r="AD336" s="97"/>
      <c r="AF336" s="98"/>
      <c r="AH336" s="55"/>
    </row>
    <row r="337">
      <c r="R337" s="94"/>
      <c r="V337" s="95"/>
      <c r="W337" s="96"/>
      <c r="X337" s="55"/>
      <c r="Z337" s="96"/>
      <c r="AA337" s="96"/>
      <c r="AB337" s="96"/>
      <c r="AC337" s="96"/>
      <c r="AD337" s="97"/>
      <c r="AF337" s="98"/>
      <c r="AH337" s="55"/>
    </row>
    <row r="338">
      <c r="R338" s="94"/>
      <c r="V338" s="95"/>
      <c r="W338" s="96"/>
      <c r="X338" s="55"/>
      <c r="Z338" s="96"/>
      <c r="AA338" s="96"/>
      <c r="AB338" s="96"/>
      <c r="AC338" s="96"/>
      <c r="AD338" s="97"/>
      <c r="AF338" s="98"/>
      <c r="AH338" s="55"/>
    </row>
    <row r="339">
      <c r="R339" s="94"/>
      <c r="V339" s="95"/>
      <c r="W339" s="96"/>
      <c r="X339" s="55"/>
      <c r="Z339" s="96"/>
      <c r="AA339" s="96"/>
      <c r="AB339" s="96"/>
      <c r="AC339" s="96"/>
      <c r="AD339" s="97"/>
      <c r="AF339" s="98"/>
      <c r="AH339" s="55"/>
    </row>
    <row r="340">
      <c r="R340" s="94"/>
      <c r="V340" s="95"/>
      <c r="W340" s="96"/>
      <c r="X340" s="55"/>
      <c r="Z340" s="96"/>
      <c r="AA340" s="96"/>
      <c r="AB340" s="96"/>
      <c r="AC340" s="96"/>
      <c r="AD340" s="97"/>
      <c r="AF340" s="98"/>
      <c r="AH340" s="55"/>
    </row>
    <row r="341">
      <c r="R341" s="94"/>
      <c r="V341" s="95"/>
      <c r="W341" s="96"/>
      <c r="X341" s="55"/>
      <c r="Z341" s="96"/>
      <c r="AA341" s="96"/>
      <c r="AB341" s="96"/>
      <c r="AC341" s="96"/>
      <c r="AD341" s="97"/>
      <c r="AF341" s="98"/>
      <c r="AH341" s="55"/>
    </row>
    <row r="342">
      <c r="R342" s="94"/>
      <c r="V342" s="95"/>
      <c r="W342" s="96"/>
      <c r="X342" s="55"/>
      <c r="Z342" s="96"/>
      <c r="AA342" s="96"/>
      <c r="AB342" s="96"/>
      <c r="AC342" s="96"/>
      <c r="AD342" s="97"/>
      <c r="AF342" s="98"/>
      <c r="AH342" s="55"/>
    </row>
    <row r="343">
      <c r="R343" s="94"/>
      <c r="V343" s="95"/>
      <c r="W343" s="96"/>
      <c r="X343" s="55"/>
      <c r="Z343" s="96"/>
      <c r="AA343" s="96"/>
      <c r="AB343" s="96"/>
      <c r="AC343" s="96"/>
      <c r="AD343" s="97"/>
      <c r="AF343" s="98"/>
      <c r="AH343" s="55"/>
    </row>
    <row r="344">
      <c r="R344" s="94"/>
      <c r="V344" s="95"/>
      <c r="W344" s="96"/>
      <c r="X344" s="55"/>
      <c r="Z344" s="96"/>
      <c r="AA344" s="96"/>
      <c r="AB344" s="96"/>
      <c r="AC344" s="96"/>
      <c r="AD344" s="97"/>
      <c r="AF344" s="98"/>
      <c r="AH344" s="55"/>
    </row>
    <row r="345">
      <c r="R345" s="94"/>
      <c r="V345" s="95"/>
      <c r="W345" s="96"/>
      <c r="X345" s="55"/>
      <c r="Z345" s="96"/>
      <c r="AA345" s="96"/>
      <c r="AB345" s="96"/>
      <c r="AC345" s="96"/>
      <c r="AD345" s="97"/>
      <c r="AF345" s="98"/>
      <c r="AH345" s="55"/>
    </row>
    <row r="346">
      <c r="R346" s="94"/>
      <c r="V346" s="95"/>
      <c r="W346" s="96"/>
      <c r="X346" s="55"/>
      <c r="Z346" s="96"/>
      <c r="AA346" s="96"/>
      <c r="AB346" s="96"/>
      <c r="AC346" s="96"/>
      <c r="AD346" s="97"/>
      <c r="AF346" s="98"/>
      <c r="AH346" s="55"/>
    </row>
    <row r="347">
      <c r="R347" s="94"/>
      <c r="V347" s="95"/>
      <c r="W347" s="96"/>
      <c r="X347" s="55"/>
      <c r="Z347" s="96"/>
      <c r="AA347" s="96"/>
      <c r="AB347" s="96"/>
      <c r="AC347" s="96"/>
      <c r="AD347" s="97"/>
      <c r="AF347" s="98"/>
      <c r="AH347" s="55"/>
    </row>
    <row r="348">
      <c r="R348" s="94"/>
      <c r="V348" s="95"/>
      <c r="W348" s="96"/>
      <c r="X348" s="55"/>
      <c r="Z348" s="96"/>
      <c r="AA348" s="96"/>
      <c r="AB348" s="96"/>
      <c r="AC348" s="96"/>
      <c r="AD348" s="97"/>
      <c r="AF348" s="98"/>
      <c r="AH348" s="55"/>
    </row>
    <row r="349">
      <c r="R349" s="94"/>
      <c r="V349" s="95"/>
      <c r="W349" s="96"/>
      <c r="X349" s="55"/>
      <c r="Z349" s="96"/>
      <c r="AA349" s="96"/>
      <c r="AB349" s="96"/>
      <c r="AC349" s="96"/>
      <c r="AD349" s="97"/>
      <c r="AF349" s="98"/>
      <c r="AH349" s="55"/>
    </row>
    <row r="350">
      <c r="R350" s="94"/>
      <c r="V350" s="95"/>
      <c r="W350" s="96"/>
      <c r="X350" s="55"/>
      <c r="Z350" s="96"/>
      <c r="AA350" s="96"/>
      <c r="AB350" s="96"/>
      <c r="AC350" s="96"/>
      <c r="AD350" s="97"/>
      <c r="AF350" s="98"/>
      <c r="AH350" s="55"/>
    </row>
    <row r="351">
      <c r="R351" s="94"/>
      <c r="V351" s="95"/>
      <c r="W351" s="96"/>
      <c r="X351" s="55"/>
      <c r="Z351" s="96"/>
      <c r="AA351" s="96"/>
      <c r="AB351" s="96"/>
      <c r="AC351" s="96"/>
      <c r="AD351" s="97"/>
      <c r="AF351" s="98"/>
      <c r="AH351" s="55"/>
    </row>
    <row r="352">
      <c r="R352" s="94"/>
      <c r="V352" s="95"/>
      <c r="W352" s="96"/>
      <c r="X352" s="55"/>
      <c r="Z352" s="96"/>
      <c r="AA352" s="96"/>
      <c r="AB352" s="96"/>
      <c r="AC352" s="96"/>
      <c r="AD352" s="97"/>
      <c r="AF352" s="98"/>
      <c r="AH352" s="55"/>
    </row>
    <row r="353">
      <c r="R353" s="94"/>
      <c r="V353" s="95"/>
      <c r="W353" s="96"/>
      <c r="X353" s="55"/>
      <c r="Z353" s="96"/>
      <c r="AA353" s="96"/>
      <c r="AB353" s="96"/>
      <c r="AC353" s="96"/>
      <c r="AD353" s="97"/>
      <c r="AF353" s="98"/>
      <c r="AH353" s="55"/>
    </row>
    <row r="354">
      <c r="R354" s="94"/>
      <c r="V354" s="95"/>
      <c r="W354" s="96"/>
      <c r="X354" s="55"/>
      <c r="Z354" s="96"/>
      <c r="AA354" s="96"/>
      <c r="AB354" s="96"/>
      <c r="AC354" s="96"/>
      <c r="AD354" s="97"/>
      <c r="AF354" s="98"/>
      <c r="AH354" s="55"/>
    </row>
    <row r="355">
      <c r="R355" s="94"/>
      <c r="V355" s="95"/>
      <c r="W355" s="96"/>
      <c r="X355" s="55"/>
      <c r="Z355" s="96"/>
      <c r="AA355" s="96"/>
      <c r="AB355" s="96"/>
      <c r="AC355" s="96"/>
      <c r="AD355" s="97"/>
      <c r="AF355" s="98"/>
      <c r="AH355" s="55"/>
    </row>
    <row r="356">
      <c r="R356" s="94"/>
      <c r="V356" s="95"/>
      <c r="W356" s="96"/>
      <c r="X356" s="55"/>
      <c r="Z356" s="96"/>
      <c r="AA356" s="96"/>
      <c r="AB356" s="96"/>
      <c r="AC356" s="96"/>
      <c r="AD356" s="97"/>
      <c r="AF356" s="98"/>
      <c r="AH356" s="55"/>
    </row>
    <row r="357">
      <c r="R357" s="94"/>
      <c r="V357" s="95"/>
      <c r="W357" s="96"/>
      <c r="X357" s="55"/>
      <c r="Z357" s="96"/>
      <c r="AA357" s="96"/>
      <c r="AB357" s="96"/>
      <c r="AC357" s="96"/>
      <c r="AD357" s="97"/>
      <c r="AF357" s="98"/>
      <c r="AH357" s="55"/>
    </row>
    <row r="358">
      <c r="R358" s="94"/>
      <c r="V358" s="95"/>
      <c r="W358" s="96"/>
      <c r="X358" s="55"/>
      <c r="Z358" s="96"/>
      <c r="AA358" s="96"/>
      <c r="AB358" s="96"/>
      <c r="AC358" s="96"/>
      <c r="AD358" s="97"/>
      <c r="AF358" s="98"/>
      <c r="AH358" s="55"/>
    </row>
    <row r="359">
      <c r="R359" s="94"/>
      <c r="V359" s="95"/>
      <c r="W359" s="96"/>
      <c r="X359" s="55"/>
      <c r="Z359" s="96"/>
      <c r="AA359" s="96"/>
      <c r="AB359" s="96"/>
      <c r="AC359" s="96"/>
      <c r="AD359" s="97"/>
      <c r="AF359" s="98"/>
      <c r="AH359" s="55"/>
    </row>
    <row r="360">
      <c r="R360" s="94"/>
      <c r="V360" s="95"/>
      <c r="W360" s="96"/>
      <c r="X360" s="55"/>
      <c r="Z360" s="96"/>
      <c r="AA360" s="96"/>
      <c r="AB360" s="96"/>
      <c r="AC360" s="96"/>
      <c r="AD360" s="97"/>
      <c r="AF360" s="98"/>
      <c r="AH360" s="55"/>
    </row>
    <row r="361">
      <c r="R361" s="94"/>
      <c r="V361" s="95"/>
      <c r="W361" s="96"/>
      <c r="X361" s="55"/>
      <c r="Z361" s="96"/>
      <c r="AA361" s="96"/>
      <c r="AB361" s="96"/>
      <c r="AC361" s="96"/>
      <c r="AD361" s="97"/>
      <c r="AF361" s="98"/>
      <c r="AH361" s="55"/>
    </row>
    <row r="362">
      <c r="R362" s="94"/>
      <c r="V362" s="95"/>
      <c r="W362" s="96"/>
      <c r="X362" s="55"/>
      <c r="Z362" s="96"/>
      <c r="AA362" s="96"/>
      <c r="AB362" s="96"/>
      <c r="AC362" s="96"/>
      <c r="AD362" s="97"/>
      <c r="AF362" s="98"/>
      <c r="AH362" s="55"/>
    </row>
    <row r="363">
      <c r="R363" s="94"/>
      <c r="V363" s="95"/>
      <c r="W363" s="96"/>
      <c r="X363" s="55"/>
      <c r="Z363" s="96"/>
      <c r="AA363" s="96"/>
      <c r="AB363" s="96"/>
      <c r="AC363" s="96"/>
      <c r="AD363" s="97"/>
      <c r="AF363" s="98"/>
      <c r="AH363" s="55"/>
    </row>
    <row r="364">
      <c r="R364" s="94"/>
      <c r="V364" s="95"/>
      <c r="W364" s="96"/>
      <c r="X364" s="55"/>
      <c r="Z364" s="96"/>
      <c r="AA364" s="96"/>
      <c r="AB364" s="96"/>
      <c r="AC364" s="96"/>
      <c r="AD364" s="97"/>
      <c r="AF364" s="98"/>
      <c r="AH364" s="55"/>
    </row>
    <row r="365">
      <c r="R365" s="94"/>
      <c r="V365" s="95"/>
      <c r="W365" s="96"/>
      <c r="X365" s="55"/>
      <c r="Z365" s="96"/>
      <c r="AA365" s="96"/>
      <c r="AB365" s="96"/>
      <c r="AC365" s="96"/>
      <c r="AD365" s="97"/>
      <c r="AF365" s="98"/>
      <c r="AH365" s="55"/>
    </row>
    <row r="366">
      <c r="R366" s="94"/>
      <c r="V366" s="95"/>
      <c r="W366" s="96"/>
      <c r="X366" s="55"/>
      <c r="Z366" s="96"/>
      <c r="AA366" s="96"/>
      <c r="AB366" s="96"/>
      <c r="AC366" s="96"/>
      <c r="AD366" s="97"/>
      <c r="AF366" s="98"/>
      <c r="AH366" s="55"/>
    </row>
    <row r="367">
      <c r="R367" s="94"/>
      <c r="V367" s="95"/>
      <c r="W367" s="96"/>
      <c r="X367" s="55"/>
      <c r="Z367" s="96"/>
      <c r="AA367" s="96"/>
      <c r="AB367" s="96"/>
      <c r="AC367" s="96"/>
      <c r="AD367" s="97"/>
      <c r="AF367" s="98"/>
      <c r="AH367" s="55"/>
    </row>
    <row r="368">
      <c r="R368" s="94"/>
      <c r="V368" s="95"/>
      <c r="W368" s="96"/>
      <c r="X368" s="55"/>
      <c r="Z368" s="96"/>
      <c r="AA368" s="96"/>
      <c r="AB368" s="96"/>
      <c r="AC368" s="96"/>
      <c r="AD368" s="97"/>
      <c r="AF368" s="98"/>
      <c r="AH368" s="55"/>
    </row>
    <row r="369">
      <c r="R369" s="94"/>
      <c r="V369" s="95"/>
      <c r="W369" s="96"/>
      <c r="X369" s="55"/>
      <c r="Z369" s="96"/>
      <c r="AA369" s="96"/>
      <c r="AB369" s="96"/>
      <c r="AC369" s="96"/>
      <c r="AD369" s="97"/>
      <c r="AF369" s="98"/>
      <c r="AH369" s="55"/>
    </row>
    <row r="370">
      <c r="R370" s="94"/>
      <c r="V370" s="95"/>
      <c r="W370" s="96"/>
      <c r="X370" s="55"/>
      <c r="Z370" s="96"/>
      <c r="AA370" s="96"/>
      <c r="AB370" s="96"/>
      <c r="AC370" s="96"/>
      <c r="AD370" s="97"/>
      <c r="AF370" s="98"/>
      <c r="AH370" s="55"/>
    </row>
    <row r="371">
      <c r="R371" s="94"/>
      <c r="V371" s="95"/>
      <c r="W371" s="96"/>
      <c r="X371" s="55"/>
      <c r="Z371" s="96"/>
      <c r="AA371" s="96"/>
      <c r="AB371" s="96"/>
      <c r="AC371" s="96"/>
      <c r="AD371" s="97"/>
      <c r="AF371" s="98"/>
      <c r="AH371" s="55"/>
    </row>
    <row r="372">
      <c r="R372" s="94"/>
      <c r="V372" s="95"/>
      <c r="W372" s="96"/>
      <c r="X372" s="55"/>
      <c r="Z372" s="96"/>
      <c r="AA372" s="96"/>
      <c r="AB372" s="96"/>
      <c r="AC372" s="96"/>
      <c r="AD372" s="97"/>
      <c r="AF372" s="98"/>
      <c r="AH372" s="55"/>
    </row>
    <row r="373">
      <c r="R373" s="94"/>
      <c r="V373" s="95"/>
      <c r="W373" s="96"/>
      <c r="X373" s="55"/>
      <c r="Z373" s="96"/>
      <c r="AA373" s="96"/>
      <c r="AB373" s="96"/>
      <c r="AC373" s="96"/>
      <c r="AD373" s="97"/>
      <c r="AF373" s="98"/>
      <c r="AH373" s="55"/>
    </row>
    <row r="374">
      <c r="R374" s="94"/>
      <c r="V374" s="95"/>
      <c r="W374" s="96"/>
      <c r="X374" s="55"/>
      <c r="Z374" s="96"/>
      <c r="AA374" s="96"/>
      <c r="AB374" s="96"/>
      <c r="AC374" s="96"/>
      <c r="AD374" s="97"/>
      <c r="AF374" s="98"/>
      <c r="AH374" s="55"/>
    </row>
    <row r="375">
      <c r="R375" s="94"/>
      <c r="V375" s="95"/>
      <c r="W375" s="96"/>
      <c r="X375" s="55"/>
      <c r="Z375" s="96"/>
      <c r="AA375" s="96"/>
      <c r="AB375" s="96"/>
      <c r="AC375" s="96"/>
      <c r="AD375" s="97"/>
      <c r="AF375" s="98"/>
      <c r="AH375" s="55"/>
    </row>
    <row r="376">
      <c r="R376" s="94"/>
      <c r="V376" s="95"/>
      <c r="W376" s="96"/>
      <c r="X376" s="55"/>
      <c r="Z376" s="96"/>
      <c r="AA376" s="96"/>
      <c r="AB376" s="96"/>
      <c r="AC376" s="96"/>
      <c r="AD376" s="97"/>
      <c r="AF376" s="98"/>
      <c r="AH376" s="55"/>
    </row>
    <row r="377">
      <c r="R377" s="94"/>
      <c r="V377" s="95"/>
      <c r="W377" s="96"/>
      <c r="X377" s="55"/>
      <c r="Z377" s="96"/>
      <c r="AA377" s="96"/>
      <c r="AB377" s="96"/>
      <c r="AC377" s="96"/>
      <c r="AD377" s="97"/>
      <c r="AF377" s="98"/>
      <c r="AH377" s="55"/>
    </row>
    <row r="378">
      <c r="R378" s="94"/>
      <c r="V378" s="95"/>
      <c r="W378" s="96"/>
      <c r="X378" s="55"/>
      <c r="Z378" s="96"/>
      <c r="AA378" s="96"/>
      <c r="AB378" s="96"/>
      <c r="AC378" s="96"/>
      <c r="AD378" s="97"/>
      <c r="AF378" s="98"/>
      <c r="AH378" s="55"/>
    </row>
    <row r="379">
      <c r="R379" s="94"/>
      <c r="V379" s="95"/>
      <c r="W379" s="96"/>
      <c r="X379" s="55"/>
      <c r="Z379" s="96"/>
      <c r="AA379" s="96"/>
      <c r="AB379" s="96"/>
      <c r="AC379" s="96"/>
      <c r="AD379" s="97"/>
      <c r="AF379" s="98"/>
      <c r="AH379" s="55"/>
    </row>
    <row r="380">
      <c r="R380" s="94"/>
      <c r="V380" s="95"/>
      <c r="W380" s="96"/>
      <c r="X380" s="55"/>
      <c r="Z380" s="96"/>
      <c r="AA380" s="96"/>
      <c r="AB380" s="96"/>
      <c r="AC380" s="96"/>
      <c r="AD380" s="97"/>
      <c r="AF380" s="98"/>
      <c r="AH380" s="55"/>
    </row>
    <row r="381">
      <c r="R381" s="94"/>
      <c r="V381" s="95"/>
      <c r="W381" s="96"/>
      <c r="X381" s="55"/>
      <c r="Z381" s="96"/>
      <c r="AA381" s="96"/>
      <c r="AB381" s="96"/>
      <c r="AC381" s="96"/>
      <c r="AD381" s="97"/>
      <c r="AF381" s="98"/>
      <c r="AH381" s="55"/>
    </row>
    <row r="382">
      <c r="R382" s="94"/>
      <c r="V382" s="95"/>
      <c r="W382" s="96"/>
      <c r="X382" s="55"/>
      <c r="Z382" s="96"/>
      <c r="AA382" s="96"/>
      <c r="AB382" s="96"/>
      <c r="AC382" s="96"/>
      <c r="AD382" s="97"/>
      <c r="AF382" s="98"/>
      <c r="AH382" s="55"/>
    </row>
    <row r="383">
      <c r="R383" s="94"/>
      <c r="V383" s="95"/>
      <c r="W383" s="96"/>
      <c r="X383" s="55"/>
      <c r="Z383" s="96"/>
      <c r="AA383" s="96"/>
      <c r="AB383" s="96"/>
      <c r="AC383" s="96"/>
      <c r="AD383" s="97"/>
      <c r="AF383" s="98"/>
      <c r="AH383" s="55"/>
    </row>
    <row r="384">
      <c r="R384" s="94"/>
      <c r="V384" s="95"/>
      <c r="W384" s="96"/>
      <c r="X384" s="55"/>
      <c r="Z384" s="96"/>
      <c r="AA384" s="96"/>
      <c r="AB384" s="96"/>
      <c r="AC384" s="96"/>
      <c r="AD384" s="97"/>
      <c r="AF384" s="98"/>
      <c r="AH384" s="55"/>
    </row>
    <row r="385">
      <c r="R385" s="94"/>
      <c r="V385" s="95"/>
      <c r="W385" s="96"/>
      <c r="X385" s="55"/>
      <c r="Z385" s="96"/>
      <c r="AA385" s="96"/>
      <c r="AB385" s="96"/>
      <c r="AC385" s="96"/>
      <c r="AD385" s="97"/>
      <c r="AF385" s="98"/>
      <c r="AH385" s="55"/>
    </row>
    <row r="386">
      <c r="R386" s="94"/>
      <c r="V386" s="95"/>
      <c r="W386" s="96"/>
      <c r="X386" s="55"/>
      <c r="Z386" s="96"/>
      <c r="AA386" s="96"/>
      <c r="AB386" s="96"/>
      <c r="AC386" s="96"/>
      <c r="AD386" s="97"/>
      <c r="AF386" s="98"/>
      <c r="AH386" s="55"/>
    </row>
    <row r="387">
      <c r="R387" s="94"/>
      <c r="V387" s="95"/>
      <c r="W387" s="96"/>
      <c r="X387" s="55"/>
      <c r="Z387" s="96"/>
      <c r="AA387" s="96"/>
      <c r="AB387" s="96"/>
      <c r="AC387" s="96"/>
      <c r="AD387" s="97"/>
      <c r="AF387" s="98"/>
      <c r="AH387" s="55"/>
    </row>
    <row r="388">
      <c r="R388" s="94"/>
      <c r="V388" s="95"/>
      <c r="W388" s="96"/>
      <c r="X388" s="55"/>
      <c r="Z388" s="96"/>
      <c r="AA388" s="96"/>
      <c r="AB388" s="96"/>
      <c r="AC388" s="96"/>
      <c r="AD388" s="97"/>
      <c r="AF388" s="98"/>
      <c r="AH388" s="55"/>
    </row>
    <row r="389">
      <c r="R389" s="94"/>
      <c r="V389" s="95"/>
      <c r="W389" s="96"/>
      <c r="X389" s="55"/>
      <c r="Z389" s="96"/>
      <c r="AA389" s="96"/>
      <c r="AB389" s="96"/>
      <c r="AC389" s="96"/>
      <c r="AD389" s="97"/>
      <c r="AF389" s="98"/>
      <c r="AH389" s="55"/>
    </row>
    <row r="390">
      <c r="R390" s="94"/>
      <c r="V390" s="95"/>
      <c r="W390" s="96"/>
      <c r="X390" s="55"/>
      <c r="Z390" s="96"/>
      <c r="AA390" s="96"/>
      <c r="AB390" s="96"/>
      <c r="AC390" s="96"/>
      <c r="AD390" s="97"/>
      <c r="AF390" s="98"/>
      <c r="AH390" s="55"/>
    </row>
    <row r="391">
      <c r="R391" s="94"/>
      <c r="V391" s="95"/>
      <c r="W391" s="96"/>
      <c r="X391" s="55"/>
      <c r="Z391" s="96"/>
      <c r="AA391" s="96"/>
      <c r="AB391" s="96"/>
      <c r="AC391" s="96"/>
      <c r="AD391" s="97"/>
      <c r="AF391" s="98"/>
      <c r="AH391" s="55"/>
    </row>
    <row r="392">
      <c r="R392" s="94"/>
      <c r="V392" s="95"/>
      <c r="W392" s="96"/>
      <c r="X392" s="55"/>
      <c r="Z392" s="96"/>
      <c r="AA392" s="96"/>
      <c r="AB392" s="96"/>
      <c r="AC392" s="96"/>
      <c r="AD392" s="97"/>
      <c r="AF392" s="98"/>
      <c r="AH392" s="55"/>
    </row>
    <row r="393">
      <c r="R393" s="94"/>
      <c r="V393" s="95"/>
      <c r="W393" s="96"/>
      <c r="X393" s="55"/>
      <c r="Z393" s="96"/>
      <c r="AA393" s="96"/>
      <c r="AB393" s="96"/>
      <c r="AC393" s="96"/>
      <c r="AD393" s="97"/>
      <c r="AF393" s="98"/>
      <c r="AH393" s="55"/>
    </row>
    <row r="394">
      <c r="R394" s="94"/>
      <c r="V394" s="95"/>
      <c r="W394" s="96"/>
      <c r="X394" s="55"/>
      <c r="Z394" s="96"/>
      <c r="AA394" s="96"/>
      <c r="AB394" s="96"/>
      <c r="AC394" s="96"/>
      <c r="AD394" s="97"/>
      <c r="AF394" s="98"/>
      <c r="AH394" s="55"/>
    </row>
    <row r="395">
      <c r="R395" s="94"/>
      <c r="V395" s="95"/>
      <c r="W395" s="96"/>
      <c r="X395" s="55"/>
      <c r="Z395" s="96"/>
      <c r="AA395" s="96"/>
      <c r="AB395" s="96"/>
      <c r="AC395" s="96"/>
      <c r="AD395" s="97"/>
      <c r="AF395" s="98"/>
      <c r="AH395" s="55"/>
    </row>
    <row r="396">
      <c r="R396" s="94"/>
      <c r="V396" s="95"/>
      <c r="W396" s="96"/>
      <c r="X396" s="55"/>
      <c r="Z396" s="96"/>
      <c r="AA396" s="96"/>
      <c r="AB396" s="96"/>
      <c r="AC396" s="96"/>
      <c r="AD396" s="97"/>
      <c r="AF396" s="98"/>
      <c r="AH396" s="55"/>
    </row>
    <row r="397">
      <c r="R397" s="94"/>
      <c r="V397" s="95"/>
      <c r="W397" s="96"/>
      <c r="X397" s="55"/>
      <c r="Z397" s="96"/>
      <c r="AA397" s="96"/>
      <c r="AB397" s="96"/>
      <c r="AC397" s="96"/>
      <c r="AD397" s="97"/>
      <c r="AF397" s="98"/>
      <c r="AH397" s="55"/>
    </row>
    <row r="398">
      <c r="R398" s="94"/>
      <c r="V398" s="95"/>
      <c r="W398" s="96"/>
      <c r="X398" s="55"/>
      <c r="Z398" s="96"/>
      <c r="AA398" s="96"/>
      <c r="AB398" s="96"/>
      <c r="AC398" s="96"/>
      <c r="AD398" s="97"/>
      <c r="AF398" s="98"/>
      <c r="AH398" s="55"/>
    </row>
    <row r="399">
      <c r="R399" s="94"/>
      <c r="V399" s="95"/>
      <c r="W399" s="96"/>
      <c r="X399" s="55"/>
      <c r="Z399" s="96"/>
      <c r="AA399" s="96"/>
      <c r="AB399" s="96"/>
      <c r="AC399" s="96"/>
      <c r="AD399" s="97"/>
      <c r="AF399" s="98"/>
      <c r="AH399" s="55"/>
    </row>
    <row r="400">
      <c r="R400" s="94"/>
      <c r="V400" s="95"/>
      <c r="W400" s="96"/>
      <c r="X400" s="55"/>
      <c r="Z400" s="96"/>
      <c r="AA400" s="96"/>
      <c r="AB400" s="96"/>
      <c r="AC400" s="96"/>
      <c r="AD400" s="97"/>
      <c r="AF400" s="98"/>
      <c r="AH400" s="55"/>
    </row>
    <row r="401">
      <c r="R401" s="94"/>
      <c r="V401" s="95"/>
      <c r="W401" s="96"/>
      <c r="X401" s="55"/>
      <c r="Z401" s="96"/>
      <c r="AA401" s="96"/>
      <c r="AB401" s="96"/>
      <c r="AC401" s="96"/>
      <c r="AD401" s="97"/>
      <c r="AF401" s="98"/>
      <c r="AH401" s="55"/>
    </row>
    <row r="402">
      <c r="R402" s="94"/>
      <c r="V402" s="95"/>
      <c r="W402" s="96"/>
      <c r="X402" s="55"/>
      <c r="Z402" s="96"/>
      <c r="AA402" s="96"/>
      <c r="AB402" s="96"/>
      <c r="AC402" s="96"/>
      <c r="AD402" s="97"/>
      <c r="AF402" s="98"/>
      <c r="AH402" s="55"/>
    </row>
    <row r="403">
      <c r="R403" s="94"/>
      <c r="V403" s="95"/>
      <c r="W403" s="96"/>
      <c r="X403" s="55"/>
      <c r="Z403" s="96"/>
      <c r="AA403" s="96"/>
      <c r="AB403" s="96"/>
      <c r="AC403" s="96"/>
      <c r="AD403" s="97"/>
      <c r="AF403" s="98"/>
      <c r="AH403" s="55"/>
    </row>
    <row r="404">
      <c r="R404" s="94"/>
      <c r="V404" s="95"/>
      <c r="W404" s="96"/>
      <c r="X404" s="55"/>
      <c r="Z404" s="96"/>
      <c r="AA404" s="96"/>
      <c r="AB404" s="96"/>
      <c r="AC404" s="96"/>
      <c r="AD404" s="97"/>
      <c r="AF404" s="98"/>
      <c r="AH404" s="55"/>
    </row>
    <row r="405">
      <c r="R405" s="94"/>
      <c r="V405" s="95"/>
      <c r="W405" s="96"/>
      <c r="X405" s="55"/>
      <c r="Z405" s="96"/>
      <c r="AA405" s="96"/>
      <c r="AB405" s="96"/>
      <c r="AC405" s="96"/>
      <c r="AD405" s="97"/>
      <c r="AF405" s="98"/>
      <c r="AH405" s="55"/>
    </row>
    <row r="406">
      <c r="R406" s="94"/>
      <c r="V406" s="95"/>
      <c r="W406" s="96"/>
      <c r="X406" s="55"/>
      <c r="Z406" s="96"/>
      <c r="AA406" s="96"/>
      <c r="AB406" s="96"/>
      <c r="AC406" s="96"/>
      <c r="AD406" s="97"/>
      <c r="AF406" s="98"/>
      <c r="AH406" s="55"/>
    </row>
    <row r="407">
      <c r="R407" s="94"/>
      <c r="V407" s="95"/>
      <c r="W407" s="96"/>
      <c r="X407" s="55"/>
      <c r="Z407" s="96"/>
      <c r="AA407" s="96"/>
      <c r="AB407" s="96"/>
      <c r="AC407" s="96"/>
      <c r="AD407" s="97"/>
      <c r="AF407" s="98"/>
      <c r="AH407" s="55"/>
    </row>
    <row r="408">
      <c r="R408" s="94"/>
      <c r="V408" s="95"/>
      <c r="W408" s="96"/>
      <c r="X408" s="55"/>
      <c r="Z408" s="96"/>
      <c r="AA408" s="96"/>
      <c r="AB408" s="96"/>
      <c r="AC408" s="96"/>
      <c r="AD408" s="97"/>
      <c r="AF408" s="98"/>
      <c r="AH408" s="55"/>
    </row>
    <row r="409">
      <c r="R409" s="94"/>
      <c r="V409" s="95"/>
      <c r="W409" s="96"/>
      <c r="X409" s="55"/>
      <c r="Z409" s="96"/>
      <c r="AA409" s="96"/>
      <c r="AB409" s="96"/>
      <c r="AC409" s="96"/>
      <c r="AD409" s="97"/>
      <c r="AF409" s="98"/>
      <c r="AH409" s="55"/>
    </row>
    <row r="410">
      <c r="R410" s="94"/>
      <c r="V410" s="95"/>
      <c r="W410" s="96"/>
      <c r="X410" s="55"/>
      <c r="Z410" s="96"/>
      <c r="AA410" s="96"/>
      <c r="AB410" s="96"/>
      <c r="AC410" s="96"/>
      <c r="AD410" s="97"/>
      <c r="AF410" s="98"/>
      <c r="AH410" s="55"/>
    </row>
    <row r="411">
      <c r="R411" s="94"/>
      <c r="V411" s="95"/>
      <c r="W411" s="96"/>
      <c r="X411" s="55"/>
      <c r="Z411" s="96"/>
      <c r="AA411" s="96"/>
      <c r="AB411" s="96"/>
      <c r="AC411" s="96"/>
      <c r="AD411" s="97"/>
      <c r="AF411" s="98"/>
      <c r="AH411" s="55"/>
    </row>
    <row r="412">
      <c r="R412" s="94"/>
      <c r="V412" s="95"/>
      <c r="W412" s="96"/>
      <c r="X412" s="55"/>
      <c r="Z412" s="96"/>
      <c r="AA412" s="96"/>
      <c r="AB412" s="96"/>
      <c r="AC412" s="96"/>
      <c r="AD412" s="97"/>
      <c r="AF412" s="98"/>
      <c r="AH412" s="55"/>
    </row>
    <row r="413">
      <c r="R413" s="94"/>
      <c r="V413" s="95"/>
      <c r="W413" s="96"/>
      <c r="X413" s="55"/>
      <c r="Z413" s="96"/>
      <c r="AA413" s="96"/>
      <c r="AB413" s="96"/>
      <c r="AC413" s="96"/>
      <c r="AD413" s="97"/>
      <c r="AF413" s="98"/>
      <c r="AH413" s="55"/>
    </row>
    <row r="414">
      <c r="R414" s="94"/>
      <c r="V414" s="95"/>
      <c r="W414" s="96"/>
      <c r="X414" s="55"/>
      <c r="Z414" s="96"/>
      <c r="AA414" s="96"/>
      <c r="AB414" s="96"/>
      <c r="AC414" s="96"/>
      <c r="AD414" s="97"/>
      <c r="AF414" s="98"/>
      <c r="AH414" s="55"/>
    </row>
    <row r="415">
      <c r="R415" s="94"/>
      <c r="V415" s="95"/>
      <c r="W415" s="96"/>
      <c r="X415" s="55"/>
      <c r="Z415" s="96"/>
      <c r="AA415" s="96"/>
      <c r="AB415" s="96"/>
      <c r="AC415" s="96"/>
      <c r="AD415" s="97"/>
      <c r="AF415" s="98"/>
      <c r="AH415" s="55"/>
    </row>
    <row r="416">
      <c r="R416" s="94"/>
      <c r="V416" s="95"/>
      <c r="W416" s="96"/>
      <c r="X416" s="55"/>
      <c r="Z416" s="96"/>
      <c r="AA416" s="96"/>
      <c r="AB416" s="96"/>
      <c r="AC416" s="96"/>
      <c r="AD416" s="97"/>
      <c r="AF416" s="98"/>
      <c r="AH416" s="55"/>
    </row>
    <row r="417">
      <c r="R417" s="94"/>
      <c r="V417" s="95"/>
      <c r="W417" s="96"/>
      <c r="X417" s="55"/>
      <c r="Z417" s="96"/>
      <c r="AA417" s="96"/>
      <c r="AB417" s="96"/>
      <c r="AC417" s="96"/>
      <c r="AD417" s="97"/>
      <c r="AF417" s="98"/>
      <c r="AH417" s="55"/>
    </row>
    <row r="418">
      <c r="R418" s="94"/>
      <c r="V418" s="95"/>
      <c r="W418" s="96"/>
      <c r="X418" s="55"/>
      <c r="Z418" s="96"/>
      <c r="AA418" s="96"/>
      <c r="AB418" s="96"/>
      <c r="AC418" s="96"/>
      <c r="AD418" s="97"/>
      <c r="AF418" s="98"/>
      <c r="AH418" s="55"/>
    </row>
    <row r="419">
      <c r="R419" s="94"/>
      <c r="V419" s="95"/>
      <c r="W419" s="96"/>
      <c r="X419" s="55"/>
      <c r="Z419" s="96"/>
      <c r="AA419" s="96"/>
      <c r="AB419" s="96"/>
      <c r="AC419" s="96"/>
      <c r="AD419" s="97"/>
      <c r="AF419" s="98"/>
      <c r="AH419" s="55"/>
    </row>
    <row r="420">
      <c r="R420" s="94"/>
      <c r="V420" s="95"/>
      <c r="W420" s="96"/>
      <c r="X420" s="55"/>
      <c r="Z420" s="96"/>
      <c r="AA420" s="96"/>
      <c r="AB420" s="96"/>
      <c r="AC420" s="96"/>
      <c r="AD420" s="97"/>
      <c r="AF420" s="98"/>
      <c r="AH420" s="55"/>
    </row>
    <row r="421">
      <c r="R421" s="94"/>
      <c r="V421" s="95"/>
      <c r="W421" s="96"/>
      <c r="X421" s="55"/>
      <c r="Z421" s="96"/>
      <c r="AA421" s="96"/>
      <c r="AB421" s="96"/>
      <c r="AC421" s="96"/>
      <c r="AD421" s="97"/>
      <c r="AF421" s="98"/>
      <c r="AH421" s="55"/>
    </row>
    <row r="422">
      <c r="R422" s="94"/>
      <c r="V422" s="95"/>
      <c r="W422" s="96"/>
      <c r="X422" s="55"/>
      <c r="Z422" s="96"/>
      <c r="AA422" s="96"/>
      <c r="AB422" s="96"/>
      <c r="AC422" s="96"/>
      <c r="AD422" s="97"/>
      <c r="AF422" s="98"/>
      <c r="AH422" s="55"/>
    </row>
    <row r="423">
      <c r="R423" s="94"/>
      <c r="V423" s="95"/>
      <c r="W423" s="96"/>
      <c r="X423" s="55"/>
      <c r="Z423" s="96"/>
      <c r="AA423" s="96"/>
      <c r="AB423" s="96"/>
      <c r="AC423" s="96"/>
      <c r="AD423" s="97"/>
      <c r="AF423" s="98"/>
      <c r="AH423" s="55"/>
    </row>
    <row r="424">
      <c r="R424" s="94"/>
      <c r="V424" s="95"/>
      <c r="W424" s="96"/>
      <c r="X424" s="55"/>
      <c r="Z424" s="96"/>
      <c r="AA424" s="96"/>
      <c r="AB424" s="96"/>
      <c r="AC424" s="96"/>
      <c r="AD424" s="97"/>
      <c r="AF424" s="98"/>
      <c r="AH424" s="55"/>
    </row>
    <row r="425">
      <c r="R425" s="94"/>
      <c r="V425" s="95"/>
      <c r="W425" s="96"/>
      <c r="X425" s="55"/>
      <c r="Z425" s="96"/>
      <c r="AA425" s="96"/>
      <c r="AB425" s="96"/>
      <c r="AC425" s="96"/>
      <c r="AD425" s="97"/>
      <c r="AF425" s="98"/>
      <c r="AH425" s="55"/>
    </row>
    <row r="426">
      <c r="R426" s="94"/>
      <c r="V426" s="95"/>
      <c r="W426" s="96"/>
      <c r="X426" s="55"/>
      <c r="Z426" s="96"/>
      <c r="AA426" s="96"/>
      <c r="AB426" s="96"/>
      <c r="AC426" s="96"/>
      <c r="AD426" s="97"/>
      <c r="AF426" s="98"/>
      <c r="AH426" s="55"/>
    </row>
    <row r="427">
      <c r="R427" s="94"/>
      <c r="V427" s="95"/>
      <c r="W427" s="96"/>
      <c r="X427" s="55"/>
      <c r="Z427" s="96"/>
      <c r="AA427" s="96"/>
      <c r="AB427" s="96"/>
      <c r="AC427" s="96"/>
      <c r="AD427" s="97"/>
      <c r="AF427" s="98"/>
      <c r="AH427" s="55"/>
    </row>
    <row r="428">
      <c r="R428" s="94"/>
      <c r="V428" s="95"/>
      <c r="W428" s="96"/>
      <c r="X428" s="55"/>
      <c r="Z428" s="96"/>
      <c r="AA428" s="96"/>
      <c r="AB428" s="96"/>
      <c r="AC428" s="96"/>
      <c r="AD428" s="97"/>
      <c r="AF428" s="98"/>
      <c r="AH428" s="55"/>
    </row>
    <row r="429">
      <c r="R429" s="94"/>
      <c r="V429" s="95"/>
      <c r="W429" s="96"/>
      <c r="X429" s="55"/>
      <c r="Z429" s="96"/>
      <c r="AA429" s="96"/>
      <c r="AB429" s="96"/>
      <c r="AC429" s="96"/>
      <c r="AD429" s="97"/>
      <c r="AF429" s="98"/>
      <c r="AH429" s="55"/>
    </row>
    <row r="430">
      <c r="R430" s="94"/>
      <c r="V430" s="95"/>
      <c r="W430" s="96"/>
      <c r="X430" s="55"/>
      <c r="Z430" s="96"/>
      <c r="AA430" s="96"/>
      <c r="AB430" s="96"/>
      <c r="AC430" s="96"/>
      <c r="AD430" s="97"/>
      <c r="AF430" s="98"/>
      <c r="AH430" s="55"/>
    </row>
    <row r="431">
      <c r="R431" s="94"/>
      <c r="V431" s="95"/>
      <c r="W431" s="96"/>
      <c r="X431" s="55"/>
      <c r="Z431" s="96"/>
      <c r="AA431" s="96"/>
      <c r="AB431" s="96"/>
      <c r="AC431" s="96"/>
      <c r="AD431" s="97"/>
      <c r="AF431" s="98"/>
      <c r="AH431" s="55"/>
    </row>
    <row r="432">
      <c r="R432" s="94"/>
      <c r="V432" s="95"/>
      <c r="W432" s="96"/>
      <c r="X432" s="55"/>
      <c r="Z432" s="96"/>
      <c r="AA432" s="96"/>
      <c r="AB432" s="96"/>
      <c r="AC432" s="96"/>
      <c r="AD432" s="97"/>
      <c r="AF432" s="98"/>
      <c r="AH432" s="55"/>
    </row>
    <row r="433">
      <c r="R433" s="94"/>
      <c r="V433" s="95"/>
      <c r="W433" s="96"/>
      <c r="X433" s="55"/>
      <c r="Z433" s="96"/>
      <c r="AA433" s="96"/>
      <c r="AB433" s="96"/>
      <c r="AC433" s="96"/>
      <c r="AD433" s="97"/>
      <c r="AF433" s="98"/>
      <c r="AH433" s="55"/>
    </row>
    <row r="434">
      <c r="R434" s="94"/>
      <c r="V434" s="95"/>
      <c r="W434" s="96"/>
      <c r="X434" s="55"/>
      <c r="Z434" s="96"/>
      <c r="AA434" s="96"/>
      <c r="AB434" s="96"/>
      <c r="AC434" s="96"/>
      <c r="AD434" s="97"/>
      <c r="AF434" s="98"/>
      <c r="AH434" s="55"/>
    </row>
    <row r="435">
      <c r="R435" s="94"/>
      <c r="V435" s="95"/>
      <c r="W435" s="96"/>
      <c r="X435" s="55"/>
      <c r="Z435" s="96"/>
      <c r="AA435" s="96"/>
      <c r="AB435" s="96"/>
      <c r="AC435" s="96"/>
      <c r="AD435" s="97"/>
      <c r="AF435" s="98"/>
      <c r="AH435" s="55"/>
    </row>
    <row r="436">
      <c r="R436" s="94"/>
      <c r="V436" s="95"/>
      <c r="W436" s="96"/>
      <c r="X436" s="55"/>
      <c r="Z436" s="96"/>
      <c r="AA436" s="96"/>
      <c r="AB436" s="96"/>
      <c r="AC436" s="96"/>
      <c r="AD436" s="97"/>
      <c r="AF436" s="98"/>
      <c r="AH436" s="55"/>
    </row>
    <row r="437">
      <c r="R437" s="94"/>
      <c r="V437" s="95"/>
      <c r="W437" s="96"/>
      <c r="X437" s="55"/>
      <c r="Z437" s="96"/>
      <c r="AA437" s="96"/>
      <c r="AB437" s="96"/>
      <c r="AC437" s="96"/>
      <c r="AD437" s="97"/>
      <c r="AF437" s="98"/>
      <c r="AH437" s="55"/>
    </row>
    <row r="438">
      <c r="R438" s="94"/>
      <c r="V438" s="95"/>
      <c r="W438" s="96"/>
      <c r="X438" s="55"/>
      <c r="Z438" s="96"/>
      <c r="AA438" s="96"/>
      <c r="AB438" s="96"/>
      <c r="AC438" s="96"/>
      <c r="AD438" s="97"/>
      <c r="AF438" s="98"/>
      <c r="AH438" s="55"/>
    </row>
    <row r="439">
      <c r="R439" s="94"/>
      <c r="V439" s="95"/>
      <c r="W439" s="96"/>
      <c r="X439" s="55"/>
      <c r="Z439" s="96"/>
      <c r="AA439" s="96"/>
      <c r="AB439" s="96"/>
      <c r="AC439" s="96"/>
      <c r="AD439" s="97"/>
      <c r="AF439" s="98"/>
      <c r="AH439" s="55"/>
    </row>
    <row r="440">
      <c r="R440" s="94"/>
      <c r="V440" s="95"/>
      <c r="W440" s="96"/>
      <c r="X440" s="55"/>
      <c r="Z440" s="96"/>
      <c r="AA440" s="96"/>
      <c r="AB440" s="96"/>
      <c r="AC440" s="96"/>
      <c r="AD440" s="97"/>
      <c r="AF440" s="98"/>
      <c r="AH440" s="55"/>
    </row>
    <row r="441">
      <c r="R441" s="94"/>
      <c r="V441" s="95"/>
      <c r="W441" s="96"/>
      <c r="X441" s="55"/>
      <c r="Z441" s="96"/>
      <c r="AA441" s="96"/>
      <c r="AB441" s="96"/>
      <c r="AC441" s="96"/>
      <c r="AD441" s="97"/>
      <c r="AF441" s="98"/>
      <c r="AH441" s="55"/>
    </row>
    <row r="442">
      <c r="R442" s="94"/>
      <c r="V442" s="95"/>
      <c r="W442" s="96"/>
      <c r="X442" s="55"/>
      <c r="Z442" s="96"/>
      <c r="AA442" s="96"/>
      <c r="AB442" s="96"/>
      <c r="AC442" s="96"/>
      <c r="AD442" s="97"/>
      <c r="AF442" s="98"/>
      <c r="AH442" s="55"/>
    </row>
    <row r="443">
      <c r="R443" s="94"/>
      <c r="V443" s="95"/>
      <c r="W443" s="96"/>
      <c r="X443" s="55"/>
      <c r="Z443" s="96"/>
      <c r="AA443" s="96"/>
      <c r="AB443" s="96"/>
      <c r="AC443" s="96"/>
      <c r="AD443" s="97"/>
      <c r="AF443" s="98"/>
      <c r="AH443" s="55"/>
    </row>
    <row r="444">
      <c r="R444" s="94"/>
      <c r="V444" s="95"/>
      <c r="W444" s="96"/>
      <c r="X444" s="55"/>
      <c r="Z444" s="96"/>
      <c r="AA444" s="96"/>
      <c r="AB444" s="96"/>
      <c r="AC444" s="96"/>
      <c r="AD444" s="97"/>
      <c r="AF444" s="98"/>
      <c r="AH444" s="55"/>
    </row>
    <row r="445">
      <c r="R445" s="94"/>
      <c r="V445" s="95"/>
      <c r="W445" s="96"/>
      <c r="X445" s="55"/>
      <c r="Z445" s="96"/>
      <c r="AA445" s="96"/>
      <c r="AB445" s="96"/>
      <c r="AC445" s="96"/>
      <c r="AD445" s="97"/>
      <c r="AF445" s="98"/>
      <c r="AH445" s="55"/>
    </row>
    <row r="446">
      <c r="R446" s="94"/>
      <c r="V446" s="95"/>
      <c r="W446" s="96"/>
      <c r="X446" s="55"/>
      <c r="Z446" s="96"/>
      <c r="AA446" s="96"/>
      <c r="AB446" s="96"/>
      <c r="AC446" s="96"/>
      <c r="AD446" s="97"/>
      <c r="AF446" s="98"/>
      <c r="AH446" s="55"/>
    </row>
    <row r="447">
      <c r="R447" s="94"/>
      <c r="V447" s="95"/>
      <c r="W447" s="96"/>
      <c r="X447" s="55"/>
      <c r="Z447" s="96"/>
      <c r="AA447" s="96"/>
      <c r="AB447" s="96"/>
      <c r="AC447" s="96"/>
      <c r="AD447" s="97"/>
      <c r="AF447" s="98"/>
      <c r="AH447" s="55"/>
    </row>
    <row r="448">
      <c r="R448" s="94"/>
      <c r="V448" s="95"/>
      <c r="W448" s="96"/>
      <c r="X448" s="55"/>
      <c r="Z448" s="96"/>
      <c r="AA448" s="96"/>
      <c r="AB448" s="96"/>
      <c r="AC448" s="96"/>
      <c r="AD448" s="97"/>
      <c r="AF448" s="98"/>
      <c r="AH448" s="55"/>
    </row>
    <row r="449">
      <c r="R449" s="94"/>
      <c r="V449" s="95"/>
      <c r="W449" s="96"/>
      <c r="X449" s="55"/>
      <c r="Z449" s="96"/>
      <c r="AA449" s="96"/>
      <c r="AB449" s="96"/>
      <c r="AC449" s="96"/>
      <c r="AD449" s="97"/>
      <c r="AF449" s="98"/>
      <c r="AH449" s="55"/>
    </row>
    <row r="450">
      <c r="R450" s="94"/>
      <c r="V450" s="95"/>
      <c r="W450" s="96"/>
      <c r="X450" s="55"/>
      <c r="Z450" s="96"/>
      <c r="AA450" s="96"/>
      <c r="AB450" s="96"/>
      <c r="AC450" s="96"/>
      <c r="AD450" s="97"/>
      <c r="AF450" s="98"/>
      <c r="AH450" s="55"/>
    </row>
    <row r="451">
      <c r="R451" s="94"/>
      <c r="V451" s="95"/>
      <c r="W451" s="96"/>
      <c r="X451" s="55"/>
      <c r="Z451" s="96"/>
      <c r="AA451" s="96"/>
      <c r="AB451" s="96"/>
      <c r="AC451" s="96"/>
      <c r="AD451" s="97"/>
      <c r="AF451" s="98"/>
      <c r="AH451" s="55"/>
    </row>
    <row r="452">
      <c r="R452" s="94"/>
      <c r="V452" s="95"/>
      <c r="W452" s="96"/>
      <c r="X452" s="55"/>
      <c r="Z452" s="96"/>
      <c r="AA452" s="96"/>
      <c r="AB452" s="96"/>
      <c r="AC452" s="96"/>
      <c r="AD452" s="97"/>
      <c r="AF452" s="98"/>
      <c r="AH452" s="55"/>
    </row>
    <row r="453">
      <c r="R453" s="94"/>
      <c r="V453" s="95"/>
      <c r="W453" s="96"/>
      <c r="X453" s="55"/>
      <c r="Z453" s="96"/>
      <c r="AA453" s="96"/>
      <c r="AB453" s="96"/>
      <c r="AC453" s="96"/>
      <c r="AD453" s="97"/>
      <c r="AF453" s="98"/>
      <c r="AH453" s="55"/>
    </row>
    <row r="454">
      <c r="R454" s="94"/>
      <c r="V454" s="95"/>
      <c r="W454" s="96"/>
      <c r="X454" s="55"/>
      <c r="Z454" s="96"/>
      <c r="AA454" s="96"/>
      <c r="AB454" s="96"/>
      <c r="AC454" s="96"/>
      <c r="AD454" s="97"/>
      <c r="AF454" s="98"/>
      <c r="AH454" s="55"/>
    </row>
    <row r="455">
      <c r="R455" s="94"/>
      <c r="V455" s="95"/>
      <c r="W455" s="96"/>
      <c r="X455" s="55"/>
      <c r="Z455" s="96"/>
      <c r="AA455" s="96"/>
      <c r="AB455" s="96"/>
      <c r="AC455" s="96"/>
      <c r="AD455" s="97"/>
      <c r="AF455" s="98"/>
      <c r="AH455" s="55"/>
    </row>
    <row r="456">
      <c r="R456" s="94"/>
      <c r="V456" s="95"/>
      <c r="W456" s="96"/>
      <c r="X456" s="55"/>
      <c r="Z456" s="96"/>
      <c r="AA456" s="96"/>
      <c r="AB456" s="96"/>
      <c r="AC456" s="96"/>
      <c r="AD456" s="97"/>
      <c r="AF456" s="98"/>
      <c r="AH456" s="55"/>
    </row>
    <row r="457">
      <c r="R457" s="94"/>
      <c r="V457" s="95"/>
      <c r="W457" s="96"/>
      <c r="X457" s="55"/>
      <c r="Z457" s="96"/>
      <c r="AA457" s="96"/>
      <c r="AB457" s="96"/>
      <c r="AC457" s="96"/>
      <c r="AD457" s="97"/>
      <c r="AF457" s="98"/>
      <c r="AH457" s="55"/>
    </row>
    <row r="458">
      <c r="R458" s="94"/>
      <c r="V458" s="95"/>
      <c r="W458" s="96"/>
      <c r="X458" s="55"/>
      <c r="Z458" s="96"/>
      <c r="AA458" s="96"/>
      <c r="AB458" s="96"/>
      <c r="AC458" s="96"/>
      <c r="AD458" s="97"/>
      <c r="AF458" s="98"/>
      <c r="AH458" s="55"/>
    </row>
    <row r="459">
      <c r="R459" s="94"/>
      <c r="V459" s="95"/>
      <c r="W459" s="96"/>
      <c r="X459" s="55"/>
      <c r="Z459" s="96"/>
      <c r="AA459" s="96"/>
      <c r="AB459" s="96"/>
      <c r="AC459" s="96"/>
      <c r="AD459" s="97"/>
      <c r="AF459" s="98"/>
      <c r="AH459" s="55"/>
    </row>
    <row r="460">
      <c r="R460" s="94"/>
      <c r="V460" s="95"/>
      <c r="W460" s="96"/>
      <c r="X460" s="55"/>
      <c r="Z460" s="96"/>
      <c r="AA460" s="96"/>
      <c r="AB460" s="96"/>
      <c r="AC460" s="96"/>
      <c r="AD460" s="97"/>
      <c r="AF460" s="98"/>
      <c r="AH460" s="55"/>
    </row>
    <row r="461">
      <c r="R461" s="94"/>
      <c r="V461" s="95"/>
      <c r="W461" s="96"/>
      <c r="X461" s="55"/>
      <c r="Z461" s="96"/>
      <c r="AA461" s="96"/>
      <c r="AB461" s="96"/>
      <c r="AC461" s="96"/>
      <c r="AD461" s="97"/>
      <c r="AF461" s="98"/>
      <c r="AH461" s="55"/>
    </row>
    <row r="462">
      <c r="R462" s="94"/>
      <c r="V462" s="95"/>
      <c r="W462" s="96"/>
      <c r="X462" s="55"/>
      <c r="Z462" s="96"/>
      <c r="AA462" s="96"/>
      <c r="AB462" s="96"/>
      <c r="AC462" s="96"/>
      <c r="AD462" s="97"/>
      <c r="AF462" s="98"/>
      <c r="AH462" s="55"/>
    </row>
    <row r="463">
      <c r="R463" s="94"/>
      <c r="V463" s="95"/>
      <c r="W463" s="96"/>
      <c r="X463" s="55"/>
      <c r="Z463" s="96"/>
      <c r="AA463" s="96"/>
      <c r="AB463" s="96"/>
      <c r="AC463" s="96"/>
      <c r="AD463" s="97"/>
      <c r="AF463" s="98"/>
      <c r="AH463" s="55"/>
    </row>
    <row r="464">
      <c r="R464" s="94"/>
      <c r="V464" s="95"/>
      <c r="W464" s="96"/>
      <c r="X464" s="55"/>
      <c r="Z464" s="96"/>
      <c r="AA464" s="96"/>
      <c r="AB464" s="96"/>
      <c r="AC464" s="96"/>
      <c r="AD464" s="97"/>
      <c r="AF464" s="98"/>
      <c r="AH464" s="55"/>
    </row>
    <row r="465">
      <c r="R465" s="94"/>
      <c r="V465" s="95"/>
      <c r="W465" s="96"/>
      <c r="X465" s="55"/>
      <c r="Z465" s="96"/>
      <c r="AA465" s="96"/>
      <c r="AB465" s="96"/>
      <c r="AC465" s="96"/>
      <c r="AD465" s="97"/>
      <c r="AF465" s="98"/>
      <c r="AH465" s="55"/>
    </row>
    <row r="466">
      <c r="R466" s="94"/>
      <c r="V466" s="95"/>
      <c r="W466" s="96"/>
      <c r="X466" s="55"/>
      <c r="Z466" s="96"/>
      <c r="AA466" s="96"/>
      <c r="AB466" s="96"/>
      <c r="AC466" s="96"/>
      <c r="AD466" s="97"/>
      <c r="AF466" s="98"/>
      <c r="AH466" s="55"/>
    </row>
    <row r="467">
      <c r="R467" s="94"/>
      <c r="V467" s="95"/>
      <c r="W467" s="96"/>
      <c r="X467" s="55"/>
      <c r="Z467" s="96"/>
      <c r="AA467" s="96"/>
      <c r="AB467" s="96"/>
      <c r="AC467" s="96"/>
      <c r="AD467" s="97"/>
      <c r="AF467" s="98"/>
      <c r="AH467" s="55"/>
    </row>
    <row r="468">
      <c r="R468" s="94"/>
      <c r="V468" s="95"/>
      <c r="W468" s="96"/>
      <c r="X468" s="55"/>
      <c r="Z468" s="96"/>
      <c r="AA468" s="96"/>
      <c r="AB468" s="96"/>
      <c r="AC468" s="96"/>
      <c r="AD468" s="97"/>
      <c r="AF468" s="98"/>
      <c r="AH468" s="55"/>
    </row>
    <row r="469">
      <c r="R469" s="94"/>
      <c r="V469" s="95"/>
      <c r="W469" s="96"/>
      <c r="X469" s="55"/>
      <c r="Z469" s="96"/>
      <c r="AA469" s="96"/>
      <c r="AB469" s="96"/>
      <c r="AC469" s="96"/>
      <c r="AD469" s="97"/>
      <c r="AF469" s="98"/>
      <c r="AH469" s="55"/>
    </row>
    <row r="470">
      <c r="R470" s="94"/>
      <c r="V470" s="95"/>
      <c r="W470" s="96"/>
      <c r="X470" s="55"/>
      <c r="Z470" s="96"/>
      <c r="AA470" s="96"/>
      <c r="AB470" s="96"/>
      <c r="AC470" s="96"/>
      <c r="AD470" s="97"/>
      <c r="AF470" s="98"/>
      <c r="AH470" s="55"/>
    </row>
    <row r="471">
      <c r="R471" s="94"/>
      <c r="V471" s="95"/>
      <c r="W471" s="96"/>
      <c r="X471" s="55"/>
      <c r="Z471" s="96"/>
      <c r="AA471" s="96"/>
      <c r="AB471" s="96"/>
      <c r="AC471" s="96"/>
      <c r="AD471" s="97"/>
      <c r="AF471" s="98"/>
      <c r="AH471" s="55"/>
    </row>
    <row r="472">
      <c r="R472" s="94"/>
      <c r="V472" s="95"/>
      <c r="W472" s="96"/>
      <c r="X472" s="55"/>
      <c r="Z472" s="96"/>
      <c r="AA472" s="96"/>
      <c r="AB472" s="96"/>
      <c r="AC472" s="96"/>
      <c r="AD472" s="97"/>
      <c r="AF472" s="98"/>
      <c r="AH472" s="55"/>
    </row>
    <row r="473">
      <c r="R473" s="94"/>
      <c r="V473" s="95"/>
      <c r="W473" s="96"/>
      <c r="X473" s="55"/>
      <c r="Z473" s="96"/>
      <c r="AA473" s="96"/>
      <c r="AB473" s="96"/>
      <c r="AC473" s="96"/>
      <c r="AD473" s="97"/>
      <c r="AF473" s="98"/>
      <c r="AH473" s="55"/>
    </row>
    <row r="474">
      <c r="R474" s="94"/>
      <c r="V474" s="95"/>
      <c r="W474" s="96"/>
      <c r="X474" s="55"/>
      <c r="Z474" s="96"/>
      <c r="AA474" s="96"/>
      <c r="AB474" s="96"/>
      <c r="AC474" s="96"/>
      <c r="AD474" s="97"/>
      <c r="AF474" s="98"/>
      <c r="AH474" s="55"/>
    </row>
    <row r="475">
      <c r="R475" s="94"/>
      <c r="V475" s="95"/>
      <c r="W475" s="96"/>
      <c r="X475" s="55"/>
      <c r="Z475" s="96"/>
      <c r="AA475" s="96"/>
      <c r="AB475" s="96"/>
      <c r="AC475" s="96"/>
      <c r="AD475" s="97"/>
      <c r="AF475" s="98"/>
      <c r="AH475" s="55"/>
    </row>
    <row r="476">
      <c r="R476" s="94"/>
      <c r="V476" s="95"/>
      <c r="W476" s="96"/>
      <c r="X476" s="55"/>
      <c r="Z476" s="96"/>
      <c r="AA476" s="96"/>
      <c r="AB476" s="96"/>
      <c r="AC476" s="96"/>
      <c r="AD476" s="97"/>
      <c r="AF476" s="98"/>
      <c r="AH476" s="55"/>
    </row>
    <row r="477">
      <c r="R477" s="94"/>
      <c r="V477" s="95"/>
      <c r="W477" s="96"/>
      <c r="X477" s="55"/>
      <c r="Z477" s="96"/>
      <c r="AA477" s="96"/>
      <c r="AB477" s="96"/>
      <c r="AC477" s="96"/>
      <c r="AD477" s="97"/>
      <c r="AF477" s="98"/>
      <c r="AH477" s="55"/>
    </row>
    <row r="478">
      <c r="R478" s="94"/>
      <c r="V478" s="95"/>
      <c r="W478" s="96"/>
      <c r="X478" s="55"/>
      <c r="Z478" s="96"/>
      <c r="AA478" s="96"/>
      <c r="AB478" s="96"/>
      <c r="AC478" s="96"/>
      <c r="AD478" s="97"/>
      <c r="AF478" s="98"/>
      <c r="AH478" s="55"/>
    </row>
    <row r="479">
      <c r="R479" s="94"/>
      <c r="V479" s="95"/>
      <c r="W479" s="96"/>
      <c r="X479" s="55"/>
      <c r="Z479" s="96"/>
      <c r="AA479" s="96"/>
      <c r="AB479" s="96"/>
      <c r="AC479" s="96"/>
      <c r="AD479" s="97"/>
      <c r="AF479" s="98"/>
      <c r="AH479" s="55"/>
    </row>
    <row r="480">
      <c r="R480" s="94"/>
      <c r="V480" s="95"/>
      <c r="W480" s="96"/>
      <c r="X480" s="55"/>
      <c r="Z480" s="96"/>
      <c r="AA480" s="96"/>
      <c r="AB480" s="96"/>
      <c r="AC480" s="96"/>
      <c r="AD480" s="97"/>
      <c r="AF480" s="98"/>
      <c r="AH480" s="55"/>
    </row>
    <row r="481">
      <c r="R481" s="94"/>
      <c r="V481" s="95"/>
      <c r="W481" s="96"/>
      <c r="X481" s="55"/>
      <c r="Z481" s="96"/>
      <c r="AA481" s="96"/>
      <c r="AB481" s="96"/>
      <c r="AC481" s="96"/>
      <c r="AD481" s="97"/>
      <c r="AF481" s="98"/>
      <c r="AH481" s="55"/>
    </row>
    <row r="482">
      <c r="R482" s="94"/>
      <c r="V482" s="95"/>
      <c r="W482" s="96"/>
      <c r="X482" s="55"/>
      <c r="Z482" s="96"/>
      <c r="AA482" s="96"/>
      <c r="AB482" s="96"/>
      <c r="AC482" s="96"/>
      <c r="AD482" s="97"/>
      <c r="AF482" s="98"/>
      <c r="AH482" s="55"/>
    </row>
    <row r="483">
      <c r="R483" s="94"/>
      <c r="V483" s="95"/>
      <c r="W483" s="96"/>
      <c r="X483" s="55"/>
      <c r="Z483" s="96"/>
      <c r="AA483" s="96"/>
      <c r="AB483" s="96"/>
      <c r="AC483" s="96"/>
      <c r="AD483" s="97"/>
      <c r="AF483" s="98"/>
      <c r="AH483" s="55"/>
    </row>
    <row r="484">
      <c r="R484" s="94"/>
      <c r="V484" s="95"/>
      <c r="W484" s="96"/>
      <c r="X484" s="55"/>
      <c r="Z484" s="96"/>
      <c r="AA484" s="96"/>
      <c r="AB484" s="96"/>
      <c r="AC484" s="96"/>
      <c r="AD484" s="97"/>
      <c r="AF484" s="98"/>
      <c r="AH484" s="55"/>
    </row>
    <row r="485">
      <c r="R485" s="94"/>
      <c r="V485" s="95"/>
      <c r="W485" s="96"/>
      <c r="X485" s="55"/>
      <c r="Z485" s="96"/>
      <c r="AA485" s="96"/>
      <c r="AB485" s="96"/>
      <c r="AC485" s="96"/>
      <c r="AD485" s="97"/>
      <c r="AF485" s="98"/>
      <c r="AH485" s="55"/>
    </row>
    <row r="486">
      <c r="R486" s="94"/>
      <c r="V486" s="95"/>
      <c r="W486" s="96"/>
      <c r="X486" s="55"/>
      <c r="Z486" s="96"/>
      <c r="AA486" s="96"/>
      <c r="AB486" s="96"/>
      <c r="AC486" s="96"/>
      <c r="AD486" s="97"/>
      <c r="AF486" s="98"/>
      <c r="AH486" s="55"/>
    </row>
    <row r="487">
      <c r="R487" s="94"/>
      <c r="V487" s="95"/>
      <c r="W487" s="96"/>
      <c r="X487" s="55"/>
      <c r="Z487" s="96"/>
      <c r="AA487" s="96"/>
      <c r="AB487" s="96"/>
      <c r="AC487" s="96"/>
      <c r="AD487" s="97"/>
      <c r="AF487" s="98"/>
      <c r="AH487" s="55"/>
    </row>
    <row r="488">
      <c r="R488" s="94"/>
      <c r="V488" s="95"/>
      <c r="W488" s="96"/>
      <c r="X488" s="55"/>
      <c r="Z488" s="96"/>
      <c r="AA488" s="96"/>
      <c r="AB488" s="96"/>
      <c r="AC488" s="96"/>
      <c r="AD488" s="97"/>
      <c r="AF488" s="98"/>
      <c r="AH488" s="55"/>
    </row>
    <row r="489">
      <c r="R489" s="94"/>
      <c r="V489" s="95"/>
      <c r="W489" s="96"/>
      <c r="X489" s="55"/>
      <c r="Z489" s="96"/>
      <c r="AA489" s="96"/>
      <c r="AB489" s="96"/>
      <c r="AC489" s="96"/>
      <c r="AD489" s="97"/>
      <c r="AF489" s="98"/>
      <c r="AH489" s="55"/>
    </row>
    <row r="490">
      <c r="R490" s="94"/>
      <c r="V490" s="95"/>
      <c r="W490" s="96"/>
      <c r="X490" s="55"/>
      <c r="Z490" s="96"/>
      <c r="AA490" s="96"/>
      <c r="AB490" s="96"/>
      <c r="AC490" s="96"/>
      <c r="AD490" s="97"/>
      <c r="AF490" s="98"/>
      <c r="AH490" s="55"/>
    </row>
    <row r="491">
      <c r="R491" s="94"/>
      <c r="V491" s="95"/>
      <c r="W491" s="96"/>
      <c r="X491" s="55"/>
      <c r="Z491" s="96"/>
      <c r="AA491" s="96"/>
      <c r="AB491" s="96"/>
      <c r="AC491" s="96"/>
      <c r="AD491" s="97"/>
      <c r="AF491" s="98"/>
      <c r="AH491" s="55"/>
    </row>
    <row r="492">
      <c r="R492" s="94"/>
      <c r="V492" s="95"/>
      <c r="W492" s="96"/>
      <c r="X492" s="55"/>
      <c r="Z492" s="96"/>
      <c r="AA492" s="96"/>
      <c r="AB492" s="96"/>
      <c r="AC492" s="96"/>
      <c r="AD492" s="97"/>
      <c r="AF492" s="98"/>
      <c r="AH492" s="55"/>
    </row>
    <row r="493">
      <c r="R493" s="94"/>
      <c r="V493" s="95"/>
      <c r="W493" s="96"/>
      <c r="X493" s="55"/>
      <c r="Z493" s="96"/>
      <c r="AA493" s="96"/>
      <c r="AB493" s="96"/>
      <c r="AC493" s="96"/>
      <c r="AD493" s="97"/>
      <c r="AF493" s="98"/>
      <c r="AH493" s="55"/>
    </row>
    <row r="494">
      <c r="R494" s="94"/>
      <c r="V494" s="95"/>
      <c r="W494" s="96"/>
      <c r="X494" s="55"/>
      <c r="Z494" s="96"/>
      <c r="AA494" s="96"/>
      <c r="AB494" s="96"/>
      <c r="AC494" s="96"/>
      <c r="AD494" s="97"/>
      <c r="AF494" s="98"/>
      <c r="AH494" s="55"/>
    </row>
    <row r="495">
      <c r="R495" s="94"/>
      <c r="V495" s="95"/>
      <c r="W495" s="96"/>
      <c r="X495" s="55"/>
      <c r="Z495" s="96"/>
      <c r="AA495" s="96"/>
      <c r="AB495" s="96"/>
      <c r="AC495" s="96"/>
      <c r="AD495" s="97"/>
      <c r="AF495" s="98"/>
      <c r="AH495" s="55"/>
    </row>
    <row r="496">
      <c r="R496" s="94"/>
      <c r="V496" s="95"/>
      <c r="W496" s="96"/>
      <c r="X496" s="55"/>
      <c r="Z496" s="96"/>
      <c r="AA496" s="96"/>
      <c r="AB496" s="96"/>
      <c r="AC496" s="96"/>
      <c r="AD496" s="97"/>
      <c r="AF496" s="98"/>
      <c r="AH496" s="55"/>
    </row>
    <row r="497">
      <c r="R497" s="94"/>
      <c r="V497" s="95"/>
      <c r="W497" s="96"/>
      <c r="X497" s="55"/>
      <c r="Z497" s="96"/>
      <c r="AA497" s="96"/>
      <c r="AB497" s="96"/>
      <c r="AC497" s="96"/>
      <c r="AD497" s="97"/>
      <c r="AF497" s="98"/>
      <c r="AH497" s="55"/>
    </row>
    <row r="498">
      <c r="R498" s="94"/>
      <c r="V498" s="95"/>
      <c r="W498" s="96"/>
      <c r="X498" s="55"/>
      <c r="Z498" s="96"/>
      <c r="AA498" s="96"/>
      <c r="AB498" s="96"/>
      <c r="AC498" s="96"/>
      <c r="AD498" s="97"/>
      <c r="AF498" s="98"/>
      <c r="AH498" s="55"/>
    </row>
    <row r="499">
      <c r="R499" s="94"/>
      <c r="V499" s="95"/>
      <c r="W499" s="96"/>
      <c r="X499" s="55"/>
      <c r="Z499" s="96"/>
      <c r="AA499" s="96"/>
      <c r="AB499" s="96"/>
      <c r="AC499" s="96"/>
      <c r="AD499" s="97"/>
      <c r="AF499" s="98"/>
      <c r="AH499" s="55"/>
    </row>
    <row r="500">
      <c r="R500" s="94"/>
      <c r="V500" s="95"/>
      <c r="W500" s="96"/>
      <c r="X500" s="55"/>
      <c r="Z500" s="96"/>
      <c r="AA500" s="96"/>
      <c r="AB500" s="96"/>
      <c r="AC500" s="96"/>
      <c r="AD500" s="97"/>
      <c r="AF500" s="98"/>
      <c r="AH500" s="55"/>
    </row>
    <row r="501">
      <c r="R501" s="94"/>
      <c r="V501" s="95"/>
      <c r="W501" s="96"/>
      <c r="X501" s="55"/>
      <c r="Z501" s="96"/>
      <c r="AA501" s="96"/>
      <c r="AB501" s="96"/>
      <c r="AC501" s="96"/>
      <c r="AD501" s="97"/>
      <c r="AF501" s="98"/>
      <c r="AH501" s="55"/>
    </row>
    <row r="502">
      <c r="R502" s="94"/>
      <c r="V502" s="95"/>
      <c r="W502" s="96"/>
      <c r="X502" s="55"/>
      <c r="Z502" s="96"/>
      <c r="AA502" s="96"/>
      <c r="AB502" s="96"/>
      <c r="AC502" s="96"/>
      <c r="AD502" s="97"/>
      <c r="AF502" s="98"/>
      <c r="AH502" s="55"/>
    </row>
    <row r="503">
      <c r="R503" s="94"/>
      <c r="V503" s="95"/>
      <c r="W503" s="96"/>
      <c r="X503" s="55"/>
      <c r="Z503" s="96"/>
      <c r="AA503" s="96"/>
      <c r="AB503" s="96"/>
      <c r="AC503" s="96"/>
      <c r="AD503" s="97"/>
      <c r="AF503" s="98"/>
      <c r="AH503" s="55"/>
    </row>
    <row r="504">
      <c r="R504" s="94"/>
      <c r="V504" s="95"/>
      <c r="W504" s="96"/>
      <c r="X504" s="55"/>
      <c r="Z504" s="96"/>
      <c r="AA504" s="96"/>
      <c r="AB504" s="96"/>
      <c r="AC504" s="96"/>
      <c r="AD504" s="97"/>
      <c r="AF504" s="98"/>
      <c r="AH504" s="55"/>
    </row>
    <row r="505">
      <c r="R505" s="94"/>
      <c r="V505" s="95"/>
      <c r="W505" s="96"/>
      <c r="X505" s="55"/>
      <c r="Z505" s="96"/>
      <c r="AA505" s="96"/>
      <c r="AB505" s="96"/>
      <c r="AC505" s="96"/>
      <c r="AD505" s="97"/>
      <c r="AF505" s="98"/>
      <c r="AH505" s="55"/>
    </row>
    <row r="506">
      <c r="R506" s="94"/>
      <c r="V506" s="95"/>
      <c r="W506" s="96"/>
      <c r="X506" s="55"/>
      <c r="Z506" s="96"/>
      <c r="AA506" s="96"/>
      <c r="AB506" s="96"/>
      <c r="AC506" s="96"/>
      <c r="AD506" s="97"/>
      <c r="AF506" s="98"/>
      <c r="AH506" s="55"/>
    </row>
    <row r="507">
      <c r="R507" s="94"/>
      <c r="V507" s="95"/>
      <c r="W507" s="96"/>
      <c r="X507" s="55"/>
      <c r="Z507" s="96"/>
      <c r="AA507" s="96"/>
      <c r="AB507" s="96"/>
      <c r="AC507" s="96"/>
      <c r="AD507" s="97"/>
      <c r="AF507" s="98"/>
      <c r="AH507" s="55"/>
    </row>
    <row r="508">
      <c r="R508" s="94"/>
      <c r="V508" s="95"/>
      <c r="W508" s="96"/>
      <c r="X508" s="55"/>
      <c r="Z508" s="96"/>
      <c r="AA508" s="96"/>
      <c r="AB508" s="96"/>
      <c r="AC508" s="96"/>
      <c r="AD508" s="97"/>
      <c r="AF508" s="98"/>
      <c r="AH508" s="55"/>
    </row>
    <row r="509">
      <c r="R509" s="94"/>
      <c r="V509" s="95"/>
      <c r="W509" s="96"/>
      <c r="X509" s="55"/>
      <c r="Z509" s="96"/>
      <c r="AA509" s="96"/>
      <c r="AB509" s="96"/>
      <c r="AC509" s="96"/>
      <c r="AD509" s="97"/>
      <c r="AF509" s="98"/>
      <c r="AH509" s="55"/>
    </row>
    <row r="510">
      <c r="R510" s="94"/>
      <c r="V510" s="95"/>
      <c r="W510" s="96"/>
      <c r="X510" s="55"/>
      <c r="Z510" s="96"/>
      <c r="AA510" s="96"/>
      <c r="AB510" s="96"/>
      <c r="AC510" s="96"/>
      <c r="AD510" s="97"/>
      <c r="AF510" s="98"/>
      <c r="AH510" s="55"/>
    </row>
    <row r="511">
      <c r="R511" s="94"/>
      <c r="V511" s="95"/>
      <c r="W511" s="96"/>
      <c r="X511" s="55"/>
      <c r="Z511" s="96"/>
      <c r="AA511" s="96"/>
      <c r="AB511" s="96"/>
      <c r="AC511" s="96"/>
      <c r="AD511" s="97"/>
      <c r="AF511" s="98"/>
      <c r="AH511" s="55"/>
    </row>
    <row r="512">
      <c r="R512" s="94"/>
      <c r="V512" s="95"/>
      <c r="W512" s="96"/>
      <c r="X512" s="55"/>
      <c r="Z512" s="96"/>
      <c r="AA512" s="96"/>
      <c r="AB512" s="96"/>
      <c r="AC512" s="96"/>
      <c r="AD512" s="97"/>
      <c r="AF512" s="98"/>
      <c r="AH512" s="55"/>
    </row>
    <row r="513">
      <c r="R513" s="94"/>
      <c r="V513" s="95"/>
      <c r="W513" s="96"/>
      <c r="X513" s="55"/>
      <c r="Z513" s="96"/>
      <c r="AA513" s="96"/>
      <c r="AB513" s="96"/>
      <c r="AC513" s="96"/>
      <c r="AD513" s="97"/>
      <c r="AF513" s="98"/>
      <c r="AH513" s="55"/>
    </row>
    <row r="514">
      <c r="R514" s="94"/>
      <c r="V514" s="95"/>
      <c r="W514" s="96"/>
      <c r="X514" s="55"/>
      <c r="Z514" s="96"/>
      <c r="AA514" s="96"/>
      <c r="AB514" s="96"/>
      <c r="AC514" s="96"/>
      <c r="AD514" s="97"/>
      <c r="AF514" s="98"/>
      <c r="AH514" s="55"/>
    </row>
    <row r="515">
      <c r="R515" s="94"/>
      <c r="V515" s="95"/>
      <c r="W515" s="96"/>
      <c r="X515" s="55"/>
      <c r="Z515" s="96"/>
      <c r="AA515" s="96"/>
      <c r="AB515" s="96"/>
      <c r="AC515" s="96"/>
      <c r="AD515" s="97"/>
      <c r="AF515" s="98"/>
      <c r="AH515" s="55"/>
    </row>
    <row r="516">
      <c r="R516" s="94"/>
      <c r="V516" s="95"/>
      <c r="W516" s="96"/>
      <c r="X516" s="55"/>
      <c r="Z516" s="96"/>
      <c r="AA516" s="96"/>
      <c r="AB516" s="96"/>
      <c r="AC516" s="96"/>
      <c r="AD516" s="97"/>
      <c r="AF516" s="98"/>
      <c r="AH516" s="55"/>
    </row>
    <row r="517">
      <c r="R517" s="94"/>
      <c r="V517" s="95"/>
      <c r="W517" s="96"/>
      <c r="X517" s="55"/>
      <c r="Z517" s="96"/>
      <c r="AA517" s="96"/>
      <c r="AB517" s="96"/>
      <c r="AC517" s="96"/>
      <c r="AD517" s="97"/>
      <c r="AF517" s="98"/>
      <c r="AH517" s="55"/>
    </row>
    <row r="518">
      <c r="R518" s="94"/>
      <c r="V518" s="95"/>
      <c r="W518" s="96"/>
      <c r="X518" s="55"/>
      <c r="Z518" s="96"/>
      <c r="AA518" s="96"/>
      <c r="AB518" s="96"/>
      <c r="AC518" s="96"/>
      <c r="AD518" s="97"/>
      <c r="AF518" s="98"/>
      <c r="AH518" s="55"/>
    </row>
    <row r="519">
      <c r="R519" s="94"/>
      <c r="V519" s="95"/>
      <c r="W519" s="96"/>
      <c r="X519" s="55"/>
      <c r="Z519" s="96"/>
      <c r="AA519" s="96"/>
      <c r="AB519" s="96"/>
      <c r="AC519" s="96"/>
      <c r="AD519" s="97"/>
      <c r="AF519" s="98"/>
      <c r="AH519" s="55"/>
    </row>
    <row r="520">
      <c r="R520" s="94"/>
      <c r="V520" s="95"/>
      <c r="W520" s="96"/>
      <c r="X520" s="55"/>
      <c r="Z520" s="96"/>
      <c r="AA520" s="96"/>
      <c r="AB520" s="96"/>
      <c r="AC520" s="96"/>
      <c r="AD520" s="97"/>
      <c r="AF520" s="98"/>
      <c r="AH520" s="55"/>
    </row>
    <row r="521">
      <c r="R521" s="94"/>
      <c r="V521" s="95"/>
      <c r="W521" s="96"/>
      <c r="X521" s="55"/>
      <c r="Z521" s="96"/>
      <c r="AA521" s="96"/>
      <c r="AB521" s="96"/>
      <c r="AC521" s="96"/>
      <c r="AD521" s="97"/>
      <c r="AF521" s="98"/>
      <c r="AH521" s="55"/>
    </row>
    <row r="522">
      <c r="R522" s="94"/>
      <c r="V522" s="95"/>
      <c r="W522" s="96"/>
      <c r="X522" s="55"/>
      <c r="Z522" s="96"/>
      <c r="AA522" s="96"/>
      <c r="AB522" s="96"/>
      <c r="AC522" s="96"/>
      <c r="AD522" s="97"/>
      <c r="AF522" s="98"/>
      <c r="AH522" s="55"/>
    </row>
    <row r="523">
      <c r="R523" s="94"/>
      <c r="V523" s="95"/>
      <c r="W523" s="96"/>
      <c r="X523" s="55"/>
      <c r="Z523" s="96"/>
      <c r="AA523" s="96"/>
      <c r="AB523" s="96"/>
      <c r="AC523" s="96"/>
      <c r="AD523" s="97"/>
      <c r="AF523" s="98"/>
      <c r="AH523" s="55"/>
    </row>
    <row r="524">
      <c r="R524" s="94"/>
      <c r="V524" s="95"/>
      <c r="W524" s="96"/>
      <c r="X524" s="55"/>
      <c r="Z524" s="96"/>
      <c r="AA524" s="96"/>
      <c r="AB524" s="96"/>
      <c r="AC524" s="96"/>
      <c r="AD524" s="97"/>
      <c r="AF524" s="98"/>
      <c r="AH524" s="55"/>
    </row>
    <row r="525">
      <c r="R525" s="94"/>
      <c r="V525" s="95"/>
      <c r="W525" s="96"/>
      <c r="X525" s="55"/>
      <c r="Z525" s="96"/>
      <c r="AA525" s="96"/>
      <c r="AB525" s="96"/>
      <c r="AC525" s="96"/>
      <c r="AD525" s="97"/>
      <c r="AF525" s="98"/>
      <c r="AH525" s="55"/>
    </row>
    <row r="526">
      <c r="R526" s="94"/>
      <c r="V526" s="95"/>
      <c r="W526" s="96"/>
      <c r="X526" s="55"/>
      <c r="Z526" s="96"/>
      <c r="AA526" s="96"/>
      <c r="AB526" s="96"/>
      <c r="AC526" s="96"/>
      <c r="AD526" s="97"/>
      <c r="AF526" s="98"/>
      <c r="AH526" s="55"/>
    </row>
    <row r="527">
      <c r="R527" s="94"/>
      <c r="V527" s="95"/>
      <c r="W527" s="96"/>
      <c r="X527" s="55"/>
      <c r="Z527" s="96"/>
      <c r="AA527" s="96"/>
      <c r="AB527" s="96"/>
      <c r="AC527" s="96"/>
      <c r="AD527" s="97"/>
      <c r="AF527" s="98"/>
      <c r="AH527" s="55"/>
    </row>
    <row r="528">
      <c r="R528" s="94"/>
      <c r="V528" s="95"/>
      <c r="W528" s="96"/>
      <c r="X528" s="55"/>
      <c r="Z528" s="96"/>
      <c r="AA528" s="96"/>
      <c r="AB528" s="96"/>
      <c r="AC528" s="96"/>
      <c r="AD528" s="97"/>
      <c r="AF528" s="98"/>
      <c r="AH528" s="55"/>
    </row>
    <row r="529">
      <c r="R529" s="94"/>
      <c r="V529" s="95"/>
      <c r="W529" s="96"/>
      <c r="X529" s="55"/>
      <c r="Z529" s="96"/>
      <c r="AA529" s="96"/>
      <c r="AB529" s="96"/>
      <c r="AC529" s="96"/>
      <c r="AD529" s="97"/>
      <c r="AF529" s="98"/>
      <c r="AH529" s="55"/>
    </row>
    <row r="530">
      <c r="R530" s="94"/>
      <c r="V530" s="95"/>
      <c r="W530" s="96"/>
      <c r="X530" s="55"/>
      <c r="Z530" s="96"/>
      <c r="AA530" s="96"/>
      <c r="AB530" s="96"/>
      <c r="AC530" s="96"/>
      <c r="AD530" s="97"/>
      <c r="AF530" s="98"/>
      <c r="AH530" s="55"/>
    </row>
    <row r="531">
      <c r="R531" s="94"/>
      <c r="V531" s="95"/>
      <c r="W531" s="96"/>
      <c r="X531" s="55"/>
      <c r="Z531" s="96"/>
      <c r="AA531" s="96"/>
      <c r="AB531" s="96"/>
      <c r="AC531" s="96"/>
      <c r="AD531" s="97"/>
      <c r="AF531" s="98"/>
      <c r="AH531" s="55"/>
    </row>
    <row r="532">
      <c r="R532" s="94"/>
      <c r="V532" s="95"/>
      <c r="W532" s="96"/>
      <c r="X532" s="55"/>
      <c r="Z532" s="96"/>
      <c r="AA532" s="96"/>
      <c r="AB532" s="96"/>
      <c r="AC532" s="96"/>
      <c r="AD532" s="97"/>
      <c r="AF532" s="98"/>
      <c r="AH532" s="55"/>
    </row>
    <row r="533">
      <c r="R533" s="94"/>
      <c r="V533" s="95"/>
      <c r="W533" s="96"/>
      <c r="X533" s="55"/>
      <c r="Z533" s="96"/>
      <c r="AA533" s="96"/>
      <c r="AB533" s="96"/>
      <c r="AC533" s="96"/>
      <c r="AD533" s="97"/>
      <c r="AF533" s="98"/>
      <c r="AH533" s="55"/>
    </row>
    <row r="534">
      <c r="R534" s="94"/>
      <c r="V534" s="95"/>
      <c r="W534" s="96"/>
      <c r="X534" s="55"/>
      <c r="Z534" s="96"/>
      <c r="AA534" s="96"/>
      <c r="AB534" s="96"/>
      <c r="AC534" s="96"/>
      <c r="AD534" s="97"/>
      <c r="AF534" s="98"/>
      <c r="AH534" s="55"/>
    </row>
    <row r="535">
      <c r="R535" s="94"/>
      <c r="V535" s="95"/>
      <c r="W535" s="96"/>
      <c r="X535" s="55"/>
      <c r="Z535" s="96"/>
      <c r="AA535" s="96"/>
      <c r="AB535" s="96"/>
      <c r="AC535" s="96"/>
      <c r="AD535" s="97"/>
      <c r="AF535" s="98"/>
      <c r="AH535" s="55"/>
    </row>
    <row r="536">
      <c r="R536" s="94"/>
      <c r="V536" s="95"/>
      <c r="W536" s="96"/>
      <c r="X536" s="55"/>
      <c r="Z536" s="96"/>
      <c r="AA536" s="96"/>
      <c r="AB536" s="96"/>
      <c r="AC536" s="96"/>
      <c r="AD536" s="97"/>
      <c r="AF536" s="98"/>
      <c r="AH536" s="55"/>
    </row>
    <row r="537">
      <c r="R537" s="94"/>
      <c r="V537" s="95"/>
      <c r="W537" s="96"/>
      <c r="X537" s="55"/>
      <c r="Z537" s="96"/>
      <c r="AA537" s="96"/>
      <c r="AB537" s="96"/>
      <c r="AC537" s="96"/>
      <c r="AD537" s="97"/>
      <c r="AF537" s="98"/>
      <c r="AH537" s="55"/>
    </row>
    <row r="538">
      <c r="R538" s="94"/>
      <c r="V538" s="95"/>
      <c r="W538" s="96"/>
      <c r="X538" s="55"/>
      <c r="Z538" s="96"/>
      <c r="AA538" s="96"/>
      <c r="AB538" s="96"/>
      <c r="AC538" s="96"/>
      <c r="AD538" s="97"/>
      <c r="AF538" s="98"/>
      <c r="AH538" s="55"/>
    </row>
    <row r="539">
      <c r="R539" s="94"/>
      <c r="V539" s="95"/>
      <c r="W539" s="96"/>
      <c r="X539" s="55"/>
      <c r="Z539" s="96"/>
      <c r="AA539" s="96"/>
      <c r="AB539" s="96"/>
      <c r="AC539" s="96"/>
      <c r="AD539" s="97"/>
      <c r="AF539" s="98"/>
      <c r="AH539" s="55"/>
    </row>
    <row r="540">
      <c r="R540" s="94"/>
      <c r="V540" s="95"/>
      <c r="W540" s="96"/>
      <c r="X540" s="55"/>
      <c r="Z540" s="96"/>
      <c r="AA540" s="96"/>
      <c r="AB540" s="96"/>
      <c r="AC540" s="96"/>
      <c r="AD540" s="97"/>
      <c r="AF540" s="98"/>
      <c r="AH540" s="55"/>
    </row>
    <row r="541">
      <c r="R541" s="94"/>
      <c r="V541" s="95"/>
      <c r="W541" s="96"/>
      <c r="X541" s="55"/>
      <c r="Z541" s="96"/>
      <c r="AA541" s="96"/>
      <c r="AB541" s="96"/>
      <c r="AC541" s="96"/>
      <c r="AD541" s="97"/>
      <c r="AF541" s="98"/>
      <c r="AH541" s="55"/>
    </row>
    <row r="542">
      <c r="R542" s="94"/>
      <c r="V542" s="95"/>
      <c r="W542" s="96"/>
      <c r="X542" s="55"/>
      <c r="Z542" s="96"/>
      <c r="AA542" s="96"/>
      <c r="AB542" s="96"/>
      <c r="AC542" s="96"/>
      <c r="AD542" s="97"/>
      <c r="AF542" s="98"/>
      <c r="AH542" s="55"/>
    </row>
    <row r="543">
      <c r="R543" s="94"/>
      <c r="V543" s="95"/>
      <c r="W543" s="96"/>
      <c r="X543" s="55"/>
      <c r="Z543" s="96"/>
      <c r="AA543" s="96"/>
      <c r="AB543" s="96"/>
      <c r="AC543" s="96"/>
      <c r="AD543" s="97"/>
      <c r="AF543" s="98"/>
      <c r="AH543" s="55"/>
    </row>
    <row r="544">
      <c r="R544" s="94"/>
      <c r="V544" s="95"/>
      <c r="W544" s="96"/>
      <c r="X544" s="55"/>
      <c r="Z544" s="96"/>
      <c r="AA544" s="96"/>
      <c r="AB544" s="96"/>
      <c r="AC544" s="96"/>
      <c r="AD544" s="97"/>
      <c r="AF544" s="98"/>
      <c r="AH544" s="55"/>
    </row>
    <row r="545">
      <c r="R545" s="94"/>
      <c r="V545" s="95"/>
      <c r="W545" s="96"/>
      <c r="X545" s="55"/>
      <c r="Z545" s="96"/>
      <c r="AA545" s="96"/>
      <c r="AB545" s="96"/>
      <c r="AC545" s="96"/>
      <c r="AD545" s="97"/>
      <c r="AF545" s="98"/>
      <c r="AH545" s="55"/>
    </row>
    <row r="546">
      <c r="R546" s="94"/>
      <c r="V546" s="95"/>
      <c r="W546" s="96"/>
      <c r="X546" s="55"/>
      <c r="Z546" s="96"/>
      <c r="AA546" s="96"/>
      <c r="AB546" s="96"/>
      <c r="AC546" s="96"/>
      <c r="AD546" s="97"/>
      <c r="AF546" s="98"/>
      <c r="AH546" s="55"/>
    </row>
    <row r="547">
      <c r="R547" s="94"/>
      <c r="V547" s="95"/>
      <c r="W547" s="96"/>
      <c r="X547" s="55"/>
      <c r="Z547" s="96"/>
      <c r="AA547" s="96"/>
      <c r="AB547" s="96"/>
      <c r="AC547" s="96"/>
      <c r="AD547" s="97"/>
      <c r="AF547" s="98"/>
      <c r="AH547" s="55"/>
    </row>
    <row r="548">
      <c r="R548" s="94"/>
      <c r="V548" s="95"/>
      <c r="W548" s="96"/>
      <c r="X548" s="55"/>
      <c r="Z548" s="96"/>
      <c r="AA548" s="96"/>
      <c r="AB548" s="96"/>
      <c r="AC548" s="96"/>
      <c r="AD548" s="97"/>
      <c r="AF548" s="98"/>
      <c r="AH548" s="55"/>
    </row>
    <row r="549">
      <c r="R549" s="94"/>
      <c r="V549" s="95"/>
      <c r="W549" s="96"/>
      <c r="X549" s="55"/>
      <c r="Z549" s="96"/>
      <c r="AA549" s="96"/>
      <c r="AB549" s="96"/>
      <c r="AC549" s="96"/>
      <c r="AD549" s="97"/>
      <c r="AF549" s="98"/>
      <c r="AH549" s="55"/>
    </row>
    <row r="550">
      <c r="R550" s="94"/>
      <c r="V550" s="95"/>
      <c r="W550" s="96"/>
      <c r="X550" s="55"/>
      <c r="Z550" s="96"/>
      <c r="AA550" s="96"/>
      <c r="AB550" s="96"/>
      <c r="AC550" s="96"/>
      <c r="AD550" s="97"/>
      <c r="AF550" s="98"/>
      <c r="AH550" s="55"/>
    </row>
    <row r="551">
      <c r="R551" s="94"/>
      <c r="V551" s="95"/>
      <c r="W551" s="96"/>
      <c r="X551" s="55"/>
      <c r="Z551" s="96"/>
      <c r="AA551" s="96"/>
      <c r="AB551" s="96"/>
      <c r="AC551" s="96"/>
      <c r="AD551" s="97"/>
      <c r="AF551" s="98"/>
      <c r="AH551" s="55"/>
    </row>
    <row r="552">
      <c r="R552" s="94"/>
      <c r="V552" s="95"/>
      <c r="W552" s="96"/>
      <c r="X552" s="55"/>
      <c r="Z552" s="96"/>
      <c r="AA552" s="96"/>
      <c r="AB552" s="96"/>
      <c r="AC552" s="96"/>
      <c r="AD552" s="97"/>
      <c r="AF552" s="98"/>
      <c r="AH552" s="55"/>
    </row>
    <row r="553">
      <c r="R553" s="94"/>
      <c r="V553" s="95"/>
      <c r="W553" s="96"/>
      <c r="X553" s="55"/>
      <c r="Z553" s="96"/>
      <c r="AA553" s="96"/>
      <c r="AB553" s="96"/>
      <c r="AC553" s="96"/>
      <c r="AD553" s="97"/>
      <c r="AF553" s="98"/>
      <c r="AH553" s="55"/>
    </row>
    <row r="554">
      <c r="R554" s="94"/>
      <c r="V554" s="95"/>
      <c r="W554" s="96"/>
      <c r="X554" s="55"/>
      <c r="Z554" s="96"/>
      <c r="AA554" s="96"/>
      <c r="AB554" s="96"/>
      <c r="AC554" s="96"/>
      <c r="AD554" s="97"/>
      <c r="AF554" s="98"/>
      <c r="AH554" s="55"/>
    </row>
    <row r="555">
      <c r="R555" s="94"/>
      <c r="V555" s="95"/>
      <c r="W555" s="96"/>
      <c r="X555" s="55"/>
      <c r="Z555" s="96"/>
      <c r="AA555" s="96"/>
      <c r="AB555" s="96"/>
      <c r="AC555" s="96"/>
      <c r="AD555" s="97"/>
      <c r="AF555" s="98"/>
      <c r="AH555" s="55"/>
    </row>
    <row r="556">
      <c r="R556" s="94"/>
      <c r="V556" s="95"/>
      <c r="W556" s="96"/>
      <c r="X556" s="55"/>
      <c r="Z556" s="96"/>
      <c r="AA556" s="96"/>
      <c r="AB556" s="96"/>
      <c r="AC556" s="96"/>
      <c r="AD556" s="97"/>
      <c r="AF556" s="98"/>
      <c r="AH556" s="55"/>
    </row>
    <row r="557">
      <c r="R557" s="94"/>
      <c r="V557" s="95"/>
      <c r="W557" s="96"/>
      <c r="X557" s="55"/>
      <c r="Z557" s="96"/>
      <c r="AA557" s="96"/>
      <c r="AB557" s="96"/>
      <c r="AC557" s="96"/>
      <c r="AD557" s="97"/>
      <c r="AF557" s="98"/>
      <c r="AH557" s="55"/>
    </row>
    <row r="558">
      <c r="R558" s="94"/>
      <c r="V558" s="95"/>
      <c r="W558" s="96"/>
      <c r="X558" s="55"/>
      <c r="Z558" s="96"/>
      <c r="AA558" s="96"/>
      <c r="AB558" s="96"/>
      <c r="AC558" s="96"/>
      <c r="AD558" s="97"/>
      <c r="AF558" s="98"/>
      <c r="AH558" s="55"/>
    </row>
    <row r="559">
      <c r="R559" s="94"/>
      <c r="V559" s="95"/>
      <c r="W559" s="96"/>
      <c r="X559" s="55"/>
      <c r="Z559" s="96"/>
      <c r="AA559" s="96"/>
      <c r="AB559" s="96"/>
      <c r="AC559" s="96"/>
      <c r="AD559" s="97"/>
      <c r="AF559" s="98"/>
      <c r="AH559" s="55"/>
    </row>
    <row r="560">
      <c r="R560" s="94"/>
      <c r="V560" s="95"/>
      <c r="W560" s="96"/>
      <c r="X560" s="55"/>
      <c r="Z560" s="96"/>
      <c r="AA560" s="96"/>
      <c r="AB560" s="96"/>
      <c r="AC560" s="96"/>
      <c r="AD560" s="97"/>
      <c r="AF560" s="98"/>
      <c r="AH560" s="55"/>
    </row>
    <row r="561">
      <c r="R561" s="94"/>
      <c r="V561" s="95"/>
      <c r="W561" s="96"/>
      <c r="X561" s="55"/>
      <c r="Z561" s="96"/>
      <c r="AA561" s="96"/>
      <c r="AB561" s="96"/>
      <c r="AC561" s="96"/>
      <c r="AD561" s="97"/>
      <c r="AF561" s="98"/>
      <c r="AH561" s="55"/>
    </row>
    <row r="562">
      <c r="R562" s="94"/>
      <c r="V562" s="95"/>
      <c r="W562" s="96"/>
      <c r="X562" s="55"/>
      <c r="Z562" s="96"/>
      <c r="AA562" s="96"/>
      <c r="AB562" s="96"/>
      <c r="AC562" s="96"/>
      <c r="AD562" s="97"/>
      <c r="AF562" s="98"/>
      <c r="AH562" s="55"/>
    </row>
    <row r="563">
      <c r="R563" s="94"/>
      <c r="V563" s="95"/>
      <c r="W563" s="96"/>
      <c r="X563" s="55"/>
      <c r="Z563" s="96"/>
      <c r="AA563" s="96"/>
      <c r="AB563" s="96"/>
      <c r="AC563" s="96"/>
      <c r="AD563" s="97"/>
      <c r="AF563" s="98"/>
      <c r="AH563" s="55"/>
    </row>
    <row r="564">
      <c r="R564" s="94"/>
      <c r="V564" s="95"/>
      <c r="W564" s="96"/>
      <c r="X564" s="55"/>
      <c r="Z564" s="96"/>
      <c r="AA564" s="96"/>
      <c r="AB564" s="96"/>
      <c r="AC564" s="96"/>
      <c r="AD564" s="97"/>
      <c r="AF564" s="98"/>
      <c r="AH564" s="55"/>
    </row>
    <row r="565">
      <c r="R565" s="94"/>
      <c r="V565" s="95"/>
      <c r="W565" s="96"/>
      <c r="X565" s="55"/>
      <c r="Z565" s="96"/>
      <c r="AA565" s="96"/>
      <c r="AB565" s="96"/>
      <c r="AC565" s="96"/>
      <c r="AD565" s="97"/>
      <c r="AF565" s="98"/>
      <c r="AH565" s="55"/>
    </row>
    <row r="566">
      <c r="R566" s="94"/>
      <c r="V566" s="95"/>
      <c r="W566" s="96"/>
      <c r="X566" s="55"/>
      <c r="Z566" s="96"/>
      <c r="AA566" s="96"/>
      <c r="AB566" s="96"/>
      <c r="AC566" s="96"/>
      <c r="AD566" s="97"/>
      <c r="AF566" s="98"/>
      <c r="AH566" s="55"/>
    </row>
    <row r="567">
      <c r="R567" s="94"/>
      <c r="V567" s="95"/>
      <c r="W567" s="96"/>
      <c r="X567" s="55"/>
      <c r="Z567" s="96"/>
      <c r="AA567" s="96"/>
      <c r="AB567" s="96"/>
      <c r="AC567" s="96"/>
      <c r="AD567" s="97"/>
      <c r="AF567" s="98"/>
      <c r="AH567" s="55"/>
    </row>
    <row r="568">
      <c r="R568" s="94"/>
      <c r="V568" s="95"/>
      <c r="W568" s="96"/>
      <c r="X568" s="55"/>
      <c r="Z568" s="96"/>
      <c r="AA568" s="96"/>
      <c r="AB568" s="96"/>
      <c r="AC568" s="96"/>
      <c r="AD568" s="97"/>
      <c r="AF568" s="98"/>
      <c r="AH568" s="55"/>
    </row>
    <row r="569">
      <c r="R569" s="94"/>
      <c r="V569" s="95"/>
      <c r="W569" s="96"/>
      <c r="X569" s="55"/>
      <c r="Z569" s="96"/>
      <c r="AA569" s="96"/>
      <c r="AB569" s="96"/>
      <c r="AC569" s="96"/>
      <c r="AD569" s="97"/>
      <c r="AF569" s="98"/>
      <c r="AH569" s="55"/>
    </row>
    <row r="570">
      <c r="R570" s="94"/>
      <c r="V570" s="95"/>
      <c r="W570" s="96"/>
      <c r="X570" s="55"/>
      <c r="Z570" s="96"/>
      <c r="AA570" s="96"/>
      <c r="AB570" s="96"/>
      <c r="AC570" s="96"/>
      <c r="AD570" s="97"/>
      <c r="AF570" s="98"/>
      <c r="AH570" s="55"/>
    </row>
    <row r="571">
      <c r="R571" s="94"/>
      <c r="V571" s="95"/>
      <c r="W571" s="96"/>
      <c r="X571" s="55"/>
      <c r="Z571" s="96"/>
      <c r="AA571" s="96"/>
      <c r="AB571" s="96"/>
      <c r="AC571" s="96"/>
      <c r="AD571" s="97"/>
      <c r="AF571" s="98"/>
      <c r="AH571" s="55"/>
    </row>
    <row r="572">
      <c r="R572" s="94"/>
      <c r="V572" s="95"/>
      <c r="W572" s="96"/>
      <c r="X572" s="55"/>
      <c r="Z572" s="96"/>
      <c r="AA572" s="96"/>
      <c r="AB572" s="96"/>
      <c r="AC572" s="96"/>
      <c r="AD572" s="97"/>
      <c r="AF572" s="98"/>
      <c r="AH572" s="55"/>
    </row>
    <row r="573">
      <c r="R573" s="94"/>
      <c r="V573" s="95"/>
      <c r="W573" s="96"/>
      <c r="X573" s="55"/>
      <c r="Z573" s="96"/>
      <c r="AA573" s="96"/>
      <c r="AB573" s="96"/>
      <c r="AC573" s="96"/>
      <c r="AD573" s="97"/>
      <c r="AF573" s="98"/>
      <c r="AH573" s="55"/>
    </row>
    <row r="574">
      <c r="R574" s="94"/>
      <c r="V574" s="95"/>
      <c r="W574" s="96"/>
      <c r="X574" s="55"/>
      <c r="Z574" s="96"/>
      <c r="AA574" s="96"/>
      <c r="AB574" s="96"/>
      <c r="AC574" s="96"/>
      <c r="AD574" s="97"/>
      <c r="AF574" s="98"/>
      <c r="AH574" s="55"/>
    </row>
    <row r="575">
      <c r="R575" s="94"/>
      <c r="V575" s="95"/>
      <c r="W575" s="96"/>
      <c r="X575" s="55"/>
      <c r="Z575" s="96"/>
      <c r="AA575" s="96"/>
      <c r="AB575" s="96"/>
      <c r="AC575" s="96"/>
      <c r="AD575" s="97"/>
      <c r="AF575" s="98"/>
      <c r="AH575" s="55"/>
    </row>
    <row r="576">
      <c r="R576" s="94"/>
      <c r="V576" s="95"/>
      <c r="W576" s="96"/>
      <c r="X576" s="55"/>
      <c r="Z576" s="96"/>
      <c r="AA576" s="96"/>
      <c r="AB576" s="96"/>
      <c r="AC576" s="96"/>
      <c r="AD576" s="97"/>
      <c r="AF576" s="98"/>
      <c r="AH576" s="55"/>
    </row>
    <row r="577">
      <c r="R577" s="94"/>
      <c r="V577" s="95"/>
      <c r="W577" s="96"/>
      <c r="X577" s="55"/>
      <c r="Z577" s="96"/>
      <c r="AA577" s="96"/>
      <c r="AB577" s="96"/>
      <c r="AC577" s="96"/>
      <c r="AD577" s="97"/>
      <c r="AF577" s="98"/>
      <c r="AH577" s="55"/>
    </row>
    <row r="578">
      <c r="R578" s="94"/>
      <c r="V578" s="95"/>
      <c r="W578" s="96"/>
      <c r="X578" s="55"/>
      <c r="Z578" s="96"/>
      <c r="AA578" s="96"/>
      <c r="AB578" s="96"/>
      <c r="AC578" s="96"/>
      <c r="AD578" s="97"/>
      <c r="AF578" s="98"/>
      <c r="AH578" s="55"/>
    </row>
    <row r="579">
      <c r="R579" s="94"/>
      <c r="V579" s="95"/>
      <c r="W579" s="96"/>
      <c r="X579" s="55"/>
      <c r="Z579" s="96"/>
      <c r="AA579" s="96"/>
      <c r="AB579" s="96"/>
      <c r="AC579" s="96"/>
      <c r="AD579" s="97"/>
      <c r="AF579" s="98"/>
      <c r="AH579" s="55"/>
    </row>
    <row r="580">
      <c r="R580" s="94"/>
      <c r="V580" s="95"/>
      <c r="W580" s="96"/>
      <c r="X580" s="55"/>
      <c r="Z580" s="96"/>
      <c r="AA580" s="96"/>
      <c r="AB580" s="96"/>
      <c r="AC580" s="96"/>
      <c r="AD580" s="97"/>
      <c r="AF580" s="98"/>
      <c r="AH580" s="55"/>
    </row>
    <row r="581">
      <c r="R581" s="94"/>
      <c r="V581" s="95"/>
      <c r="W581" s="96"/>
      <c r="X581" s="55"/>
      <c r="Z581" s="96"/>
      <c r="AA581" s="96"/>
      <c r="AB581" s="96"/>
      <c r="AC581" s="96"/>
      <c r="AD581" s="97"/>
      <c r="AF581" s="98"/>
      <c r="AH581" s="55"/>
    </row>
    <row r="582">
      <c r="R582" s="94"/>
      <c r="V582" s="95"/>
      <c r="W582" s="96"/>
      <c r="X582" s="55"/>
      <c r="Z582" s="96"/>
      <c r="AA582" s="96"/>
      <c r="AB582" s="96"/>
      <c r="AC582" s="96"/>
      <c r="AD582" s="97"/>
      <c r="AF582" s="98"/>
      <c r="AH582" s="55"/>
    </row>
    <row r="583">
      <c r="R583" s="94"/>
      <c r="V583" s="95"/>
      <c r="W583" s="96"/>
      <c r="X583" s="55"/>
      <c r="Z583" s="96"/>
      <c r="AA583" s="96"/>
      <c r="AB583" s="96"/>
      <c r="AC583" s="96"/>
      <c r="AD583" s="97"/>
      <c r="AF583" s="98"/>
      <c r="AH583" s="55"/>
    </row>
    <row r="584">
      <c r="R584" s="94"/>
      <c r="V584" s="95"/>
      <c r="W584" s="96"/>
      <c r="X584" s="55"/>
      <c r="Z584" s="96"/>
      <c r="AA584" s="96"/>
      <c r="AB584" s="96"/>
      <c r="AC584" s="96"/>
      <c r="AD584" s="97"/>
      <c r="AF584" s="98"/>
      <c r="AH584" s="55"/>
    </row>
    <row r="585">
      <c r="R585" s="94"/>
      <c r="V585" s="95"/>
      <c r="W585" s="96"/>
      <c r="X585" s="55"/>
      <c r="Z585" s="96"/>
      <c r="AA585" s="96"/>
      <c r="AB585" s="96"/>
      <c r="AC585" s="96"/>
      <c r="AD585" s="97"/>
      <c r="AF585" s="98"/>
      <c r="AH585" s="55"/>
    </row>
    <row r="586">
      <c r="R586" s="94"/>
      <c r="V586" s="95"/>
      <c r="W586" s="96"/>
      <c r="X586" s="55"/>
      <c r="Z586" s="96"/>
      <c r="AA586" s="96"/>
      <c r="AB586" s="96"/>
      <c r="AC586" s="96"/>
      <c r="AD586" s="97"/>
      <c r="AF586" s="98"/>
      <c r="AH586" s="55"/>
    </row>
    <row r="587">
      <c r="R587" s="94"/>
      <c r="V587" s="95"/>
      <c r="W587" s="96"/>
      <c r="X587" s="55"/>
      <c r="Z587" s="96"/>
      <c r="AA587" s="96"/>
      <c r="AB587" s="96"/>
      <c r="AC587" s="96"/>
      <c r="AD587" s="97"/>
      <c r="AF587" s="98"/>
      <c r="AH587" s="55"/>
    </row>
    <row r="588">
      <c r="R588" s="94"/>
      <c r="V588" s="95"/>
      <c r="W588" s="96"/>
      <c r="X588" s="55"/>
      <c r="Z588" s="96"/>
      <c r="AA588" s="96"/>
      <c r="AB588" s="96"/>
      <c r="AC588" s="96"/>
      <c r="AD588" s="97"/>
      <c r="AF588" s="98"/>
      <c r="AH588" s="55"/>
    </row>
    <row r="589">
      <c r="R589" s="94"/>
      <c r="V589" s="95"/>
      <c r="W589" s="96"/>
      <c r="X589" s="55"/>
      <c r="Z589" s="96"/>
      <c r="AA589" s="96"/>
      <c r="AB589" s="96"/>
      <c r="AC589" s="96"/>
      <c r="AD589" s="97"/>
      <c r="AF589" s="98"/>
      <c r="AH589" s="55"/>
    </row>
    <row r="590">
      <c r="R590" s="94"/>
      <c r="V590" s="95"/>
      <c r="W590" s="96"/>
      <c r="X590" s="55"/>
      <c r="Z590" s="96"/>
      <c r="AA590" s="96"/>
      <c r="AB590" s="96"/>
      <c r="AC590" s="96"/>
      <c r="AD590" s="97"/>
      <c r="AF590" s="98"/>
      <c r="AH590" s="55"/>
    </row>
    <row r="591">
      <c r="R591" s="94"/>
      <c r="V591" s="95"/>
      <c r="W591" s="96"/>
      <c r="X591" s="55"/>
      <c r="Z591" s="96"/>
      <c r="AA591" s="96"/>
      <c r="AB591" s="96"/>
      <c r="AC591" s="96"/>
      <c r="AD591" s="97"/>
      <c r="AF591" s="98"/>
      <c r="AH591" s="55"/>
    </row>
    <row r="592">
      <c r="R592" s="94"/>
      <c r="V592" s="95"/>
      <c r="W592" s="96"/>
      <c r="X592" s="55"/>
      <c r="Z592" s="96"/>
      <c r="AA592" s="96"/>
      <c r="AB592" s="96"/>
      <c r="AC592" s="96"/>
      <c r="AD592" s="97"/>
      <c r="AF592" s="98"/>
      <c r="AH592" s="55"/>
    </row>
    <row r="593">
      <c r="R593" s="94"/>
      <c r="V593" s="95"/>
      <c r="W593" s="96"/>
      <c r="X593" s="55"/>
      <c r="Z593" s="96"/>
      <c r="AA593" s="96"/>
      <c r="AB593" s="96"/>
      <c r="AC593" s="96"/>
      <c r="AD593" s="97"/>
      <c r="AF593" s="98"/>
      <c r="AH593" s="55"/>
    </row>
    <row r="594">
      <c r="R594" s="94"/>
      <c r="V594" s="95"/>
      <c r="W594" s="96"/>
      <c r="X594" s="55"/>
      <c r="Z594" s="96"/>
      <c r="AA594" s="96"/>
      <c r="AB594" s="96"/>
      <c r="AC594" s="96"/>
      <c r="AD594" s="97"/>
      <c r="AF594" s="98"/>
      <c r="AH594" s="55"/>
    </row>
    <row r="595">
      <c r="R595" s="94"/>
      <c r="V595" s="95"/>
      <c r="W595" s="96"/>
      <c r="X595" s="55"/>
      <c r="Z595" s="96"/>
      <c r="AA595" s="96"/>
      <c r="AB595" s="96"/>
      <c r="AC595" s="96"/>
      <c r="AD595" s="97"/>
      <c r="AF595" s="98"/>
      <c r="AH595" s="55"/>
    </row>
    <row r="596">
      <c r="R596" s="94"/>
      <c r="V596" s="95"/>
      <c r="W596" s="96"/>
      <c r="X596" s="55"/>
      <c r="Z596" s="96"/>
      <c r="AA596" s="96"/>
      <c r="AB596" s="96"/>
      <c r="AC596" s="96"/>
      <c r="AD596" s="97"/>
      <c r="AF596" s="98"/>
      <c r="AH596" s="55"/>
    </row>
    <row r="597">
      <c r="R597" s="94"/>
      <c r="V597" s="95"/>
      <c r="W597" s="96"/>
      <c r="X597" s="55"/>
      <c r="Z597" s="96"/>
      <c r="AA597" s="96"/>
      <c r="AB597" s="96"/>
      <c r="AC597" s="96"/>
      <c r="AD597" s="97"/>
      <c r="AF597" s="98"/>
      <c r="AH597" s="55"/>
    </row>
    <row r="598">
      <c r="R598" s="94"/>
      <c r="V598" s="95"/>
      <c r="W598" s="96"/>
      <c r="X598" s="55"/>
      <c r="Z598" s="96"/>
      <c r="AA598" s="96"/>
      <c r="AB598" s="96"/>
      <c r="AC598" s="96"/>
      <c r="AD598" s="97"/>
      <c r="AF598" s="98"/>
      <c r="AH598" s="55"/>
    </row>
    <row r="599">
      <c r="R599" s="94"/>
      <c r="V599" s="95"/>
      <c r="W599" s="96"/>
      <c r="X599" s="55"/>
      <c r="Z599" s="96"/>
      <c r="AA599" s="96"/>
      <c r="AB599" s="96"/>
      <c r="AC599" s="96"/>
      <c r="AD599" s="97"/>
      <c r="AF599" s="98"/>
      <c r="AH599" s="55"/>
    </row>
    <row r="600">
      <c r="R600" s="94"/>
      <c r="V600" s="95"/>
      <c r="W600" s="96"/>
      <c r="X600" s="55"/>
      <c r="Z600" s="96"/>
      <c r="AA600" s="96"/>
      <c r="AB600" s="96"/>
      <c r="AC600" s="96"/>
      <c r="AD600" s="97"/>
      <c r="AF600" s="98"/>
      <c r="AH600" s="55"/>
    </row>
    <row r="601">
      <c r="R601" s="94"/>
      <c r="V601" s="95"/>
      <c r="W601" s="96"/>
      <c r="X601" s="55"/>
      <c r="Z601" s="96"/>
      <c r="AA601" s="96"/>
      <c r="AB601" s="96"/>
      <c r="AC601" s="96"/>
      <c r="AD601" s="97"/>
      <c r="AF601" s="98"/>
      <c r="AH601" s="55"/>
    </row>
    <row r="602">
      <c r="R602" s="94"/>
      <c r="V602" s="95"/>
      <c r="W602" s="96"/>
      <c r="X602" s="55"/>
      <c r="Z602" s="96"/>
      <c r="AA602" s="96"/>
      <c r="AB602" s="96"/>
      <c r="AC602" s="96"/>
      <c r="AD602" s="97"/>
      <c r="AF602" s="98"/>
      <c r="AH602" s="55"/>
    </row>
    <row r="603">
      <c r="R603" s="94"/>
      <c r="V603" s="95"/>
      <c r="W603" s="96"/>
      <c r="X603" s="55"/>
      <c r="Z603" s="96"/>
      <c r="AA603" s="96"/>
      <c r="AB603" s="96"/>
      <c r="AC603" s="96"/>
      <c r="AD603" s="97"/>
      <c r="AF603" s="98"/>
      <c r="AH603" s="55"/>
    </row>
    <row r="604">
      <c r="R604" s="94"/>
      <c r="V604" s="95"/>
      <c r="W604" s="96"/>
      <c r="X604" s="55"/>
      <c r="Z604" s="96"/>
      <c r="AA604" s="96"/>
      <c r="AB604" s="96"/>
      <c r="AC604" s="96"/>
      <c r="AD604" s="97"/>
      <c r="AF604" s="98"/>
      <c r="AH604" s="55"/>
    </row>
    <row r="605">
      <c r="R605" s="94"/>
      <c r="V605" s="95"/>
      <c r="W605" s="96"/>
      <c r="X605" s="55"/>
      <c r="Z605" s="96"/>
      <c r="AA605" s="96"/>
      <c r="AB605" s="96"/>
      <c r="AC605" s="96"/>
      <c r="AD605" s="97"/>
      <c r="AF605" s="98"/>
      <c r="AH605" s="55"/>
    </row>
    <row r="606">
      <c r="R606" s="94"/>
      <c r="V606" s="95"/>
      <c r="W606" s="96"/>
      <c r="X606" s="55"/>
      <c r="Z606" s="96"/>
      <c r="AA606" s="96"/>
      <c r="AB606" s="96"/>
      <c r="AC606" s="96"/>
      <c r="AD606" s="97"/>
      <c r="AF606" s="98"/>
      <c r="AH606" s="55"/>
    </row>
    <row r="607">
      <c r="R607" s="94"/>
      <c r="V607" s="95"/>
      <c r="W607" s="96"/>
      <c r="X607" s="55"/>
      <c r="Z607" s="96"/>
      <c r="AA607" s="96"/>
      <c r="AB607" s="96"/>
      <c r="AC607" s="96"/>
      <c r="AD607" s="97"/>
      <c r="AF607" s="98"/>
      <c r="AH607" s="55"/>
    </row>
    <row r="608">
      <c r="R608" s="94"/>
      <c r="V608" s="95"/>
      <c r="W608" s="96"/>
      <c r="X608" s="55"/>
      <c r="Z608" s="96"/>
      <c r="AA608" s="96"/>
      <c r="AB608" s="96"/>
      <c r="AC608" s="96"/>
      <c r="AD608" s="97"/>
      <c r="AF608" s="98"/>
      <c r="AH608" s="55"/>
    </row>
    <row r="609">
      <c r="R609" s="94"/>
      <c r="V609" s="95"/>
      <c r="W609" s="96"/>
      <c r="X609" s="55"/>
      <c r="Z609" s="96"/>
      <c r="AA609" s="96"/>
      <c r="AB609" s="96"/>
      <c r="AC609" s="96"/>
      <c r="AD609" s="97"/>
      <c r="AF609" s="98"/>
      <c r="AH609" s="55"/>
    </row>
    <row r="610">
      <c r="R610" s="94"/>
      <c r="V610" s="95"/>
      <c r="W610" s="96"/>
      <c r="X610" s="55"/>
      <c r="Z610" s="96"/>
      <c r="AA610" s="96"/>
      <c r="AB610" s="96"/>
      <c r="AC610" s="96"/>
      <c r="AD610" s="97"/>
      <c r="AF610" s="98"/>
      <c r="AH610" s="55"/>
    </row>
    <row r="611">
      <c r="R611" s="94"/>
      <c r="V611" s="95"/>
      <c r="W611" s="96"/>
      <c r="X611" s="55"/>
      <c r="Z611" s="96"/>
      <c r="AA611" s="96"/>
      <c r="AB611" s="96"/>
      <c r="AC611" s="96"/>
      <c r="AD611" s="97"/>
      <c r="AF611" s="98"/>
      <c r="AH611" s="55"/>
    </row>
    <row r="612">
      <c r="R612" s="94"/>
      <c r="V612" s="95"/>
      <c r="W612" s="96"/>
      <c r="X612" s="55"/>
      <c r="Z612" s="96"/>
      <c r="AA612" s="96"/>
      <c r="AB612" s="96"/>
      <c r="AC612" s="96"/>
      <c r="AD612" s="97"/>
      <c r="AF612" s="98"/>
      <c r="AH612" s="55"/>
    </row>
    <row r="613">
      <c r="R613" s="94"/>
      <c r="V613" s="95"/>
      <c r="W613" s="96"/>
      <c r="X613" s="55"/>
      <c r="Z613" s="96"/>
      <c r="AA613" s="96"/>
      <c r="AB613" s="96"/>
      <c r="AC613" s="96"/>
      <c r="AD613" s="97"/>
      <c r="AF613" s="98"/>
      <c r="AH613" s="55"/>
    </row>
    <row r="614">
      <c r="R614" s="94"/>
      <c r="V614" s="95"/>
      <c r="W614" s="96"/>
      <c r="X614" s="55"/>
      <c r="Z614" s="96"/>
      <c r="AA614" s="96"/>
      <c r="AB614" s="96"/>
      <c r="AC614" s="96"/>
      <c r="AD614" s="97"/>
      <c r="AF614" s="98"/>
      <c r="AH614" s="55"/>
    </row>
    <row r="615">
      <c r="R615" s="94"/>
      <c r="V615" s="95"/>
      <c r="W615" s="96"/>
      <c r="X615" s="55"/>
      <c r="Z615" s="96"/>
      <c r="AA615" s="96"/>
      <c r="AB615" s="96"/>
      <c r="AC615" s="96"/>
      <c r="AD615" s="97"/>
      <c r="AF615" s="98"/>
      <c r="AH615" s="55"/>
    </row>
    <row r="616">
      <c r="R616" s="94"/>
      <c r="V616" s="95"/>
      <c r="W616" s="96"/>
      <c r="X616" s="55"/>
      <c r="Z616" s="96"/>
      <c r="AA616" s="96"/>
      <c r="AB616" s="96"/>
      <c r="AC616" s="96"/>
      <c r="AD616" s="97"/>
      <c r="AF616" s="98"/>
      <c r="AH616" s="55"/>
    </row>
    <row r="617">
      <c r="R617" s="94"/>
      <c r="V617" s="95"/>
      <c r="W617" s="96"/>
      <c r="X617" s="55"/>
      <c r="Z617" s="96"/>
      <c r="AA617" s="96"/>
      <c r="AB617" s="96"/>
      <c r="AC617" s="96"/>
      <c r="AD617" s="97"/>
      <c r="AF617" s="98"/>
      <c r="AH617" s="55"/>
    </row>
    <row r="618">
      <c r="R618" s="94"/>
      <c r="V618" s="95"/>
      <c r="W618" s="96"/>
      <c r="X618" s="55"/>
      <c r="Z618" s="96"/>
      <c r="AA618" s="96"/>
      <c r="AB618" s="96"/>
      <c r="AC618" s="96"/>
      <c r="AD618" s="97"/>
      <c r="AF618" s="98"/>
      <c r="AH618" s="55"/>
    </row>
    <row r="619">
      <c r="R619" s="94"/>
      <c r="V619" s="95"/>
      <c r="W619" s="96"/>
      <c r="X619" s="55"/>
      <c r="Z619" s="96"/>
      <c r="AA619" s="96"/>
      <c r="AB619" s="96"/>
      <c r="AC619" s="96"/>
      <c r="AD619" s="97"/>
      <c r="AF619" s="98"/>
      <c r="AH619" s="55"/>
    </row>
    <row r="620">
      <c r="R620" s="94"/>
      <c r="V620" s="95"/>
      <c r="W620" s="96"/>
      <c r="X620" s="55"/>
      <c r="Z620" s="96"/>
      <c r="AA620" s="96"/>
      <c r="AB620" s="96"/>
      <c r="AC620" s="96"/>
      <c r="AD620" s="97"/>
      <c r="AF620" s="98"/>
      <c r="AH620" s="55"/>
    </row>
    <row r="621">
      <c r="R621" s="94"/>
      <c r="V621" s="95"/>
      <c r="W621" s="96"/>
      <c r="X621" s="55"/>
      <c r="Z621" s="96"/>
      <c r="AA621" s="96"/>
      <c r="AB621" s="96"/>
      <c r="AC621" s="96"/>
      <c r="AD621" s="97"/>
      <c r="AF621" s="98"/>
      <c r="AH621" s="55"/>
    </row>
    <row r="622">
      <c r="R622" s="94"/>
      <c r="V622" s="95"/>
      <c r="W622" s="96"/>
      <c r="X622" s="55"/>
      <c r="Z622" s="96"/>
      <c r="AA622" s="96"/>
      <c r="AB622" s="96"/>
      <c r="AC622" s="96"/>
      <c r="AD622" s="97"/>
      <c r="AF622" s="98"/>
      <c r="AH622" s="55"/>
    </row>
    <row r="623">
      <c r="R623" s="94"/>
      <c r="V623" s="95"/>
      <c r="W623" s="96"/>
      <c r="X623" s="55"/>
      <c r="Z623" s="96"/>
      <c r="AA623" s="96"/>
      <c r="AB623" s="96"/>
      <c r="AC623" s="96"/>
      <c r="AD623" s="97"/>
      <c r="AF623" s="98"/>
      <c r="AH623" s="55"/>
    </row>
    <row r="624">
      <c r="R624" s="94"/>
      <c r="V624" s="95"/>
      <c r="W624" s="96"/>
      <c r="X624" s="55"/>
      <c r="Z624" s="96"/>
      <c r="AA624" s="96"/>
      <c r="AB624" s="96"/>
      <c r="AC624" s="96"/>
      <c r="AD624" s="97"/>
      <c r="AF624" s="98"/>
      <c r="AH624" s="55"/>
    </row>
    <row r="625">
      <c r="R625" s="94"/>
      <c r="V625" s="95"/>
      <c r="W625" s="96"/>
      <c r="X625" s="55"/>
      <c r="Z625" s="96"/>
      <c r="AA625" s="96"/>
      <c r="AB625" s="96"/>
      <c r="AC625" s="96"/>
      <c r="AD625" s="97"/>
      <c r="AF625" s="98"/>
      <c r="AH625" s="55"/>
    </row>
    <row r="626">
      <c r="R626" s="94"/>
      <c r="V626" s="95"/>
      <c r="W626" s="96"/>
      <c r="X626" s="55"/>
      <c r="Z626" s="96"/>
      <c r="AA626" s="96"/>
      <c r="AB626" s="96"/>
      <c r="AC626" s="96"/>
      <c r="AD626" s="97"/>
      <c r="AF626" s="98"/>
      <c r="AH626" s="55"/>
    </row>
    <row r="627">
      <c r="R627" s="94"/>
      <c r="V627" s="95"/>
      <c r="W627" s="96"/>
      <c r="X627" s="55"/>
      <c r="Z627" s="96"/>
      <c r="AA627" s="96"/>
      <c r="AB627" s="96"/>
      <c r="AC627" s="96"/>
      <c r="AD627" s="97"/>
      <c r="AF627" s="98"/>
      <c r="AH627" s="55"/>
    </row>
    <row r="628">
      <c r="R628" s="94"/>
      <c r="V628" s="95"/>
      <c r="W628" s="96"/>
      <c r="X628" s="55"/>
      <c r="Z628" s="96"/>
      <c r="AA628" s="96"/>
      <c r="AB628" s="96"/>
      <c r="AC628" s="96"/>
      <c r="AD628" s="97"/>
      <c r="AF628" s="98"/>
      <c r="AH628" s="55"/>
    </row>
    <row r="629">
      <c r="R629" s="94"/>
      <c r="V629" s="95"/>
      <c r="W629" s="96"/>
      <c r="X629" s="55"/>
      <c r="Z629" s="96"/>
      <c r="AA629" s="96"/>
      <c r="AB629" s="96"/>
      <c r="AC629" s="96"/>
      <c r="AD629" s="97"/>
      <c r="AF629" s="98"/>
      <c r="AH629" s="55"/>
    </row>
    <row r="630">
      <c r="R630" s="94"/>
      <c r="V630" s="95"/>
      <c r="W630" s="96"/>
      <c r="X630" s="55"/>
      <c r="Z630" s="96"/>
      <c r="AA630" s="96"/>
      <c r="AB630" s="96"/>
      <c r="AC630" s="96"/>
      <c r="AD630" s="97"/>
      <c r="AF630" s="98"/>
      <c r="AH630" s="55"/>
    </row>
    <row r="631">
      <c r="R631" s="94"/>
      <c r="V631" s="95"/>
      <c r="W631" s="96"/>
      <c r="X631" s="55"/>
      <c r="Z631" s="96"/>
      <c r="AA631" s="96"/>
      <c r="AB631" s="96"/>
      <c r="AC631" s="96"/>
      <c r="AD631" s="97"/>
      <c r="AF631" s="98"/>
      <c r="AH631" s="55"/>
    </row>
    <row r="632">
      <c r="R632" s="94"/>
      <c r="V632" s="95"/>
      <c r="W632" s="96"/>
      <c r="X632" s="55"/>
      <c r="Z632" s="96"/>
      <c r="AA632" s="96"/>
      <c r="AB632" s="96"/>
      <c r="AC632" s="96"/>
      <c r="AD632" s="97"/>
      <c r="AF632" s="98"/>
      <c r="AH632" s="55"/>
    </row>
    <row r="633">
      <c r="R633" s="94"/>
      <c r="V633" s="95"/>
      <c r="W633" s="96"/>
      <c r="X633" s="55"/>
      <c r="Z633" s="96"/>
      <c r="AA633" s="96"/>
      <c r="AB633" s="96"/>
      <c r="AC633" s="96"/>
      <c r="AD633" s="97"/>
      <c r="AF633" s="98"/>
      <c r="AH633" s="55"/>
    </row>
    <row r="634">
      <c r="R634" s="94"/>
      <c r="V634" s="95"/>
      <c r="W634" s="96"/>
      <c r="X634" s="55"/>
      <c r="Z634" s="96"/>
      <c r="AA634" s="96"/>
      <c r="AB634" s="96"/>
      <c r="AC634" s="96"/>
      <c r="AD634" s="97"/>
      <c r="AF634" s="98"/>
      <c r="AH634" s="55"/>
    </row>
    <row r="635">
      <c r="R635" s="94"/>
      <c r="V635" s="95"/>
      <c r="W635" s="96"/>
      <c r="X635" s="55"/>
      <c r="Z635" s="96"/>
      <c r="AA635" s="96"/>
      <c r="AB635" s="96"/>
      <c r="AC635" s="96"/>
      <c r="AD635" s="97"/>
      <c r="AF635" s="98"/>
      <c r="AH635" s="55"/>
    </row>
    <row r="636">
      <c r="R636" s="94"/>
      <c r="V636" s="95"/>
      <c r="W636" s="96"/>
      <c r="X636" s="55"/>
      <c r="Z636" s="96"/>
      <c r="AA636" s="96"/>
      <c r="AB636" s="96"/>
      <c r="AC636" s="96"/>
      <c r="AD636" s="97"/>
      <c r="AF636" s="98"/>
      <c r="AH636" s="55"/>
    </row>
    <row r="637">
      <c r="R637" s="94"/>
      <c r="V637" s="95"/>
      <c r="W637" s="96"/>
      <c r="X637" s="55"/>
      <c r="Z637" s="96"/>
      <c r="AA637" s="96"/>
      <c r="AB637" s="96"/>
      <c r="AC637" s="96"/>
      <c r="AD637" s="97"/>
      <c r="AF637" s="98"/>
      <c r="AH637" s="55"/>
    </row>
    <row r="638">
      <c r="R638" s="94"/>
      <c r="V638" s="95"/>
      <c r="W638" s="96"/>
      <c r="X638" s="55"/>
      <c r="Z638" s="96"/>
      <c r="AA638" s="96"/>
      <c r="AB638" s="96"/>
      <c r="AC638" s="96"/>
      <c r="AD638" s="97"/>
      <c r="AF638" s="98"/>
      <c r="AH638" s="55"/>
    </row>
    <row r="639">
      <c r="R639" s="94"/>
      <c r="V639" s="95"/>
      <c r="W639" s="96"/>
      <c r="X639" s="55"/>
      <c r="Z639" s="96"/>
      <c r="AA639" s="96"/>
      <c r="AB639" s="96"/>
      <c r="AC639" s="96"/>
      <c r="AD639" s="97"/>
      <c r="AF639" s="98"/>
      <c r="AH639" s="55"/>
    </row>
    <row r="640">
      <c r="R640" s="94"/>
      <c r="V640" s="95"/>
      <c r="W640" s="96"/>
      <c r="X640" s="55"/>
      <c r="Z640" s="96"/>
      <c r="AA640" s="96"/>
      <c r="AB640" s="96"/>
      <c r="AC640" s="96"/>
      <c r="AD640" s="97"/>
      <c r="AF640" s="98"/>
      <c r="AH640" s="55"/>
    </row>
    <row r="641">
      <c r="R641" s="94"/>
      <c r="V641" s="95"/>
      <c r="W641" s="96"/>
      <c r="X641" s="55"/>
      <c r="Z641" s="96"/>
      <c r="AA641" s="96"/>
      <c r="AB641" s="96"/>
      <c r="AC641" s="96"/>
      <c r="AD641" s="97"/>
      <c r="AF641" s="98"/>
      <c r="AH641" s="55"/>
    </row>
    <row r="642">
      <c r="R642" s="94"/>
      <c r="V642" s="95"/>
      <c r="W642" s="96"/>
      <c r="X642" s="55"/>
      <c r="Z642" s="96"/>
      <c r="AA642" s="96"/>
      <c r="AB642" s="96"/>
      <c r="AC642" s="96"/>
      <c r="AD642" s="97"/>
      <c r="AF642" s="98"/>
      <c r="AH642" s="55"/>
    </row>
    <row r="643">
      <c r="R643" s="94"/>
      <c r="V643" s="95"/>
      <c r="W643" s="96"/>
      <c r="X643" s="55"/>
      <c r="Z643" s="96"/>
      <c r="AA643" s="96"/>
      <c r="AB643" s="96"/>
      <c r="AC643" s="96"/>
      <c r="AD643" s="97"/>
      <c r="AF643" s="98"/>
      <c r="AH643" s="55"/>
    </row>
    <row r="644">
      <c r="R644" s="94"/>
      <c r="V644" s="95"/>
      <c r="W644" s="96"/>
      <c r="X644" s="55"/>
      <c r="Z644" s="96"/>
      <c r="AA644" s="96"/>
      <c r="AB644" s="96"/>
      <c r="AC644" s="96"/>
      <c r="AD644" s="97"/>
      <c r="AF644" s="98"/>
      <c r="AH644" s="55"/>
    </row>
    <row r="645">
      <c r="R645" s="94"/>
      <c r="V645" s="95"/>
      <c r="W645" s="96"/>
      <c r="X645" s="55"/>
      <c r="Z645" s="96"/>
      <c r="AA645" s="96"/>
      <c r="AB645" s="96"/>
      <c r="AC645" s="96"/>
      <c r="AD645" s="97"/>
      <c r="AF645" s="98"/>
      <c r="AH645" s="55"/>
    </row>
    <row r="646">
      <c r="R646" s="94"/>
      <c r="V646" s="95"/>
      <c r="W646" s="96"/>
      <c r="X646" s="55"/>
      <c r="Z646" s="96"/>
      <c r="AA646" s="96"/>
      <c r="AB646" s="96"/>
      <c r="AC646" s="96"/>
      <c r="AD646" s="97"/>
      <c r="AF646" s="98"/>
      <c r="AH646" s="55"/>
    </row>
    <row r="647">
      <c r="R647" s="94"/>
      <c r="V647" s="95"/>
      <c r="W647" s="96"/>
      <c r="X647" s="55"/>
      <c r="Z647" s="96"/>
      <c r="AA647" s="96"/>
      <c r="AB647" s="96"/>
      <c r="AC647" s="96"/>
      <c r="AD647" s="97"/>
      <c r="AF647" s="98"/>
      <c r="AH647" s="55"/>
    </row>
    <row r="648">
      <c r="R648" s="94"/>
      <c r="V648" s="95"/>
      <c r="W648" s="96"/>
      <c r="X648" s="55"/>
      <c r="Z648" s="96"/>
      <c r="AA648" s="96"/>
      <c r="AB648" s="96"/>
      <c r="AC648" s="96"/>
      <c r="AD648" s="97"/>
      <c r="AF648" s="98"/>
      <c r="AH648" s="55"/>
    </row>
    <row r="649">
      <c r="R649" s="94"/>
      <c r="V649" s="95"/>
      <c r="W649" s="96"/>
      <c r="X649" s="55"/>
      <c r="Z649" s="96"/>
      <c r="AA649" s="96"/>
      <c r="AB649" s="96"/>
      <c r="AC649" s="96"/>
      <c r="AD649" s="97"/>
      <c r="AF649" s="98"/>
      <c r="AH649" s="55"/>
    </row>
    <row r="650">
      <c r="R650" s="94"/>
      <c r="V650" s="95"/>
      <c r="W650" s="96"/>
      <c r="X650" s="55"/>
      <c r="Z650" s="96"/>
      <c r="AA650" s="96"/>
      <c r="AB650" s="96"/>
      <c r="AC650" s="96"/>
      <c r="AD650" s="97"/>
      <c r="AF650" s="98"/>
      <c r="AH650" s="55"/>
    </row>
    <row r="651">
      <c r="R651" s="94"/>
      <c r="V651" s="95"/>
      <c r="W651" s="96"/>
      <c r="X651" s="55"/>
      <c r="Z651" s="96"/>
      <c r="AA651" s="96"/>
      <c r="AB651" s="96"/>
      <c r="AC651" s="96"/>
      <c r="AD651" s="97"/>
      <c r="AF651" s="98"/>
      <c r="AH651" s="55"/>
    </row>
    <row r="652">
      <c r="R652" s="94"/>
      <c r="V652" s="95"/>
      <c r="W652" s="96"/>
      <c r="X652" s="55"/>
      <c r="Z652" s="96"/>
      <c r="AA652" s="96"/>
      <c r="AB652" s="96"/>
      <c r="AC652" s="96"/>
      <c r="AD652" s="97"/>
      <c r="AF652" s="98"/>
      <c r="AH652" s="55"/>
    </row>
    <row r="653">
      <c r="R653" s="94"/>
      <c r="V653" s="95"/>
      <c r="W653" s="96"/>
      <c r="X653" s="55"/>
      <c r="Z653" s="96"/>
      <c r="AA653" s="96"/>
      <c r="AB653" s="96"/>
      <c r="AC653" s="96"/>
      <c r="AD653" s="97"/>
      <c r="AF653" s="98"/>
      <c r="AH653" s="55"/>
    </row>
    <row r="654">
      <c r="R654" s="94"/>
      <c r="V654" s="95"/>
      <c r="W654" s="96"/>
      <c r="X654" s="55"/>
      <c r="Z654" s="96"/>
      <c r="AA654" s="96"/>
      <c r="AB654" s="96"/>
      <c r="AC654" s="96"/>
      <c r="AD654" s="97"/>
      <c r="AF654" s="98"/>
      <c r="AH654" s="55"/>
    </row>
    <row r="655">
      <c r="R655" s="94"/>
      <c r="V655" s="95"/>
      <c r="W655" s="96"/>
      <c r="X655" s="55"/>
      <c r="Z655" s="96"/>
      <c r="AA655" s="96"/>
      <c r="AB655" s="96"/>
      <c r="AC655" s="96"/>
      <c r="AD655" s="97"/>
      <c r="AF655" s="98"/>
      <c r="AH655" s="55"/>
    </row>
    <row r="656">
      <c r="R656" s="94"/>
      <c r="V656" s="95"/>
      <c r="W656" s="96"/>
      <c r="X656" s="55"/>
      <c r="Z656" s="96"/>
      <c r="AA656" s="96"/>
      <c r="AB656" s="96"/>
      <c r="AC656" s="96"/>
      <c r="AD656" s="97"/>
      <c r="AF656" s="98"/>
      <c r="AH656" s="55"/>
    </row>
    <row r="657">
      <c r="R657" s="94"/>
      <c r="V657" s="95"/>
      <c r="W657" s="96"/>
      <c r="X657" s="55"/>
      <c r="Z657" s="96"/>
      <c r="AA657" s="96"/>
      <c r="AB657" s="96"/>
      <c r="AC657" s="96"/>
      <c r="AD657" s="97"/>
      <c r="AF657" s="98"/>
      <c r="AH657" s="55"/>
    </row>
    <row r="658">
      <c r="R658" s="94"/>
      <c r="V658" s="95"/>
      <c r="W658" s="96"/>
      <c r="X658" s="55"/>
      <c r="Z658" s="96"/>
      <c r="AA658" s="96"/>
      <c r="AB658" s="96"/>
      <c r="AC658" s="96"/>
      <c r="AD658" s="97"/>
      <c r="AF658" s="98"/>
      <c r="AH658" s="55"/>
    </row>
    <row r="659">
      <c r="R659" s="94"/>
      <c r="V659" s="95"/>
      <c r="W659" s="96"/>
      <c r="X659" s="55"/>
      <c r="Z659" s="96"/>
      <c r="AA659" s="96"/>
      <c r="AB659" s="96"/>
      <c r="AC659" s="96"/>
      <c r="AD659" s="97"/>
      <c r="AF659" s="98"/>
      <c r="AH659" s="55"/>
    </row>
    <row r="660">
      <c r="R660" s="94"/>
      <c r="V660" s="95"/>
      <c r="W660" s="96"/>
      <c r="X660" s="55"/>
      <c r="Z660" s="96"/>
      <c r="AA660" s="96"/>
      <c r="AB660" s="96"/>
      <c r="AC660" s="96"/>
      <c r="AD660" s="97"/>
      <c r="AF660" s="98"/>
      <c r="AH660" s="55"/>
    </row>
    <row r="661">
      <c r="R661" s="94"/>
      <c r="V661" s="95"/>
      <c r="W661" s="96"/>
      <c r="X661" s="55"/>
      <c r="Z661" s="96"/>
      <c r="AA661" s="96"/>
      <c r="AB661" s="96"/>
      <c r="AC661" s="96"/>
      <c r="AD661" s="97"/>
      <c r="AF661" s="98"/>
      <c r="AH661" s="55"/>
    </row>
    <row r="662">
      <c r="R662" s="94"/>
      <c r="V662" s="95"/>
      <c r="W662" s="96"/>
      <c r="X662" s="55"/>
      <c r="Z662" s="96"/>
      <c r="AA662" s="96"/>
      <c r="AB662" s="96"/>
      <c r="AC662" s="96"/>
      <c r="AD662" s="97"/>
      <c r="AF662" s="98"/>
      <c r="AH662" s="55"/>
    </row>
    <row r="663">
      <c r="R663" s="94"/>
      <c r="V663" s="95"/>
      <c r="W663" s="96"/>
      <c r="X663" s="55"/>
      <c r="Z663" s="96"/>
      <c r="AA663" s="96"/>
      <c r="AB663" s="96"/>
      <c r="AC663" s="96"/>
      <c r="AD663" s="97"/>
      <c r="AF663" s="98"/>
      <c r="AH663" s="55"/>
    </row>
    <row r="664">
      <c r="R664" s="94"/>
      <c r="V664" s="95"/>
      <c r="W664" s="96"/>
      <c r="X664" s="55"/>
      <c r="Z664" s="96"/>
      <c r="AA664" s="96"/>
      <c r="AB664" s="96"/>
      <c r="AC664" s="96"/>
      <c r="AD664" s="97"/>
      <c r="AF664" s="98"/>
      <c r="AH664" s="55"/>
    </row>
    <row r="665">
      <c r="R665" s="94"/>
      <c r="V665" s="95"/>
      <c r="W665" s="96"/>
      <c r="X665" s="55"/>
      <c r="Z665" s="96"/>
      <c r="AA665" s="96"/>
      <c r="AB665" s="96"/>
      <c r="AC665" s="96"/>
      <c r="AD665" s="97"/>
      <c r="AF665" s="98"/>
      <c r="AH665" s="55"/>
    </row>
    <row r="666">
      <c r="R666" s="94"/>
      <c r="V666" s="95"/>
      <c r="W666" s="96"/>
      <c r="X666" s="55"/>
      <c r="Z666" s="96"/>
      <c r="AA666" s="96"/>
      <c r="AB666" s="96"/>
      <c r="AC666" s="96"/>
      <c r="AD666" s="97"/>
      <c r="AF666" s="98"/>
      <c r="AH666" s="55"/>
    </row>
    <row r="667">
      <c r="R667" s="94"/>
      <c r="V667" s="95"/>
      <c r="W667" s="96"/>
      <c r="X667" s="55"/>
      <c r="Z667" s="96"/>
      <c r="AA667" s="96"/>
      <c r="AB667" s="96"/>
      <c r="AC667" s="96"/>
      <c r="AD667" s="97"/>
      <c r="AF667" s="98"/>
      <c r="AH667" s="55"/>
    </row>
    <row r="668">
      <c r="R668" s="94"/>
      <c r="V668" s="95"/>
      <c r="W668" s="96"/>
      <c r="X668" s="55"/>
      <c r="Z668" s="96"/>
      <c r="AA668" s="96"/>
      <c r="AB668" s="96"/>
      <c r="AC668" s="96"/>
      <c r="AD668" s="97"/>
      <c r="AF668" s="98"/>
      <c r="AH668" s="55"/>
    </row>
    <row r="669">
      <c r="R669" s="94"/>
      <c r="V669" s="95"/>
      <c r="W669" s="96"/>
      <c r="X669" s="55"/>
      <c r="Z669" s="96"/>
      <c r="AA669" s="96"/>
      <c r="AB669" s="96"/>
      <c r="AC669" s="96"/>
      <c r="AD669" s="97"/>
      <c r="AF669" s="98"/>
      <c r="AH669" s="55"/>
    </row>
    <row r="670">
      <c r="R670" s="94"/>
      <c r="V670" s="95"/>
      <c r="W670" s="96"/>
      <c r="X670" s="55"/>
      <c r="Z670" s="96"/>
      <c r="AA670" s="96"/>
      <c r="AB670" s="96"/>
      <c r="AC670" s="96"/>
      <c r="AD670" s="97"/>
      <c r="AF670" s="98"/>
      <c r="AH670" s="55"/>
    </row>
    <row r="671">
      <c r="R671" s="94"/>
      <c r="V671" s="95"/>
      <c r="W671" s="96"/>
      <c r="X671" s="55"/>
      <c r="Z671" s="96"/>
      <c r="AA671" s="96"/>
      <c r="AB671" s="96"/>
      <c r="AC671" s="96"/>
      <c r="AD671" s="97"/>
      <c r="AF671" s="98"/>
      <c r="AH671" s="55"/>
    </row>
    <row r="672">
      <c r="R672" s="94"/>
      <c r="V672" s="95"/>
      <c r="W672" s="96"/>
      <c r="X672" s="55"/>
      <c r="Z672" s="96"/>
      <c r="AA672" s="96"/>
      <c r="AB672" s="96"/>
      <c r="AC672" s="96"/>
      <c r="AD672" s="97"/>
      <c r="AF672" s="98"/>
      <c r="AH672" s="55"/>
    </row>
    <row r="673">
      <c r="R673" s="94"/>
      <c r="V673" s="95"/>
      <c r="W673" s="96"/>
      <c r="X673" s="55"/>
      <c r="Z673" s="96"/>
      <c r="AA673" s="96"/>
      <c r="AB673" s="96"/>
      <c r="AC673" s="96"/>
      <c r="AD673" s="97"/>
      <c r="AF673" s="98"/>
      <c r="AH673" s="55"/>
    </row>
    <row r="674">
      <c r="R674" s="94"/>
      <c r="V674" s="95"/>
      <c r="W674" s="96"/>
      <c r="X674" s="55"/>
      <c r="Z674" s="96"/>
      <c r="AA674" s="96"/>
      <c r="AB674" s="96"/>
      <c r="AC674" s="96"/>
      <c r="AD674" s="97"/>
      <c r="AF674" s="98"/>
      <c r="AH674" s="55"/>
    </row>
    <row r="675">
      <c r="R675" s="94"/>
      <c r="V675" s="95"/>
      <c r="W675" s="96"/>
      <c r="X675" s="55"/>
      <c r="Z675" s="96"/>
      <c r="AA675" s="96"/>
      <c r="AB675" s="96"/>
      <c r="AC675" s="96"/>
      <c r="AD675" s="97"/>
      <c r="AF675" s="98"/>
      <c r="AH675" s="55"/>
    </row>
    <row r="676">
      <c r="R676" s="94"/>
      <c r="V676" s="95"/>
      <c r="W676" s="96"/>
      <c r="X676" s="55"/>
      <c r="Z676" s="96"/>
      <c r="AA676" s="96"/>
      <c r="AB676" s="96"/>
      <c r="AC676" s="96"/>
      <c r="AD676" s="97"/>
      <c r="AF676" s="98"/>
      <c r="AH676" s="55"/>
    </row>
    <row r="677">
      <c r="R677" s="94"/>
      <c r="V677" s="95"/>
      <c r="W677" s="96"/>
      <c r="X677" s="55"/>
      <c r="Z677" s="96"/>
      <c r="AA677" s="96"/>
      <c r="AB677" s="96"/>
      <c r="AC677" s="96"/>
      <c r="AD677" s="97"/>
      <c r="AF677" s="98"/>
      <c r="AH677" s="55"/>
    </row>
    <row r="678">
      <c r="R678" s="94"/>
      <c r="V678" s="95"/>
      <c r="W678" s="96"/>
      <c r="X678" s="55"/>
      <c r="Z678" s="96"/>
      <c r="AA678" s="96"/>
      <c r="AB678" s="96"/>
      <c r="AC678" s="96"/>
      <c r="AD678" s="97"/>
      <c r="AF678" s="98"/>
      <c r="AH678" s="55"/>
    </row>
    <row r="679">
      <c r="R679" s="94"/>
      <c r="V679" s="95"/>
      <c r="W679" s="96"/>
      <c r="X679" s="55"/>
      <c r="Z679" s="96"/>
      <c r="AA679" s="96"/>
      <c r="AB679" s="96"/>
      <c r="AC679" s="96"/>
      <c r="AD679" s="97"/>
      <c r="AF679" s="98"/>
      <c r="AH679" s="55"/>
    </row>
    <row r="680">
      <c r="R680" s="94"/>
      <c r="V680" s="95"/>
      <c r="W680" s="96"/>
      <c r="X680" s="55"/>
      <c r="Z680" s="96"/>
      <c r="AA680" s="96"/>
      <c r="AB680" s="96"/>
      <c r="AC680" s="96"/>
      <c r="AD680" s="97"/>
      <c r="AF680" s="98"/>
      <c r="AH680" s="55"/>
    </row>
    <row r="681">
      <c r="R681" s="94"/>
      <c r="V681" s="95"/>
      <c r="W681" s="96"/>
      <c r="X681" s="55"/>
      <c r="Z681" s="96"/>
      <c r="AA681" s="96"/>
      <c r="AB681" s="96"/>
      <c r="AC681" s="96"/>
      <c r="AD681" s="97"/>
      <c r="AF681" s="98"/>
      <c r="AH681" s="55"/>
    </row>
    <row r="682">
      <c r="R682" s="94"/>
      <c r="V682" s="95"/>
      <c r="W682" s="96"/>
      <c r="X682" s="55"/>
      <c r="Z682" s="96"/>
      <c r="AA682" s="96"/>
      <c r="AB682" s="96"/>
      <c r="AC682" s="96"/>
      <c r="AD682" s="97"/>
      <c r="AF682" s="98"/>
      <c r="AH682" s="55"/>
    </row>
    <row r="683">
      <c r="R683" s="94"/>
      <c r="V683" s="95"/>
      <c r="W683" s="96"/>
      <c r="X683" s="55"/>
      <c r="Z683" s="96"/>
      <c r="AA683" s="96"/>
      <c r="AB683" s="96"/>
      <c r="AC683" s="96"/>
      <c r="AD683" s="97"/>
      <c r="AF683" s="98"/>
      <c r="AH683" s="55"/>
    </row>
    <row r="684">
      <c r="R684" s="94"/>
      <c r="V684" s="95"/>
      <c r="W684" s="96"/>
      <c r="X684" s="55"/>
      <c r="Z684" s="96"/>
      <c r="AA684" s="96"/>
      <c r="AB684" s="96"/>
      <c r="AC684" s="96"/>
      <c r="AD684" s="97"/>
      <c r="AF684" s="98"/>
      <c r="AH684" s="55"/>
    </row>
    <row r="685">
      <c r="R685" s="94"/>
      <c r="V685" s="95"/>
      <c r="W685" s="96"/>
      <c r="X685" s="55"/>
      <c r="Z685" s="96"/>
      <c r="AA685" s="96"/>
      <c r="AB685" s="96"/>
      <c r="AC685" s="96"/>
      <c r="AD685" s="97"/>
      <c r="AF685" s="98"/>
      <c r="AH685" s="55"/>
    </row>
    <row r="686">
      <c r="R686" s="94"/>
      <c r="V686" s="95"/>
      <c r="W686" s="96"/>
      <c r="X686" s="55"/>
      <c r="Z686" s="96"/>
      <c r="AA686" s="96"/>
      <c r="AB686" s="96"/>
      <c r="AC686" s="96"/>
      <c r="AD686" s="97"/>
      <c r="AF686" s="98"/>
      <c r="AH686" s="55"/>
    </row>
    <row r="687">
      <c r="R687" s="94"/>
      <c r="V687" s="95"/>
      <c r="W687" s="96"/>
      <c r="X687" s="55"/>
      <c r="Z687" s="96"/>
      <c r="AA687" s="96"/>
      <c r="AB687" s="96"/>
      <c r="AC687" s="96"/>
      <c r="AD687" s="97"/>
      <c r="AF687" s="98"/>
      <c r="AH687" s="55"/>
    </row>
    <row r="688">
      <c r="R688" s="94"/>
      <c r="V688" s="95"/>
      <c r="W688" s="96"/>
      <c r="X688" s="55"/>
      <c r="Z688" s="96"/>
      <c r="AA688" s="96"/>
      <c r="AB688" s="96"/>
      <c r="AC688" s="96"/>
      <c r="AD688" s="97"/>
      <c r="AF688" s="98"/>
      <c r="AH688" s="55"/>
    </row>
    <row r="689">
      <c r="R689" s="94"/>
      <c r="V689" s="95"/>
      <c r="W689" s="96"/>
      <c r="X689" s="55"/>
      <c r="Z689" s="96"/>
      <c r="AA689" s="96"/>
      <c r="AB689" s="96"/>
      <c r="AC689" s="96"/>
      <c r="AD689" s="97"/>
      <c r="AF689" s="98"/>
      <c r="AH689" s="55"/>
    </row>
    <row r="690">
      <c r="R690" s="94"/>
      <c r="V690" s="95"/>
      <c r="W690" s="96"/>
      <c r="X690" s="55"/>
      <c r="Z690" s="96"/>
      <c r="AA690" s="96"/>
      <c r="AB690" s="96"/>
      <c r="AC690" s="96"/>
      <c r="AD690" s="97"/>
      <c r="AF690" s="98"/>
      <c r="AH690" s="55"/>
    </row>
    <row r="691">
      <c r="R691" s="94"/>
      <c r="V691" s="95"/>
      <c r="W691" s="96"/>
      <c r="X691" s="55"/>
      <c r="Z691" s="96"/>
      <c r="AA691" s="96"/>
      <c r="AB691" s="96"/>
      <c r="AC691" s="96"/>
      <c r="AD691" s="97"/>
      <c r="AF691" s="98"/>
      <c r="AH691" s="55"/>
    </row>
    <row r="692">
      <c r="R692" s="94"/>
      <c r="V692" s="95"/>
      <c r="W692" s="96"/>
      <c r="X692" s="55"/>
      <c r="Z692" s="96"/>
      <c r="AA692" s="96"/>
      <c r="AB692" s="96"/>
      <c r="AC692" s="96"/>
      <c r="AD692" s="97"/>
      <c r="AF692" s="98"/>
      <c r="AH692" s="55"/>
    </row>
    <row r="693">
      <c r="R693" s="94"/>
      <c r="V693" s="95"/>
      <c r="W693" s="96"/>
      <c r="X693" s="55"/>
      <c r="Z693" s="96"/>
      <c r="AA693" s="96"/>
      <c r="AB693" s="96"/>
      <c r="AC693" s="96"/>
      <c r="AD693" s="97"/>
      <c r="AF693" s="98"/>
      <c r="AH693" s="55"/>
    </row>
    <row r="694">
      <c r="R694" s="94"/>
      <c r="V694" s="95"/>
      <c r="W694" s="96"/>
      <c r="X694" s="55"/>
      <c r="Z694" s="96"/>
      <c r="AA694" s="96"/>
      <c r="AB694" s="96"/>
      <c r="AC694" s="96"/>
      <c r="AD694" s="97"/>
      <c r="AF694" s="98"/>
      <c r="AH694" s="55"/>
    </row>
    <row r="695">
      <c r="R695" s="94"/>
      <c r="V695" s="95"/>
      <c r="W695" s="96"/>
      <c r="X695" s="55"/>
      <c r="Z695" s="96"/>
      <c r="AA695" s="96"/>
      <c r="AB695" s="96"/>
      <c r="AC695" s="96"/>
      <c r="AD695" s="97"/>
      <c r="AF695" s="98"/>
      <c r="AH695" s="55"/>
    </row>
    <row r="696">
      <c r="R696" s="94"/>
      <c r="V696" s="95"/>
      <c r="W696" s="96"/>
      <c r="X696" s="55"/>
      <c r="Z696" s="96"/>
      <c r="AA696" s="96"/>
      <c r="AB696" s="96"/>
      <c r="AC696" s="96"/>
      <c r="AD696" s="97"/>
      <c r="AF696" s="98"/>
      <c r="AH696" s="55"/>
    </row>
    <row r="697">
      <c r="R697" s="94"/>
      <c r="V697" s="95"/>
      <c r="W697" s="96"/>
      <c r="X697" s="55"/>
      <c r="Z697" s="96"/>
      <c r="AA697" s="96"/>
      <c r="AB697" s="96"/>
      <c r="AC697" s="96"/>
      <c r="AD697" s="97"/>
      <c r="AF697" s="98"/>
      <c r="AH697" s="55"/>
    </row>
    <row r="698">
      <c r="R698" s="94"/>
      <c r="V698" s="95"/>
      <c r="W698" s="96"/>
      <c r="X698" s="55"/>
      <c r="Z698" s="96"/>
      <c r="AA698" s="96"/>
      <c r="AB698" s="96"/>
      <c r="AC698" s="96"/>
      <c r="AD698" s="97"/>
      <c r="AF698" s="98"/>
      <c r="AH698" s="55"/>
    </row>
    <row r="699">
      <c r="R699" s="94"/>
      <c r="V699" s="95"/>
      <c r="W699" s="96"/>
      <c r="X699" s="55"/>
      <c r="Z699" s="96"/>
      <c r="AA699" s="96"/>
      <c r="AB699" s="96"/>
      <c r="AC699" s="96"/>
      <c r="AD699" s="97"/>
      <c r="AF699" s="98"/>
      <c r="AH699" s="55"/>
    </row>
    <row r="700">
      <c r="R700" s="94"/>
      <c r="V700" s="95"/>
      <c r="W700" s="96"/>
      <c r="X700" s="55"/>
      <c r="Z700" s="96"/>
      <c r="AA700" s="96"/>
      <c r="AB700" s="96"/>
      <c r="AC700" s="96"/>
      <c r="AD700" s="97"/>
      <c r="AF700" s="98"/>
      <c r="AH700" s="55"/>
    </row>
    <row r="701">
      <c r="R701" s="94"/>
      <c r="V701" s="95"/>
      <c r="W701" s="96"/>
      <c r="X701" s="55"/>
      <c r="Z701" s="96"/>
      <c r="AA701" s="96"/>
      <c r="AB701" s="96"/>
      <c r="AC701" s="96"/>
      <c r="AD701" s="97"/>
      <c r="AF701" s="98"/>
      <c r="AH701" s="55"/>
    </row>
    <row r="702">
      <c r="R702" s="94"/>
      <c r="V702" s="95"/>
      <c r="W702" s="96"/>
      <c r="X702" s="55"/>
      <c r="Z702" s="96"/>
      <c r="AA702" s="96"/>
      <c r="AB702" s="96"/>
      <c r="AC702" s="96"/>
      <c r="AD702" s="97"/>
      <c r="AF702" s="98"/>
      <c r="AH702" s="55"/>
    </row>
    <row r="703">
      <c r="R703" s="94"/>
      <c r="V703" s="95"/>
      <c r="W703" s="96"/>
      <c r="X703" s="55"/>
      <c r="Z703" s="96"/>
      <c r="AA703" s="96"/>
      <c r="AB703" s="96"/>
      <c r="AC703" s="96"/>
      <c r="AD703" s="97"/>
      <c r="AF703" s="98"/>
      <c r="AH703" s="55"/>
    </row>
    <row r="704">
      <c r="R704" s="94"/>
      <c r="V704" s="95"/>
      <c r="W704" s="96"/>
      <c r="X704" s="55"/>
      <c r="Z704" s="96"/>
      <c r="AA704" s="96"/>
      <c r="AB704" s="96"/>
      <c r="AC704" s="96"/>
      <c r="AD704" s="97"/>
      <c r="AF704" s="98"/>
      <c r="AH704" s="55"/>
    </row>
    <row r="705">
      <c r="R705" s="94"/>
      <c r="V705" s="95"/>
      <c r="W705" s="96"/>
      <c r="X705" s="55"/>
      <c r="Z705" s="96"/>
      <c r="AA705" s="96"/>
      <c r="AB705" s="96"/>
      <c r="AC705" s="96"/>
      <c r="AD705" s="97"/>
      <c r="AF705" s="98"/>
      <c r="AH705" s="55"/>
    </row>
    <row r="706">
      <c r="R706" s="94"/>
      <c r="V706" s="95"/>
      <c r="W706" s="96"/>
      <c r="X706" s="55"/>
      <c r="Z706" s="96"/>
      <c r="AA706" s="96"/>
      <c r="AB706" s="96"/>
      <c r="AC706" s="96"/>
      <c r="AD706" s="97"/>
      <c r="AF706" s="98"/>
      <c r="AH706" s="55"/>
    </row>
    <row r="707">
      <c r="R707" s="94"/>
      <c r="V707" s="95"/>
      <c r="W707" s="96"/>
      <c r="X707" s="55"/>
      <c r="Z707" s="96"/>
      <c r="AA707" s="96"/>
      <c r="AB707" s="96"/>
      <c r="AC707" s="96"/>
      <c r="AD707" s="97"/>
      <c r="AF707" s="98"/>
      <c r="AH707" s="55"/>
    </row>
    <row r="708">
      <c r="R708" s="94"/>
      <c r="V708" s="95"/>
      <c r="W708" s="96"/>
      <c r="X708" s="55"/>
      <c r="Z708" s="96"/>
      <c r="AA708" s="96"/>
      <c r="AB708" s="96"/>
      <c r="AC708" s="96"/>
      <c r="AD708" s="97"/>
      <c r="AF708" s="98"/>
      <c r="AH708" s="55"/>
    </row>
    <row r="709">
      <c r="R709" s="94"/>
      <c r="V709" s="95"/>
      <c r="W709" s="96"/>
      <c r="X709" s="55"/>
      <c r="Z709" s="96"/>
      <c r="AA709" s="96"/>
      <c r="AB709" s="96"/>
      <c r="AC709" s="96"/>
      <c r="AD709" s="97"/>
      <c r="AF709" s="98"/>
      <c r="AH709" s="55"/>
    </row>
    <row r="710">
      <c r="R710" s="94"/>
      <c r="V710" s="95"/>
      <c r="W710" s="96"/>
      <c r="X710" s="55"/>
      <c r="Z710" s="96"/>
      <c r="AA710" s="96"/>
      <c r="AB710" s="96"/>
      <c r="AC710" s="96"/>
      <c r="AD710" s="97"/>
      <c r="AF710" s="98"/>
      <c r="AH710" s="55"/>
    </row>
    <row r="711">
      <c r="R711" s="94"/>
      <c r="V711" s="95"/>
      <c r="W711" s="96"/>
      <c r="X711" s="55"/>
      <c r="Z711" s="96"/>
      <c r="AA711" s="96"/>
      <c r="AB711" s="96"/>
      <c r="AC711" s="96"/>
      <c r="AD711" s="97"/>
      <c r="AF711" s="98"/>
      <c r="AH711" s="55"/>
    </row>
    <row r="712">
      <c r="R712" s="94"/>
      <c r="V712" s="95"/>
      <c r="W712" s="96"/>
      <c r="X712" s="55"/>
      <c r="Z712" s="96"/>
      <c r="AA712" s="96"/>
      <c r="AB712" s="96"/>
      <c r="AC712" s="96"/>
      <c r="AD712" s="97"/>
      <c r="AF712" s="98"/>
      <c r="AH712" s="55"/>
    </row>
    <row r="713">
      <c r="R713" s="94"/>
      <c r="V713" s="95"/>
      <c r="W713" s="96"/>
      <c r="X713" s="55"/>
      <c r="Z713" s="96"/>
      <c r="AA713" s="96"/>
      <c r="AB713" s="96"/>
      <c r="AC713" s="96"/>
      <c r="AD713" s="97"/>
      <c r="AF713" s="98"/>
      <c r="AH713" s="55"/>
    </row>
    <row r="714">
      <c r="R714" s="94"/>
      <c r="V714" s="95"/>
      <c r="W714" s="96"/>
      <c r="X714" s="55"/>
      <c r="Z714" s="96"/>
      <c r="AA714" s="96"/>
      <c r="AB714" s="96"/>
      <c r="AC714" s="96"/>
      <c r="AD714" s="97"/>
      <c r="AF714" s="98"/>
      <c r="AH714" s="55"/>
    </row>
    <row r="715">
      <c r="R715" s="94"/>
      <c r="V715" s="95"/>
      <c r="W715" s="96"/>
      <c r="X715" s="55"/>
      <c r="Z715" s="96"/>
      <c r="AA715" s="96"/>
      <c r="AB715" s="96"/>
      <c r="AC715" s="96"/>
      <c r="AD715" s="97"/>
      <c r="AF715" s="98"/>
      <c r="AH715" s="55"/>
    </row>
    <row r="716">
      <c r="R716" s="94"/>
      <c r="V716" s="95"/>
      <c r="W716" s="96"/>
      <c r="X716" s="55"/>
      <c r="Z716" s="96"/>
      <c r="AA716" s="96"/>
      <c r="AB716" s="96"/>
      <c r="AC716" s="96"/>
      <c r="AD716" s="97"/>
      <c r="AF716" s="98"/>
      <c r="AH716" s="55"/>
    </row>
    <row r="717">
      <c r="R717" s="94"/>
      <c r="V717" s="95"/>
      <c r="W717" s="96"/>
      <c r="X717" s="55"/>
      <c r="Z717" s="96"/>
      <c r="AA717" s="96"/>
      <c r="AB717" s="96"/>
      <c r="AC717" s="96"/>
      <c r="AD717" s="97"/>
      <c r="AF717" s="98"/>
      <c r="AH717" s="55"/>
    </row>
    <row r="718">
      <c r="R718" s="94"/>
      <c r="V718" s="95"/>
      <c r="W718" s="96"/>
      <c r="X718" s="55"/>
      <c r="Z718" s="96"/>
      <c r="AA718" s="96"/>
      <c r="AB718" s="96"/>
      <c r="AC718" s="96"/>
      <c r="AD718" s="97"/>
      <c r="AF718" s="98"/>
      <c r="AH718" s="55"/>
    </row>
    <row r="719">
      <c r="R719" s="94"/>
      <c r="V719" s="95"/>
      <c r="W719" s="96"/>
      <c r="X719" s="55"/>
      <c r="Z719" s="96"/>
      <c r="AA719" s="96"/>
      <c r="AB719" s="96"/>
      <c r="AC719" s="96"/>
      <c r="AD719" s="97"/>
      <c r="AF719" s="98"/>
      <c r="AH719" s="55"/>
    </row>
    <row r="720">
      <c r="R720" s="94"/>
      <c r="V720" s="95"/>
      <c r="W720" s="96"/>
      <c r="X720" s="55"/>
      <c r="Z720" s="96"/>
      <c r="AA720" s="96"/>
      <c r="AB720" s="96"/>
      <c r="AC720" s="96"/>
      <c r="AD720" s="97"/>
      <c r="AF720" s="98"/>
      <c r="AH720" s="55"/>
    </row>
    <row r="721">
      <c r="R721" s="94"/>
      <c r="V721" s="95"/>
      <c r="W721" s="96"/>
      <c r="X721" s="55"/>
      <c r="Z721" s="96"/>
      <c r="AA721" s="96"/>
      <c r="AB721" s="96"/>
      <c r="AC721" s="96"/>
      <c r="AD721" s="97"/>
      <c r="AF721" s="98"/>
      <c r="AH721" s="55"/>
    </row>
    <row r="722">
      <c r="R722" s="94"/>
      <c r="V722" s="95"/>
      <c r="W722" s="96"/>
      <c r="X722" s="55"/>
      <c r="Z722" s="96"/>
      <c r="AA722" s="96"/>
      <c r="AB722" s="96"/>
      <c r="AC722" s="96"/>
      <c r="AD722" s="97"/>
      <c r="AF722" s="98"/>
      <c r="AH722" s="55"/>
    </row>
    <row r="723">
      <c r="R723" s="94"/>
      <c r="V723" s="95"/>
      <c r="W723" s="96"/>
      <c r="X723" s="55"/>
      <c r="Z723" s="96"/>
      <c r="AA723" s="96"/>
      <c r="AB723" s="96"/>
      <c r="AC723" s="96"/>
      <c r="AD723" s="97"/>
      <c r="AF723" s="98"/>
      <c r="AH723" s="55"/>
    </row>
    <row r="724">
      <c r="R724" s="94"/>
      <c r="V724" s="95"/>
      <c r="W724" s="96"/>
      <c r="X724" s="55"/>
      <c r="Z724" s="96"/>
      <c r="AA724" s="96"/>
      <c r="AB724" s="96"/>
      <c r="AC724" s="96"/>
      <c r="AD724" s="97"/>
      <c r="AF724" s="98"/>
      <c r="AH724" s="55"/>
    </row>
    <row r="725">
      <c r="R725" s="94"/>
      <c r="V725" s="95"/>
      <c r="W725" s="96"/>
      <c r="X725" s="55"/>
      <c r="Z725" s="96"/>
      <c r="AA725" s="96"/>
      <c r="AB725" s="96"/>
      <c r="AC725" s="96"/>
      <c r="AD725" s="97"/>
      <c r="AF725" s="98"/>
      <c r="AH725" s="55"/>
    </row>
    <row r="726">
      <c r="R726" s="94"/>
      <c r="V726" s="95"/>
      <c r="W726" s="96"/>
      <c r="X726" s="55"/>
      <c r="Z726" s="96"/>
      <c r="AA726" s="96"/>
      <c r="AB726" s="96"/>
      <c r="AC726" s="96"/>
      <c r="AD726" s="97"/>
      <c r="AF726" s="98"/>
      <c r="AH726" s="55"/>
    </row>
    <row r="727">
      <c r="R727" s="94"/>
      <c r="V727" s="95"/>
      <c r="W727" s="96"/>
      <c r="X727" s="55"/>
      <c r="Z727" s="96"/>
      <c r="AA727" s="96"/>
      <c r="AB727" s="96"/>
      <c r="AC727" s="96"/>
      <c r="AD727" s="97"/>
      <c r="AF727" s="98"/>
      <c r="AH727" s="55"/>
    </row>
    <row r="728">
      <c r="R728" s="94"/>
      <c r="V728" s="95"/>
      <c r="W728" s="96"/>
      <c r="X728" s="55"/>
      <c r="Z728" s="96"/>
      <c r="AA728" s="96"/>
      <c r="AB728" s="96"/>
      <c r="AC728" s="96"/>
      <c r="AD728" s="97"/>
      <c r="AF728" s="98"/>
      <c r="AH728" s="55"/>
    </row>
    <row r="729">
      <c r="R729" s="94"/>
      <c r="V729" s="95"/>
      <c r="W729" s="96"/>
      <c r="X729" s="55"/>
      <c r="Z729" s="96"/>
      <c r="AA729" s="96"/>
      <c r="AB729" s="96"/>
      <c r="AC729" s="96"/>
      <c r="AD729" s="97"/>
      <c r="AF729" s="98"/>
      <c r="AH729" s="55"/>
    </row>
    <row r="730">
      <c r="R730" s="94"/>
      <c r="V730" s="95"/>
      <c r="W730" s="96"/>
      <c r="X730" s="55"/>
      <c r="Z730" s="96"/>
      <c r="AA730" s="96"/>
      <c r="AB730" s="96"/>
      <c r="AC730" s="96"/>
      <c r="AD730" s="97"/>
      <c r="AF730" s="98"/>
      <c r="AH730" s="55"/>
    </row>
    <row r="731">
      <c r="R731" s="94"/>
      <c r="V731" s="95"/>
      <c r="W731" s="96"/>
      <c r="X731" s="55"/>
      <c r="Z731" s="96"/>
      <c r="AA731" s="96"/>
      <c r="AB731" s="96"/>
      <c r="AC731" s="96"/>
      <c r="AD731" s="97"/>
      <c r="AF731" s="98"/>
      <c r="AH731" s="55"/>
    </row>
    <row r="732">
      <c r="R732" s="94"/>
      <c r="V732" s="95"/>
      <c r="W732" s="96"/>
      <c r="X732" s="55"/>
      <c r="Z732" s="96"/>
      <c r="AA732" s="96"/>
      <c r="AB732" s="96"/>
      <c r="AC732" s="96"/>
      <c r="AD732" s="97"/>
      <c r="AF732" s="98"/>
      <c r="AH732" s="55"/>
    </row>
    <row r="733">
      <c r="R733" s="94"/>
      <c r="V733" s="95"/>
      <c r="W733" s="96"/>
      <c r="X733" s="55"/>
      <c r="Z733" s="96"/>
      <c r="AA733" s="96"/>
      <c r="AB733" s="96"/>
      <c r="AC733" s="96"/>
      <c r="AD733" s="97"/>
      <c r="AF733" s="98"/>
      <c r="AH733" s="55"/>
    </row>
    <row r="734">
      <c r="R734" s="94"/>
      <c r="V734" s="95"/>
      <c r="W734" s="96"/>
      <c r="X734" s="55"/>
      <c r="Z734" s="96"/>
      <c r="AA734" s="96"/>
      <c r="AB734" s="96"/>
      <c r="AC734" s="96"/>
      <c r="AD734" s="97"/>
      <c r="AF734" s="98"/>
      <c r="AH734" s="55"/>
    </row>
    <row r="735">
      <c r="R735" s="94"/>
      <c r="V735" s="95"/>
      <c r="W735" s="96"/>
      <c r="X735" s="55"/>
      <c r="Z735" s="96"/>
      <c r="AA735" s="96"/>
      <c r="AB735" s="96"/>
      <c r="AC735" s="96"/>
      <c r="AD735" s="97"/>
      <c r="AF735" s="98"/>
      <c r="AH735" s="55"/>
    </row>
    <row r="736">
      <c r="R736" s="94"/>
      <c r="V736" s="95"/>
      <c r="W736" s="96"/>
      <c r="X736" s="55"/>
      <c r="Z736" s="96"/>
      <c r="AA736" s="96"/>
      <c r="AB736" s="96"/>
      <c r="AC736" s="96"/>
      <c r="AD736" s="97"/>
      <c r="AF736" s="98"/>
      <c r="AH736" s="55"/>
    </row>
    <row r="737">
      <c r="R737" s="94"/>
      <c r="V737" s="95"/>
      <c r="W737" s="96"/>
      <c r="X737" s="55"/>
      <c r="Z737" s="96"/>
      <c r="AA737" s="96"/>
      <c r="AB737" s="96"/>
      <c r="AC737" s="96"/>
      <c r="AD737" s="97"/>
      <c r="AF737" s="98"/>
      <c r="AH737" s="55"/>
    </row>
    <row r="738">
      <c r="R738" s="94"/>
      <c r="V738" s="95"/>
      <c r="W738" s="96"/>
      <c r="X738" s="55"/>
      <c r="Z738" s="96"/>
      <c r="AA738" s="96"/>
      <c r="AB738" s="96"/>
      <c r="AC738" s="96"/>
      <c r="AD738" s="97"/>
      <c r="AF738" s="98"/>
      <c r="AH738" s="55"/>
    </row>
    <row r="739">
      <c r="R739" s="94"/>
      <c r="V739" s="95"/>
      <c r="W739" s="96"/>
      <c r="X739" s="55"/>
      <c r="Z739" s="96"/>
      <c r="AA739" s="96"/>
      <c r="AB739" s="96"/>
      <c r="AC739" s="96"/>
      <c r="AD739" s="97"/>
      <c r="AF739" s="98"/>
      <c r="AH739" s="55"/>
    </row>
    <row r="740">
      <c r="R740" s="94"/>
      <c r="V740" s="95"/>
      <c r="W740" s="96"/>
      <c r="X740" s="55"/>
      <c r="Z740" s="96"/>
      <c r="AA740" s="96"/>
      <c r="AB740" s="96"/>
      <c r="AC740" s="96"/>
      <c r="AD740" s="97"/>
      <c r="AF740" s="98"/>
      <c r="AH740" s="55"/>
    </row>
    <row r="741">
      <c r="R741" s="94"/>
      <c r="V741" s="95"/>
      <c r="W741" s="96"/>
      <c r="X741" s="55"/>
      <c r="Z741" s="96"/>
      <c r="AA741" s="96"/>
      <c r="AB741" s="96"/>
      <c r="AC741" s="96"/>
      <c r="AD741" s="97"/>
      <c r="AF741" s="98"/>
      <c r="AH741" s="55"/>
    </row>
    <row r="742">
      <c r="R742" s="94"/>
      <c r="V742" s="95"/>
      <c r="W742" s="96"/>
      <c r="X742" s="55"/>
      <c r="Z742" s="96"/>
      <c r="AA742" s="96"/>
      <c r="AB742" s="96"/>
      <c r="AC742" s="96"/>
      <c r="AD742" s="97"/>
      <c r="AF742" s="98"/>
      <c r="AH742" s="55"/>
    </row>
    <row r="743">
      <c r="R743" s="94"/>
      <c r="V743" s="95"/>
      <c r="W743" s="96"/>
      <c r="X743" s="55"/>
      <c r="Z743" s="96"/>
      <c r="AA743" s="96"/>
      <c r="AB743" s="96"/>
      <c r="AC743" s="96"/>
      <c r="AD743" s="97"/>
      <c r="AF743" s="98"/>
      <c r="AH743" s="55"/>
    </row>
    <row r="744">
      <c r="R744" s="94"/>
      <c r="V744" s="95"/>
      <c r="W744" s="96"/>
      <c r="X744" s="55"/>
      <c r="Z744" s="96"/>
      <c r="AA744" s="96"/>
      <c r="AB744" s="96"/>
      <c r="AC744" s="96"/>
      <c r="AD744" s="97"/>
      <c r="AF744" s="98"/>
      <c r="AH744" s="55"/>
    </row>
    <row r="745">
      <c r="R745" s="94"/>
      <c r="V745" s="95"/>
      <c r="W745" s="96"/>
      <c r="X745" s="55"/>
      <c r="Z745" s="96"/>
      <c r="AA745" s="96"/>
      <c r="AB745" s="96"/>
      <c r="AC745" s="96"/>
      <c r="AD745" s="97"/>
      <c r="AF745" s="98"/>
      <c r="AH745" s="55"/>
    </row>
    <row r="746">
      <c r="R746" s="94"/>
      <c r="V746" s="95"/>
      <c r="W746" s="96"/>
      <c r="X746" s="55"/>
      <c r="Z746" s="96"/>
      <c r="AA746" s="96"/>
      <c r="AB746" s="96"/>
      <c r="AC746" s="96"/>
      <c r="AD746" s="97"/>
      <c r="AF746" s="98"/>
      <c r="AH746" s="55"/>
    </row>
    <row r="747">
      <c r="R747" s="94"/>
      <c r="V747" s="95"/>
      <c r="W747" s="96"/>
      <c r="X747" s="55"/>
      <c r="Z747" s="96"/>
      <c r="AA747" s="96"/>
      <c r="AB747" s="96"/>
      <c r="AC747" s="96"/>
      <c r="AD747" s="97"/>
      <c r="AF747" s="98"/>
      <c r="AH747" s="55"/>
    </row>
    <row r="748">
      <c r="R748" s="94"/>
      <c r="V748" s="95"/>
      <c r="W748" s="96"/>
      <c r="X748" s="55"/>
      <c r="Z748" s="96"/>
      <c r="AA748" s="96"/>
      <c r="AB748" s="96"/>
      <c r="AC748" s="96"/>
      <c r="AD748" s="97"/>
      <c r="AF748" s="98"/>
      <c r="AH748" s="55"/>
    </row>
    <row r="749">
      <c r="R749" s="94"/>
      <c r="V749" s="95"/>
      <c r="W749" s="96"/>
      <c r="X749" s="55"/>
      <c r="Z749" s="96"/>
      <c r="AA749" s="96"/>
      <c r="AB749" s="96"/>
      <c r="AC749" s="96"/>
      <c r="AD749" s="97"/>
      <c r="AF749" s="98"/>
      <c r="AH749" s="55"/>
    </row>
    <row r="750">
      <c r="R750" s="94"/>
      <c r="V750" s="95"/>
      <c r="W750" s="96"/>
      <c r="X750" s="55"/>
      <c r="Z750" s="96"/>
      <c r="AA750" s="96"/>
      <c r="AB750" s="96"/>
      <c r="AC750" s="96"/>
      <c r="AD750" s="97"/>
      <c r="AF750" s="98"/>
      <c r="AH750" s="55"/>
    </row>
    <row r="751">
      <c r="R751" s="94"/>
      <c r="V751" s="95"/>
      <c r="W751" s="96"/>
      <c r="X751" s="55"/>
      <c r="Z751" s="96"/>
      <c r="AA751" s="96"/>
      <c r="AB751" s="96"/>
      <c r="AC751" s="96"/>
      <c r="AD751" s="97"/>
      <c r="AF751" s="98"/>
      <c r="AH751" s="55"/>
    </row>
    <row r="752">
      <c r="R752" s="94"/>
      <c r="V752" s="95"/>
      <c r="W752" s="96"/>
      <c r="X752" s="55"/>
      <c r="Z752" s="96"/>
      <c r="AA752" s="96"/>
      <c r="AB752" s="96"/>
      <c r="AC752" s="96"/>
      <c r="AD752" s="97"/>
      <c r="AF752" s="98"/>
      <c r="AH752" s="55"/>
    </row>
    <row r="753">
      <c r="R753" s="94"/>
      <c r="V753" s="95"/>
      <c r="W753" s="96"/>
      <c r="X753" s="55"/>
      <c r="Z753" s="96"/>
      <c r="AA753" s="96"/>
      <c r="AB753" s="96"/>
      <c r="AC753" s="96"/>
      <c r="AD753" s="97"/>
      <c r="AF753" s="98"/>
      <c r="AH753" s="55"/>
    </row>
    <row r="754">
      <c r="R754" s="94"/>
      <c r="V754" s="95"/>
      <c r="W754" s="96"/>
      <c r="X754" s="55"/>
      <c r="Z754" s="96"/>
      <c r="AA754" s="96"/>
      <c r="AB754" s="96"/>
      <c r="AC754" s="96"/>
      <c r="AD754" s="97"/>
      <c r="AF754" s="98"/>
      <c r="AH754" s="55"/>
    </row>
    <row r="755">
      <c r="R755" s="94"/>
      <c r="V755" s="95"/>
      <c r="W755" s="96"/>
      <c r="X755" s="55"/>
      <c r="Z755" s="96"/>
      <c r="AA755" s="96"/>
      <c r="AB755" s="96"/>
      <c r="AC755" s="96"/>
      <c r="AD755" s="97"/>
      <c r="AF755" s="98"/>
      <c r="AH755" s="55"/>
    </row>
    <row r="756">
      <c r="R756" s="94"/>
      <c r="V756" s="95"/>
      <c r="W756" s="96"/>
      <c r="X756" s="55"/>
      <c r="Z756" s="96"/>
      <c r="AA756" s="96"/>
      <c r="AB756" s="96"/>
      <c r="AC756" s="96"/>
      <c r="AD756" s="97"/>
      <c r="AF756" s="98"/>
      <c r="AH756" s="55"/>
    </row>
    <row r="757">
      <c r="R757" s="94"/>
      <c r="V757" s="95"/>
      <c r="W757" s="96"/>
      <c r="X757" s="55"/>
      <c r="Z757" s="96"/>
      <c r="AA757" s="96"/>
      <c r="AB757" s="96"/>
      <c r="AC757" s="96"/>
      <c r="AD757" s="97"/>
      <c r="AF757" s="98"/>
      <c r="AH757" s="55"/>
    </row>
    <row r="758">
      <c r="R758" s="94"/>
      <c r="V758" s="95"/>
      <c r="W758" s="96"/>
      <c r="X758" s="55"/>
      <c r="Z758" s="96"/>
      <c r="AA758" s="96"/>
      <c r="AB758" s="96"/>
      <c r="AC758" s="96"/>
      <c r="AD758" s="97"/>
      <c r="AF758" s="98"/>
      <c r="AH758" s="55"/>
    </row>
    <row r="759">
      <c r="R759" s="94"/>
      <c r="V759" s="95"/>
      <c r="W759" s="96"/>
      <c r="X759" s="55"/>
      <c r="Z759" s="96"/>
      <c r="AA759" s="96"/>
      <c r="AB759" s="96"/>
      <c r="AC759" s="96"/>
      <c r="AD759" s="97"/>
      <c r="AF759" s="98"/>
      <c r="AH759" s="55"/>
    </row>
    <row r="760">
      <c r="R760" s="94"/>
      <c r="V760" s="95"/>
      <c r="W760" s="96"/>
      <c r="X760" s="55"/>
      <c r="Z760" s="96"/>
      <c r="AA760" s="96"/>
      <c r="AB760" s="96"/>
      <c r="AC760" s="96"/>
      <c r="AD760" s="97"/>
      <c r="AF760" s="98"/>
      <c r="AH760" s="55"/>
    </row>
    <row r="761">
      <c r="R761" s="94"/>
      <c r="V761" s="95"/>
      <c r="W761" s="96"/>
      <c r="X761" s="55"/>
      <c r="Z761" s="96"/>
      <c r="AA761" s="96"/>
      <c r="AB761" s="96"/>
      <c r="AC761" s="96"/>
      <c r="AD761" s="97"/>
      <c r="AF761" s="98"/>
      <c r="AH761" s="55"/>
    </row>
    <row r="762">
      <c r="R762" s="94"/>
      <c r="V762" s="95"/>
      <c r="W762" s="96"/>
      <c r="X762" s="55"/>
      <c r="Z762" s="96"/>
      <c r="AA762" s="96"/>
      <c r="AB762" s="96"/>
      <c r="AC762" s="96"/>
      <c r="AD762" s="97"/>
      <c r="AF762" s="98"/>
      <c r="AH762" s="55"/>
    </row>
    <row r="763">
      <c r="R763" s="94"/>
      <c r="V763" s="95"/>
      <c r="W763" s="96"/>
      <c r="X763" s="55"/>
      <c r="Z763" s="96"/>
      <c r="AA763" s="96"/>
      <c r="AB763" s="96"/>
      <c r="AC763" s="96"/>
      <c r="AD763" s="97"/>
      <c r="AF763" s="98"/>
      <c r="AH763" s="55"/>
    </row>
    <row r="764">
      <c r="R764" s="94"/>
      <c r="V764" s="95"/>
      <c r="W764" s="96"/>
      <c r="X764" s="55"/>
      <c r="Z764" s="96"/>
      <c r="AA764" s="96"/>
      <c r="AB764" s="96"/>
      <c r="AC764" s="96"/>
      <c r="AD764" s="97"/>
      <c r="AF764" s="98"/>
      <c r="AH764" s="55"/>
    </row>
    <row r="765">
      <c r="R765" s="94"/>
      <c r="V765" s="95"/>
      <c r="W765" s="96"/>
      <c r="X765" s="55"/>
      <c r="Z765" s="96"/>
      <c r="AA765" s="96"/>
      <c r="AB765" s="96"/>
      <c r="AC765" s="96"/>
      <c r="AD765" s="97"/>
      <c r="AF765" s="98"/>
      <c r="AH765" s="55"/>
    </row>
    <row r="766">
      <c r="R766" s="94"/>
      <c r="V766" s="95"/>
      <c r="W766" s="96"/>
      <c r="X766" s="55"/>
      <c r="Z766" s="96"/>
      <c r="AA766" s="96"/>
      <c r="AB766" s="96"/>
      <c r="AC766" s="96"/>
      <c r="AD766" s="97"/>
      <c r="AF766" s="98"/>
      <c r="AH766" s="55"/>
    </row>
    <row r="767">
      <c r="R767" s="94"/>
      <c r="V767" s="95"/>
      <c r="W767" s="96"/>
      <c r="X767" s="55"/>
      <c r="Z767" s="96"/>
      <c r="AA767" s="96"/>
      <c r="AB767" s="96"/>
      <c r="AC767" s="96"/>
      <c r="AD767" s="97"/>
      <c r="AF767" s="98"/>
      <c r="AH767" s="55"/>
    </row>
    <row r="768">
      <c r="R768" s="94"/>
      <c r="V768" s="95"/>
      <c r="W768" s="96"/>
      <c r="X768" s="55"/>
      <c r="Z768" s="96"/>
      <c r="AA768" s="96"/>
      <c r="AB768" s="96"/>
      <c r="AC768" s="96"/>
      <c r="AD768" s="97"/>
      <c r="AF768" s="98"/>
      <c r="AH768" s="55"/>
    </row>
    <row r="769">
      <c r="R769" s="94"/>
      <c r="V769" s="95"/>
      <c r="W769" s="96"/>
      <c r="X769" s="55"/>
      <c r="Z769" s="96"/>
      <c r="AA769" s="96"/>
      <c r="AB769" s="96"/>
      <c r="AC769" s="96"/>
      <c r="AD769" s="97"/>
      <c r="AF769" s="98"/>
      <c r="AH769" s="55"/>
    </row>
    <row r="770">
      <c r="R770" s="94"/>
      <c r="V770" s="95"/>
      <c r="W770" s="96"/>
      <c r="X770" s="55"/>
      <c r="Z770" s="96"/>
      <c r="AA770" s="96"/>
      <c r="AB770" s="96"/>
      <c r="AC770" s="96"/>
      <c r="AD770" s="97"/>
      <c r="AF770" s="98"/>
      <c r="AH770" s="55"/>
    </row>
    <row r="771">
      <c r="R771" s="94"/>
      <c r="V771" s="95"/>
      <c r="W771" s="96"/>
      <c r="X771" s="55"/>
      <c r="Z771" s="96"/>
      <c r="AA771" s="96"/>
      <c r="AB771" s="96"/>
      <c r="AC771" s="96"/>
      <c r="AD771" s="97"/>
      <c r="AF771" s="98"/>
      <c r="AH771" s="55"/>
    </row>
    <row r="772">
      <c r="R772" s="94"/>
      <c r="V772" s="95"/>
      <c r="W772" s="96"/>
      <c r="X772" s="55"/>
      <c r="Z772" s="96"/>
      <c r="AA772" s="96"/>
      <c r="AB772" s="96"/>
      <c r="AC772" s="96"/>
      <c r="AD772" s="97"/>
      <c r="AF772" s="98"/>
      <c r="AH772" s="55"/>
    </row>
    <row r="773">
      <c r="R773" s="94"/>
      <c r="V773" s="95"/>
      <c r="W773" s="96"/>
      <c r="X773" s="55"/>
      <c r="Z773" s="96"/>
      <c r="AA773" s="96"/>
      <c r="AB773" s="96"/>
      <c r="AC773" s="96"/>
      <c r="AD773" s="97"/>
      <c r="AF773" s="98"/>
      <c r="AH773" s="55"/>
    </row>
    <row r="774">
      <c r="R774" s="94"/>
      <c r="V774" s="95"/>
      <c r="W774" s="96"/>
      <c r="X774" s="55"/>
      <c r="Z774" s="96"/>
      <c r="AA774" s="96"/>
      <c r="AB774" s="96"/>
      <c r="AC774" s="96"/>
      <c r="AD774" s="97"/>
      <c r="AF774" s="98"/>
      <c r="AH774" s="55"/>
    </row>
    <row r="775">
      <c r="R775" s="94"/>
      <c r="V775" s="95"/>
      <c r="W775" s="96"/>
      <c r="X775" s="55"/>
      <c r="Z775" s="96"/>
      <c r="AA775" s="96"/>
      <c r="AB775" s="96"/>
      <c r="AC775" s="96"/>
      <c r="AD775" s="97"/>
      <c r="AF775" s="98"/>
      <c r="AH775" s="55"/>
    </row>
    <row r="776">
      <c r="R776" s="94"/>
      <c r="V776" s="95"/>
      <c r="W776" s="96"/>
      <c r="X776" s="55"/>
      <c r="Z776" s="96"/>
      <c r="AA776" s="96"/>
      <c r="AB776" s="96"/>
      <c r="AC776" s="96"/>
      <c r="AD776" s="97"/>
      <c r="AF776" s="98"/>
      <c r="AH776" s="55"/>
    </row>
    <row r="777">
      <c r="R777" s="94"/>
      <c r="V777" s="95"/>
      <c r="W777" s="96"/>
      <c r="X777" s="55"/>
      <c r="Z777" s="96"/>
      <c r="AA777" s="96"/>
      <c r="AB777" s="96"/>
      <c r="AC777" s="96"/>
      <c r="AD777" s="97"/>
      <c r="AF777" s="98"/>
      <c r="AH777" s="55"/>
    </row>
    <row r="778">
      <c r="R778" s="94"/>
      <c r="V778" s="95"/>
      <c r="W778" s="96"/>
      <c r="X778" s="55"/>
      <c r="Z778" s="96"/>
      <c r="AA778" s="96"/>
      <c r="AB778" s="96"/>
      <c r="AC778" s="96"/>
      <c r="AD778" s="97"/>
      <c r="AF778" s="98"/>
      <c r="AH778" s="55"/>
    </row>
    <row r="779">
      <c r="R779" s="94"/>
      <c r="V779" s="95"/>
      <c r="W779" s="96"/>
      <c r="X779" s="55"/>
      <c r="Z779" s="96"/>
      <c r="AA779" s="96"/>
      <c r="AB779" s="96"/>
      <c r="AC779" s="96"/>
      <c r="AD779" s="97"/>
      <c r="AF779" s="98"/>
      <c r="AH779" s="55"/>
    </row>
    <row r="780">
      <c r="R780" s="94"/>
      <c r="V780" s="95"/>
      <c r="W780" s="96"/>
      <c r="X780" s="55"/>
      <c r="Z780" s="96"/>
      <c r="AA780" s="96"/>
      <c r="AB780" s="96"/>
      <c r="AC780" s="96"/>
      <c r="AD780" s="97"/>
      <c r="AF780" s="98"/>
      <c r="AH780" s="55"/>
    </row>
    <row r="781">
      <c r="R781" s="94"/>
      <c r="V781" s="95"/>
      <c r="W781" s="96"/>
      <c r="X781" s="55"/>
      <c r="Z781" s="96"/>
      <c r="AA781" s="96"/>
      <c r="AB781" s="96"/>
      <c r="AC781" s="96"/>
      <c r="AD781" s="97"/>
      <c r="AF781" s="98"/>
      <c r="AH781" s="55"/>
    </row>
    <row r="782">
      <c r="R782" s="94"/>
      <c r="V782" s="95"/>
      <c r="W782" s="96"/>
      <c r="X782" s="55"/>
      <c r="Z782" s="96"/>
      <c r="AA782" s="96"/>
      <c r="AB782" s="96"/>
      <c r="AC782" s="96"/>
      <c r="AD782" s="97"/>
      <c r="AF782" s="98"/>
      <c r="AH782" s="55"/>
    </row>
    <row r="783">
      <c r="R783" s="94"/>
      <c r="V783" s="95"/>
      <c r="W783" s="96"/>
      <c r="X783" s="55"/>
      <c r="Z783" s="96"/>
      <c r="AA783" s="96"/>
      <c r="AB783" s="96"/>
      <c r="AC783" s="96"/>
      <c r="AD783" s="97"/>
      <c r="AF783" s="98"/>
      <c r="AH783" s="55"/>
    </row>
    <row r="784">
      <c r="R784" s="94"/>
      <c r="V784" s="95"/>
      <c r="W784" s="96"/>
      <c r="X784" s="55"/>
      <c r="Z784" s="96"/>
      <c r="AA784" s="96"/>
      <c r="AB784" s="96"/>
      <c r="AC784" s="96"/>
      <c r="AD784" s="97"/>
      <c r="AF784" s="98"/>
      <c r="AH784" s="55"/>
    </row>
    <row r="785">
      <c r="R785" s="94"/>
      <c r="V785" s="95"/>
      <c r="W785" s="96"/>
      <c r="X785" s="55"/>
      <c r="Z785" s="96"/>
      <c r="AA785" s="96"/>
      <c r="AB785" s="96"/>
      <c r="AC785" s="96"/>
      <c r="AD785" s="97"/>
      <c r="AF785" s="98"/>
      <c r="AH785" s="55"/>
    </row>
    <row r="786">
      <c r="R786" s="94"/>
      <c r="V786" s="95"/>
      <c r="W786" s="96"/>
      <c r="X786" s="55"/>
      <c r="Z786" s="96"/>
      <c r="AA786" s="96"/>
      <c r="AB786" s="96"/>
      <c r="AC786" s="96"/>
      <c r="AD786" s="97"/>
      <c r="AF786" s="98"/>
      <c r="AH786" s="55"/>
    </row>
    <row r="787">
      <c r="R787" s="94"/>
      <c r="V787" s="95"/>
      <c r="W787" s="96"/>
      <c r="X787" s="55"/>
      <c r="Z787" s="96"/>
      <c r="AA787" s="96"/>
      <c r="AB787" s="96"/>
      <c r="AC787" s="96"/>
      <c r="AD787" s="97"/>
      <c r="AF787" s="98"/>
      <c r="AH787" s="55"/>
    </row>
    <row r="788">
      <c r="R788" s="94"/>
      <c r="V788" s="95"/>
      <c r="W788" s="96"/>
      <c r="X788" s="55"/>
      <c r="Z788" s="96"/>
      <c r="AA788" s="96"/>
      <c r="AB788" s="96"/>
      <c r="AC788" s="96"/>
      <c r="AD788" s="97"/>
      <c r="AF788" s="98"/>
      <c r="AH788" s="55"/>
    </row>
    <row r="789">
      <c r="R789" s="94"/>
      <c r="V789" s="95"/>
      <c r="W789" s="96"/>
      <c r="X789" s="55"/>
      <c r="Z789" s="96"/>
      <c r="AA789" s="96"/>
      <c r="AB789" s="96"/>
      <c r="AC789" s="96"/>
      <c r="AD789" s="97"/>
      <c r="AF789" s="98"/>
      <c r="AH789" s="55"/>
    </row>
    <row r="790">
      <c r="R790" s="94"/>
      <c r="V790" s="95"/>
      <c r="W790" s="96"/>
      <c r="X790" s="55"/>
      <c r="Z790" s="96"/>
      <c r="AA790" s="96"/>
      <c r="AB790" s="96"/>
      <c r="AC790" s="96"/>
      <c r="AD790" s="97"/>
      <c r="AF790" s="98"/>
      <c r="AH790" s="55"/>
    </row>
    <row r="791">
      <c r="R791" s="94"/>
      <c r="V791" s="95"/>
      <c r="W791" s="96"/>
      <c r="X791" s="55"/>
      <c r="Z791" s="96"/>
      <c r="AA791" s="96"/>
      <c r="AB791" s="96"/>
      <c r="AC791" s="96"/>
      <c r="AD791" s="97"/>
      <c r="AF791" s="98"/>
      <c r="AH791" s="55"/>
    </row>
    <row r="792">
      <c r="R792" s="94"/>
      <c r="V792" s="95"/>
      <c r="W792" s="96"/>
      <c r="X792" s="55"/>
      <c r="Z792" s="96"/>
      <c r="AA792" s="96"/>
      <c r="AB792" s="96"/>
      <c r="AC792" s="96"/>
      <c r="AD792" s="97"/>
      <c r="AF792" s="98"/>
      <c r="AH792" s="55"/>
    </row>
    <row r="793">
      <c r="R793" s="94"/>
      <c r="V793" s="95"/>
      <c r="W793" s="96"/>
      <c r="X793" s="55"/>
      <c r="Z793" s="96"/>
      <c r="AA793" s="96"/>
      <c r="AB793" s="96"/>
      <c r="AC793" s="96"/>
      <c r="AD793" s="97"/>
      <c r="AF793" s="98"/>
      <c r="AH793" s="55"/>
    </row>
    <row r="794">
      <c r="R794" s="94"/>
      <c r="V794" s="95"/>
      <c r="W794" s="96"/>
      <c r="X794" s="55"/>
      <c r="Z794" s="96"/>
      <c r="AA794" s="96"/>
      <c r="AB794" s="96"/>
      <c r="AC794" s="96"/>
      <c r="AD794" s="97"/>
      <c r="AF794" s="98"/>
      <c r="AH794" s="55"/>
    </row>
    <row r="795">
      <c r="R795" s="94"/>
      <c r="V795" s="95"/>
      <c r="W795" s="96"/>
      <c r="X795" s="55"/>
      <c r="Z795" s="96"/>
      <c r="AA795" s="96"/>
      <c r="AB795" s="96"/>
      <c r="AC795" s="96"/>
      <c r="AD795" s="97"/>
      <c r="AF795" s="98"/>
      <c r="AH795" s="55"/>
    </row>
    <row r="796">
      <c r="R796" s="94"/>
      <c r="V796" s="95"/>
      <c r="W796" s="96"/>
      <c r="X796" s="55"/>
      <c r="Z796" s="96"/>
      <c r="AA796" s="96"/>
      <c r="AB796" s="96"/>
      <c r="AC796" s="96"/>
      <c r="AD796" s="97"/>
      <c r="AF796" s="98"/>
      <c r="AH796" s="55"/>
    </row>
    <row r="797">
      <c r="R797" s="94"/>
      <c r="V797" s="95"/>
      <c r="W797" s="96"/>
      <c r="X797" s="55"/>
      <c r="Z797" s="96"/>
      <c r="AA797" s="96"/>
      <c r="AB797" s="96"/>
      <c r="AC797" s="96"/>
      <c r="AD797" s="97"/>
      <c r="AF797" s="98"/>
      <c r="AH797" s="55"/>
    </row>
    <row r="798">
      <c r="R798" s="94"/>
      <c r="V798" s="95"/>
      <c r="W798" s="96"/>
      <c r="X798" s="55"/>
      <c r="Z798" s="96"/>
      <c r="AA798" s="96"/>
      <c r="AB798" s="96"/>
      <c r="AC798" s="96"/>
      <c r="AD798" s="97"/>
      <c r="AF798" s="98"/>
      <c r="AH798" s="55"/>
    </row>
    <row r="799">
      <c r="R799" s="94"/>
      <c r="V799" s="95"/>
      <c r="W799" s="96"/>
      <c r="X799" s="55"/>
      <c r="Z799" s="96"/>
      <c r="AA799" s="96"/>
      <c r="AB799" s="96"/>
      <c r="AC799" s="96"/>
      <c r="AD799" s="97"/>
      <c r="AF799" s="98"/>
      <c r="AH799" s="55"/>
    </row>
    <row r="800">
      <c r="R800" s="94"/>
      <c r="V800" s="95"/>
      <c r="W800" s="96"/>
      <c r="X800" s="55"/>
      <c r="Z800" s="96"/>
      <c r="AA800" s="96"/>
      <c r="AB800" s="96"/>
      <c r="AC800" s="96"/>
      <c r="AD800" s="97"/>
      <c r="AF800" s="98"/>
      <c r="AH800" s="55"/>
    </row>
    <row r="801">
      <c r="R801" s="94"/>
      <c r="V801" s="95"/>
      <c r="W801" s="96"/>
      <c r="X801" s="55"/>
      <c r="Z801" s="96"/>
      <c r="AA801" s="96"/>
      <c r="AB801" s="96"/>
      <c r="AC801" s="96"/>
      <c r="AD801" s="97"/>
      <c r="AF801" s="98"/>
      <c r="AH801" s="55"/>
    </row>
    <row r="802">
      <c r="R802" s="94"/>
      <c r="V802" s="95"/>
      <c r="W802" s="96"/>
      <c r="X802" s="55"/>
      <c r="Z802" s="96"/>
      <c r="AA802" s="96"/>
      <c r="AB802" s="96"/>
      <c r="AC802" s="96"/>
      <c r="AD802" s="97"/>
      <c r="AF802" s="98"/>
      <c r="AH802" s="55"/>
    </row>
    <row r="803">
      <c r="R803" s="94"/>
      <c r="V803" s="95"/>
      <c r="W803" s="96"/>
      <c r="X803" s="55"/>
      <c r="Z803" s="96"/>
      <c r="AA803" s="96"/>
      <c r="AB803" s="96"/>
      <c r="AC803" s="96"/>
      <c r="AD803" s="97"/>
      <c r="AF803" s="98"/>
      <c r="AH803" s="55"/>
    </row>
    <row r="804">
      <c r="R804" s="94"/>
      <c r="V804" s="95"/>
      <c r="W804" s="96"/>
      <c r="X804" s="55"/>
      <c r="Z804" s="96"/>
      <c r="AA804" s="96"/>
      <c r="AB804" s="96"/>
      <c r="AC804" s="96"/>
      <c r="AD804" s="97"/>
      <c r="AF804" s="98"/>
      <c r="AH804" s="55"/>
    </row>
    <row r="805">
      <c r="R805" s="94"/>
      <c r="V805" s="95"/>
      <c r="W805" s="96"/>
      <c r="X805" s="55"/>
      <c r="Z805" s="96"/>
      <c r="AA805" s="96"/>
      <c r="AB805" s="96"/>
      <c r="AC805" s="96"/>
      <c r="AD805" s="97"/>
      <c r="AF805" s="98"/>
      <c r="AH805" s="55"/>
    </row>
    <row r="806">
      <c r="R806" s="94"/>
      <c r="V806" s="95"/>
      <c r="W806" s="96"/>
      <c r="X806" s="55"/>
      <c r="Z806" s="96"/>
      <c r="AA806" s="96"/>
      <c r="AB806" s="96"/>
      <c r="AC806" s="96"/>
      <c r="AD806" s="97"/>
      <c r="AF806" s="98"/>
      <c r="AH806" s="55"/>
    </row>
    <row r="807">
      <c r="R807" s="94"/>
      <c r="V807" s="95"/>
      <c r="W807" s="96"/>
      <c r="X807" s="55"/>
      <c r="Z807" s="96"/>
      <c r="AA807" s="96"/>
      <c r="AB807" s="96"/>
      <c r="AC807" s="96"/>
      <c r="AD807" s="97"/>
      <c r="AF807" s="98"/>
      <c r="AH807" s="55"/>
    </row>
    <row r="808">
      <c r="R808" s="94"/>
      <c r="V808" s="95"/>
      <c r="W808" s="96"/>
      <c r="X808" s="55"/>
      <c r="Z808" s="96"/>
      <c r="AA808" s="96"/>
      <c r="AB808" s="96"/>
      <c r="AC808" s="96"/>
      <c r="AD808" s="97"/>
      <c r="AF808" s="98"/>
      <c r="AH808" s="55"/>
    </row>
    <row r="809">
      <c r="R809" s="94"/>
      <c r="V809" s="95"/>
      <c r="W809" s="96"/>
      <c r="X809" s="55"/>
      <c r="Z809" s="96"/>
      <c r="AA809" s="96"/>
      <c r="AB809" s="96"/>
      <c r="AC809" s="96"/>
      <c r="AD809" s="97"/>
      <c r="AF809" s="98"/>
      <c r="AH809" s="55"/>
    </row>
    <row r="810">
      <c r="R810" s="94"/>
      <c r="V810" s="95"/>
      <c r="W810" s="96"/>
      <c r="X810" s="55"/>
      <c r="Z810" s="96"/>
      <c r="AA810" s="96"/>
      <c r="AB810" s="96"/>
      <c r="AC810" s="96"/>
      <c r="AD810" s="97"/>
      <c r="AF810" s="98"/>
      <c r="AH810" s="55"/>
    </row>
    <row r="811">
      <c r="R811" s="94"/>
      <c r="V811" s="95"/>
      <c r="W811" s="96"/>
      <c r="X811" s="55"/>
      <c r="Z811" s="96"/>
      <c r="AA811" s="96"/>
      <c r="AB811" s="96"/>
      <c r="AC811" s="96"/>
      <c r="AD811" s="97"/>
      <c r="AF811" s="98"/>
      <c r="AH811" s="55"/>
    </row>
    <row r="812">
      <c r="R812" s="94"/>
      <c r="V812" s="95"/>
      <c r="W812" s="96"/>
      <c r="X812" s="55"/>
      <c r="Z812" s="96"/>
      <c r="AA812" s="96"/>
      <c r="AB812" s="96"/>
      <c r="AC812" s="96"/>
      <c r="AD812" s="97"/>
      <c r="AF812" s="98"/>
      <c r="AH812" s="55"/>
    </row>
    <row r="813">
      <c r="R813" s="94"/>
      <c r="V813" s="95"/>
      <c r="W813" s="96"/>
      <c r="X813" s="55"/>
      <c r="Z813" s="96"/>
      <c r="AA813" s="96"/>
      <c r="AB813" s="96"/>
      <c r="AC813" s="96"/>
      <c r="AD813" s="97"/>
      <c r="AF813" s="98"/>
      <c r="AH813" s="55"/>
    </row>
    <row r="814">
      <c r="R814" s="94"/>
      <c r="V814" s="95"/>
      <c r="W814" s="96"/>
      <c r="X814" s="55"/>
      <c r="Z814" s="96"/>
      <c r="AA814" s="96"/>
      <c r="AB814" s="96"/>
      <c r="AC814" s="96"/>
      <c r="AD814" s="97"/>
      <c r="AF814" s="98"/>
      <c r="AH814" s="55"/>
    </row>
    <row r="815">
      <c r="R815" s="94"/>
      <c r="V815" s="95"/>
      <c r="W815" s="96"/>
      <c r="X815" s="55"/>
      <c r="Z815" s="96"/>
      <c r="AA815" s="96"/>
      <c r="AB815" s="96"/>
      <c r="AC815" s="96"/>
      <c r="AD815" s="97"/>
      <c r="AF815" s="98"/>
      <c r="AH815" s="55"/>
    </row>
    <row r="816">
      <c r="R816" s="94"/>
      <c r="V816" s="95"/>
      <c r="W816" s="96"/>
      <c r="X816" s="55"/>
      <c r="Z816" s="96"/>
      <c r="AA816" s="96"/>
      <c r="AB816" s="96"/>
      <c r="AC816" s="96"/>
      <c r="AD816" s="97"/>
      <c r="AF816" s="98"/>
      <c r="AH816" s="55"/>
    </row>
    <row r="817">
      <c r="R817" s="94"/>
      <c r="V817" s="95"/>
      <c r="W817" s="96"/>
      <c r="X817" s="55"/>
      <c r="Z817" s="96"/>
      <c r="AA817" s="96"/>
      <c r="AB817" s="96"/>
      <c r="AC817" s="96"/>
      <c r="AD817" s="97"/>
      <c r="AF817" s="98"/>
      <c r="AH817" s="55"/>
    </row>
    <row r="818">
      <c r="R818" s="94"/>
      <c r="V818" s="95"/>
      <c r="W818" s="96"/>
      <c r="X818" s="55"/>
      <c r="Z818" s="96"/>
      <c r="AA818" s="96"/>
      <c r="AB818" s="96"/>
      <c r="AC818" s="96"/>
      <c r="AD818" s="97"/>
      <c r="AF818" s="98"/>
      <c r="AH818" s="55"/>
    </row>
    <row r="819">
      <c r="R819" s="94"/>
      <c r="V819" s="95"/>
      <c r="W819" s="96"/>
      <c r="X819" s="55"/>
      <c r="Z819" s="96"/>
      <c r="AA819" s="96"/>
      <c r="AB819" s="96"/>
      <c r="AC819" s="96"/>
      <c r="AD819" s="97"/>
      <c r="AF819" s="98"/>
      <c r="AH819" s="55"/>
    </row>
    <row r="820">
      <c r="R820" s="94"/>
      <c r="V820" s="95"/>
      <c r="W820" s="96"/>
      <c r="X820" s="55"/>
      <c r="Z820" s="96"/>
      <c r="AA820" s="96"/>
      <c r="AB820" s="96"/>
      <c r="AC820" s="96"/>
      <c r="AD820" s="97"/>
      <c r="AF820" s="98"/>
      <c r="AH820" s="55"/>
    </row>
    <row r="821">
      <c r="R821" s="94"/>
      <c r="V821" s="95"/>
      <c r="W821" s="96"/>
      <c r="X821" s="55"/>
      <c r="Z821" s="96"/>
      <c r="AA821" s="96"/>
      <c r="AB821" s="96"/>
      <c r="AC821" s="96"/>
      <c r="AD821" s="97"/>
      <c r="AF821" s="98"/>
      <c r="AH821" s="55"/>
    </row>
    <row r="822">
      <c r="R822" s="94"/>
      <c r="V822" s="95"/>
      <c r="W822" s="96"/>
      <c r="X822" s="55"/>
      <c r="Z822" s="96"/>
      <c r="AA822" s="96"/>
      <c r="AB822" s="96"/>
      <c r="AC822" s="96"/>
      <c r="AD822" s="97"/>
      <c r="AF822" s="98"/>
      <c r="AH822" s="55"/>
    </row>
    <row r="823">
      <c r="R823" s="94"/>
      <c r="V823" s="95"/>
      <c r="W823" s="96"/>
      <c r="X823" s="55"/>
      <c r="Z823" s="96"/>
      <c r="AA823" s="96"/>
      <c r="AB823" s="96"/>
      <c r="AC823" s="96"/>
      <c r="AD823" s="97"/>
      <c r="AF823" s="98"/>
      <c r="AH823" s="55"/>
    </row>
    <row r="824">
      <c r="R824" s="94"/>
      <c r="V824" s="95"/>
      <c r="W824" s="96"/>
      <c r="X824" s="55"/>
      <c r="Z824" s="96"/>
      <c r="AA824" s="96"/>
      <c r="AB824" s="96"/>
      <c r="AC824" s="96"/>
      <c r="AD824" s="97"/>
      <c r="AF824" s="98"/>
      <c r="AH824" s="55"/>
    </row>
    <row r="825">
      <c r="R825" s="94"/>
      <c r="V825" s="95"/>
      <c r="W825" s="96"/>
      <c r="X825" s="55"/>
      <c r="Z825" s="96"/>
      <c r="AA825" s="96"/>
      <c r="AB825" s="96"/>
      <c r="AC825" s="96"/>
      <c r="AD825" s="97"/>
      <c r="AF825" s="98"/>
      <c r="AH825" s="55"/>
    </row>
    <row r="826">
      <c r="R826" s="94"/>
      <c r="V826" s="95"/>
      <c r="W826" s="96"/>
      <c r="X826" s="55"/>
      <c r="Z826" s="96"/>
      <c r="AA826" s="96"/>
      <c r="AB826" s="96"/>
      <c r="AC826" s="96"/>
      <c r="AD826" s="97"/>
      <c r="AF826" s="98"/>
      <c r="AH826" s="55"/>
    </row>
    <row r="827">
      <c r="R827" s="94"/>
      <c r="V827" s="95"/>
      <c r="W827" s="96"/>
      <c r="X827" s="55"/>
      <c r="Z827" s="96"/>
      <c r="AA827" s="96"/>
      <c r="AB827" s="96"/>
      <c r="AC827" s="96"/>
      <c r="AD827" s="97"/>
      <c r="AF827" s="98"/>
      <c r="AH827" s="55"/>
    </row>
    <row r="828">
      <c r="R828" s="94"/>
      <c r="V828" s="95"/>
      <c r="W828" s="96"/>
      <c r="X828" s="55"/>
      <c r="Z828" s="96"/>
      <c r="AA828" s="96"/>
      <c r="AB828" s="96"/>
      <c r="AC828" s="96"/>
      <c r="AD828" s="97"/>
      <c r="AF828" s="98"/>
      <c r="AH828" s="55"/>
    </row>
    <row r="829">
      <c r="R829" s="94"/>
      <c r="V829" s="95"/>
      <c r="W829" s="96"/>
      <c r="X829" s="55"/>
      <c r="Z829" s="96"/>
      <c r="AA829" s="96"/>
      <c r="AB829" s="96"/>
      <c r="AC829" s="96"/>
      <c r="AD829" s="97"/>
      <c r="AF829" s="98"/>
      <c r="AH829" s="55"/>
    </row>
    <row r="830">
      <c r="R830" s="94"/>
      <c r="V830" s="95"/>
      <c r="W830" s="96"/>
      <c r="X830" s="55"/>
      <c r="Z830" s="96"/>
      <c r="AA830" s="96"/>
      <c r="AB830" s="96"/>
      <c r="AC830" s="96"/>
      <c r="AD830" s="97"/>
      <c r="AF830" s="98"/>
      <c r="AH830" s="55"/>
    </row>
    <row r="831">
      <c r="R831" s="94"/>
      <c r="V831" s="95"/>
      <c r="W831" s="96"/>
      <c r="X831" s="55"/>
      <c r="Z831" s="96"/>
      <c r="AA831" s="96"/>
      <c r="AB831" s="96"/>
      <c r="AC831" s="96"/>
      <c r="AD831" s="97"/>
      <c r="AF831" s="98"/>
      <c r="AH831" s="55"/>
    </row>
    <row r="832">
      <c r="R832" s="94"/>
      <c r="V832" s="95"/>
      <c r="W832" s="96"/>
      <c r="X832" s="55"/>
      <c r="Z832" s="96"/>
      <c r="AA832" s="96"/>
      <c r="AB832" s="96"/>
      <c r="AC832" s="96"/>
      <c r="AD832" s="97"/>
      <c r="AF832" s="98"/>
      <c r="AH832" s="55"/>
    </row>
    <row r="833">
      <c r="R833" s="94"/>
      <c r="V833" s="95"/>
      <c r="W833" s="96"/>
      <c r="X833" s="55"/>
      <c r="Z833" s="96"/>
      <c r="AA833" s="96"/>
      <c r="AB833" s="96"/>
      <c r="AC833" s="96"/>
      <c r="AD833" s="97"/>
      <c r="AF833" s="98"/>
      <c r="AH833" s="55"/>
    </row>
    <row r="834">
      <c r="R834" s="94"/>
      <c r="V834" s="95"/>
      <c r="W834" s="96"/>
      <c r="X834" s="55"/>
      <c r="Z834" s="96"/>
      <c r="AA834" s="96"/>
      <c r="AB834" s="96"/>
      <c r="AC834" s="96"/>
      <c r="AD834" s="97"/>
      <c r="AF834" s="98"/>
      <c r="AH834" s="55"/>
    </row>
    <row r="835">
      <c r="R835" s="94"/>
      <c r="V835" s="95"/>
      <c r="W835" s="96"/>
      <c r="X835" s="55"/>
      <c r="Z835" s="96"/>
      <c r="AA835" s="96"/>
      <c r="AB835" s="96"/>
      <c r="AC835" s="96"/>
      <c r="AD835" s="97"/>
      <c r="AF835" s="98"/>
      <c r="AH835" s="55"/>
    </row>
    <row r="836">
      <c r="R836" s="94"/>
      <c r="V836" s="95"/>
      <c r="W836" s="96"/>
      <c r="X836" s="55"/>
      <c r="Z836" s="96"/>
      <c r="AA836" s="96"/>
      <c r="AB836" s="96"/>
      <c r="AC836" s="96"/>
      <c r="AD836" s="97"/>
      <c r="AF836" s="98"/>
      <c r="AH836" s="55"/>
    </row>
    <row r="837">
      <c r="R837" s="94"/>
      <c r="V837" s="95"/>
      <c r="W837" s="96"/>
      <c r="X837" s="55"/>
      <c r="Z837" s="96"/>
      <c r="AA837" s="96"/>
      <c r="AB837" s="96"/>
      <c r="AC837" s="96"/>
      <c r="AD837" s="97"/>
      <c r="AF837" s="98"/>
      <c r="AH837" s="55"/>
    </row>
    <row r="838">
      <c r="R838" s="94"/>
      <c r="V838" s="95"/>
      <c r="W838" s="96"/>
      <c r="X838" s="55"/>
      <c r="Z838" s="96"/>
      <c r="AA838" s="96"/>
      <c r="AB838" s="96"/>
      <c r="AC838" s="96"/>
      <c r="AD838" s="97"/>
      <c r="AF838" s="98"/>
      <c r="AH838" s="55"/>
    </row>
    <row r="839">
      <c r="R839" s="94"/>
      <c r="V839" s="95"/>
      <c r="W839" s="96"/>
      <c r="X839" s="55"/>
      <c r="Z839" s="96"/>
      <c r="AA839" s="96"/>
      <c r="AB839" s="96"/>
      <c r="AC839" s="96"/>
      <c r="AD839" s="97"/>
      <c r="AF839" s="98"/>
      <c r="AH839" s="55"/>
    </row>
    <row r="840">
      <c r="R840" s="94"/>
      <c r="V840" s="95"/>
      <c r="W840" s="96"/>
      <c r="X840" s="55"/>
      <c r="Z840" s="96"/>
      <c r="AA840" s="96"/>
      <c r="AB840" s="96"/>
      <c r="AC840" s="96"/>
      <c r="AD840" s="97"/>
      <c r="AF840" s="98"/>
      <c r="AH840" s="55"/>
    </row>
    <row r="841">
      <c r="R841" s="94"/>
      <c r="V841" s="95"/>
      <c r="W841" s="96"/>
      <c r="X841" s="55"/>
      <c r="Z841" s="96"/>
      <c r="AA841" s="96"/>
      <c r="AB841" s="96"/>
      <c r="AC841" s="96"/>
      <c r="AD841" s="97"/>
      <c r="AF841" s="98"/>
      <c r="AH841" s="55"/>
    </row>
    <row r="842">
      <c r="R842" s="94"/>
      <c r="V842" s="95"/>
      <c r="W842" s="96"/>
      <c r="X842" s="55"/>
      <c r="Z842" s="96"/>
      <c r="AA842" s="96"/>
      <c r="AB842" s="96"/>
      <c r="AC842" s="96"/>
      <c r="AD842" s="97"/>
      <c r="AF842" s="98"/>
      <c r="AH842" s="55"/>
    </row>
    <row r="843">
      <c r="R843" s="94"/>
      <c r="V843" s="95"/>
      <c r="W843" s="96"/>
      <c r="X843" s="55"/>
      <c r="Z843" s="96"/>
      <c r="AA843" s="96"/>
      <c r="AB843" s="96"/>
      <c r="AC843" s="96"/>
      <c r="AD843" s="97"/>
      <c r="AF843" s="98"/>
      <c r="AH843" s="55"/>
    </row>
    <row r="844">
      <c r="R844" s="94"/>
      <c r="V844" s="95"/>
      <c r="W844" s="96"/>
      <c r="X844" s="55"/>
      <c r="Z844" s="96"/>
      <c r="AA844" s="96"/>
      <c r="AB844" s="96"/>
      <c r="AC844" s="96"/>
      <c r="AD844" s="97"/>
      <c r="AF844" s="98"/>
      <c r="AH844" s="55"/>
    </row>
    <row r="845">
      <c r="R845" s="94"/>
      <c r="V845" s="95"/>
      <c r="W845" s="96"/>
      <c r="X845" s="55"/>
      <c r="Z845" s="96"/>
      <c r="AA845" s="96"/>
      <c r="AB845" s="96"/>
      <c r="AC845" s="96"/>
      <c r="AD845" s="97"/>
      <c r="AF845" s="98"/>
      <c r="AH845" s="55"/>
    </row>
    <row r="846">
      <c r="R846" s="94"/>
      <c r="V846" s="95"/>
      <c r="W846" s="96"/>
      <c r="X846" s="55"/>
      <c r="Z846" s="96"/>
      <c r="AA846" s="96"/>
      <c r="AB846" s="96"/>
      <c r="AC846" s="96"/>
      <c r="AD846" s="97"/>
      <c r="AF846" s="98"/>
      <c r="AH846" s="55"/>
    </row>
    <row r="847">
      <c r="R847" s="94"/>
      <c r="V847" s="95"/>
      <c r="W847" s="96"/>
      <c r="X847" s="55"/>
      <c r="Z847" s="96"/>
      <c r="AA847" s="96"/>
      <c r="AB847" s="96"/>
      <c r="AC847" s="96"/>
      <c r="AD847" s="97"/>
      <c r="AF847" s="98"/>
      <c r="AH847" s="55"/>
    </row>
    <row r="848">
      <c r="R848" s="94"/>
      <c r="V848" s="95"/>
      <c r="W848" s="96"/>
      <c r="X848" s="55"/>
      <c r="Z848" s="96"/>
      <c r="AA848" s="96"/>
      <c r="AB848" s="96"/>
      <c r="AC848" s="96"/>
      <c r="AD848" s="97"/>
      <c r="AF848" s="98"/>
      <c r="AH848" s="55"/>
    </row>
    <row r="849">
      <c r="R849" s="94"/>
      <c r="V849" s="95"/>
      <c r="W849" s="96"/>
      <c r="X849" s="55"/>
      <c r="Z849" s="96"/>
      <c r="AA849" s="96"/>
      <c r="AB849" s="96"/>
      <c r="AC849" s="96"/>
      <c r="AD849" s="97"/>
      <c r="AF849" s="98"/>
      <c r="AH849" s="55"/>
    </row>
    <row r="850">
      <c r="R850" s="94"/>
      <c r="V850" s="95"/>
      <c r="W850" s="96"/>
      <c r="X850" s="55"/>
      <c r="Z850" s="96"/>
      <c r="AA850" s="96"/>
      <c r="AB850" s="96"/>
      <c r="AC850" s="96"/>
      <c r="AD850" s="97"/>
      <c r="AF850" s="98"/>
      <c r="AH850" s="55"/>
    </row>
    <row r="851">
      <c r="R851" s="94"/>
      <c r="V851" s="95"/>
      <c r="W851" s="96"/>
      <c r="X851" s="55"/>
      <c r="Z851" s="96"/>
      <c r="AA851" s="96"/>
      <c r="AB851" s="96"/>
      <c r="AC851" s="96"/>
      <c r="AD851" s="97"/>
      <c r="AF851" s="98"/>
      <c r="AH851" s="55"/>
    </row>
    <row r="852">
      <c r="R852" s="94"/>
      <c r="V852" s="95"/>
      <c r="W852" s="96"/>
      <c r="X852" s="55"/>
      <c r="Z852" s="96"/>
      <c r="AA852" s="96"/>
      <c r="AB852" s="96"/>
      <c r="AC852" s="96"/>
      <c r="AD852" s="97"/>
      <c r="AF852" s="98"/>
      <c r="AH852" s="55"/>
    </row>
    <row r="853">
      <c r="R853" s="94"/>
      <c r="V853" s="95"/>
      <c r="W853" s="96"/>
      <c r="X853" s="55"/>
      <c r="Z853" s="96"/>
      <c r="AA853" s="96"/>
      <c r="AB853" s="96"/>
      <c r="AC853" s="96"/>
      <c r="AD853" s="97"/>
      <c r="AF853" s="98"/>
      <c r="AH853" s="55"/>
    </row>
    <row r="854">
      <c r="R854" s="94"/>
      <c r="V854" s="95"/>
      <c r="W854" s="96"/>
      <c r="X854" s="55"/>
      <c r="Z854" s="96"/>
      <c r="AA854" s="96"/>
      <c r="AB854" s="96"/>
      <c r="AC854" s="96"/>
      <c r="AD854" s="97"/>
      <c r="AF854" s="98"/>
      <c r="AH854" s="55"/>
    </row>
    <row r="855">
      <c r="R855" s="94"/>
      <c r="V855" s="95"/>
      <c r="W855" s="96"/>
      <c r="X855" s="55"/>
      <c r="Z855" s="96"/>
      <c r="AA855" s="96"/>
      <c r="AB855" s="96"/>
      <c r="AC855" s="96"/>
      <c r="AD855" s="97"/>
      <c r="AF855" s="98"/>
      <c r="AH855" s="55"/>
    </row>
    <row r="856">
      <c r="R856" s="94"/>
      <c r="V856" s="95"/>
      <c r="W856" s="96"/>
      <c r="X856" s="55"/>
      <c r="Z856" s="96"/>
      <c r="AA856" s="96"/>
      <c r="AB856" s="96"/>
      <c r="AC856" s="96"/>
      <c r="AD856" s="97"/>
      <c r="AF856" s="98"/>
      <c r="AH856" s="55"/>
    </row>
    <row r="857">
      <c r="R857" s="94"/>
      <c r="V857" s="95"/>
      <c r="W857" s="96"/>
      <c r="X857" s="55"/>
      <c r="Z857" s="96"/>
      <c r="AA857" s="96"/>
      <c r="AB857" s="96"/>
      <c r="AC857" s="96"/>
      <c r="AD857" s="97"/>
      <c r="AF857" s="98"/>
      <c r="AH857" s="55"/>
    </row>
    <row r="858">
      <c r="R858" s="94"/>
      <c r="V858" s="95"/>
      <c r="W858" s="96"/>
      <c r="X858" s="55"/>
      <c r="Z858" s="96"/>
      <c r="AA858" s="96"/>
      <c r="AB858" s="96"/>
      <c r="AC858" s="96"/>
      <c r="AD858" s="97"/>
      <c r="AF858" s="98"/>
      <c r="AH858" s="55"/>
    </row>
    <row r="859">
      <c r="R859" s="94"/>
      <c r="V859" s="95"/>
      <c r="W859" s="96"/>
      <c r="X859" s="55"/>
      <c r="Z859" s="96"/>
      <c r="AA859" s="96"/>
      <c r="AB859" s="96"/>
      <c r="AC859" s="96"/>
      <c r="AD859" s="97"/>
      <c r="AF859" s="98"/>
      <c r="AH859" s="55"/>
    </row>
    <row r="860">
      <c r="R860" s="94"/>
      <c r="V860" s="95"/>
      <c r="W860" s="96"/>
      <c r="X860" s="55"/>
      <c r="Z860" s="96"/>
      <c r="AA860" s="96"/>
      <c r="AB860" s="96"/>
      <c r="AC860" s="96"/>
      <c r="AD860" s="97"/>
      <c r="AF860" s="98"/>
      <c r="AH860" s="55"/>
    </row>
    <row r="861">
      <c r="R861" s="94"/>
      <c r="V861" s="95"/>
      <c r="W861" s="96"/>
      <c r="X861" s="55"/>
      <c r="Z861" s="96"/>
      <c r="AA861" s="96"/>
      <c r="AB861" s="96"/>
      <c r="AC861" s="96"/>
      <c r="AD861" s="97"/>
      <c r="AF861" s="98"/>
      <c r="AH861" s="55"/>
    </row>
    <row r="862">
      <c r="R862" s="94"/>
      <c r="V862" s="95"/>
      <c r="W862" s="96"/>
      <c r="X862" s="55"/>
      <c r="Z862" s="96"/>
      <c r="AA862" s="96"/>
      <c r="AB862" s="96"/>
      <c r="AC862" s="96"/>
      <c r="AD862" s="97"/>
      <c r="AF862" s="98"/>
      <c r="AH862" s="55"/>
    </row>
    <row r="863">
      <c r="R863" s="94"/>
      <c r="V863" s="95"/>
      <c r="W863" s="96"/>
      <c r="X863" s="55"/>
      <c r="Z863" s="96"/>
      <c r="AA863" s="96"/>
      <c r="AB863" s="96"/>
      <c r="AC863" s="96"/>
      <c r="AD863" s="97"/>
      <c r="AF863" s="98"/>
      <c r="AH863" s="55"/>
    </row>
    <row r="864">
      <c r="R864" s="94"/>
      <c r="V864" s="95"/>
      <c r="W864" s="96"/>
      <c r="X864" s="55"/>
      <c r="Z864" s="96"/>
      <c r="AA864" s="96"/>
      <c r="AB864" s="96"/>
      <c r="AC864" s="96"/>
      <c r="AD864" s="97"/>
      <c r="AF864" s="98"/>
      <c r="AH864" s="55"/>
    </row>
    <row r="865">
      <c r="R865" s="94"/>
      <c r="V865" s="95"/>
      <c r="W865" s="96"/>
      <c r="X865" s="55"/>
      <c r="Z865" s="96"/>
      <c r="AA865" s="96"/>
      <c r="AB865" s="96"/>
      <c r="AC865" s="96"/>
      <c r="AD865" s="97"/>
      <c r="AF865" s="98"/>
      <c r="AH865" s="55"/>
    </row>
    <row r="866">
      <c r="R866" s="94"/>
      <c r="V866" s="95"/>
      <c r="W866" s="96"/>
      <c r="X866" s="55"/>
      <c r="Z866" s="96"/>
      <c r="AA866" s="96"/>
      <c r="AB866" s="96"/>
      <c r="AC866" s="96"/>
      <c r="AD866" s="97"/>
      <c r="AF866" s="98"/>
      <c r="AH866" s="55"/>
    </row>
    <row r="867">
      <c r="R867" s="94"/>
      <c r="V867" s="95"/>
      <c r="W867" s="96"/>
      <c r="X867" s="55"/>
      <c r="Z867" s="96"/>
      <c r="AA867" s="96"/>
      <c r="AB867" s="96"/>
      <c r="AC867" s="96"/>
      <c r="AD867" s="97"/>
      <c r="AF867" s="98"/>
      <c r="AH867" s="55"/>
    </row>
    <row r="868">
      <c r="R868" s="94"/>
      <c r="V868" s="95"/>
      <c r="W868" s="96"/>
      <c r="X868" s="55"/>
      <c r="Z868" s="96"/>
      <c r="AA868" s="96"/>
      <c r="AB868" s="96"/>
      <c r="AC868" s="96"/>
      <c r="AD868" s="97"/>
      <c r="AF868" s="98"/>
      <c r="AH868" s="55"/>
    </row>
    <row r="869">
      <c r="R869" s="94"/>
      <c r="V869" s="95"/>
      <c r="W869" s="96"/>
      <c r="X869" s="55"/>
      <c r="Z869" s="96"/>
      <c r="AA869" s="96"/>
      <c r="AB869" s="96"/>
      <c r="AC869" s="96"/>
      <c r="AD869" s="97"/>
      <c r="AF869" s="98"/>
      <c r="AH869" s="55"/>
    </row>
    <row r="870">
      <c r="R870" s="94"/>
      <c r="V870" s="95"/>
      <c r="W870" s="96"/>
      <c r="X870" s="55"/>
      <c r="Z870" s="96"/>
      <c r="AA870" s="96"/>
      <c r="AB870" s="96"/>
      <c r="AC870" s="96"/>
      <c r="AD870" s="97"/>
      <c r="AF870" s="98"/>
      <c r="AH870" s="55"/>
    </row>
    <row r="871">
      <c r="R871" s="94"/>
      <c r="V871" s="95"/>
      <c r="W871" s="96"/>
      <c r="X871" s="55"/>
      <c r="Z871" s="96"/>
      <c r="AA871" s="96"/>
      <c r="AB871" s="96"/>
      <c r="AC871" s="96"/>
      <c r="AD871" s="97"/>
      <c r="AF871" s="98"/>
      <c r="AH871" s="55"/>
    </row>
    <row r="872">
      <c r="R872" s="94"/>
      <c r="V872" s="95"/>
      <c r="W872" s="96"/>
      <c r="X872" s="55"/>
      <c r="Z872" s="96"/>
      <c r="AA872" s="96"/>
      <c r="AB872" s="96"/>
      <c r="AC872" s="96"/>
      <c r="AD872" s="97"/>
      <c r="AF872" s="98"/>
      <c r="AH872" s="55"/>
    </row>
    <row r="873">
      <c r="R873" s="94"/>
      <c r="V873" s="95"/>
      <c r="W873" s="96"/>
      <c r="X873" s="55"/>
      <c r="Z873" s="96"/>
      <c r="AA873" s="96"/>
      <c r="AB873" s="96"/>
      <c r="AC873" s="96"/>
      <c r="AD873" s="97"/>
      <c r="AF873" s="98"/>
      <c r="AH873" s="55"/>
    </row>
    <row r="874">
      <c r="R874" s="94"/>
      <c r="V874" s="95"/>
      <c r="W874" s="96"/>
      <c r="X874" s="55"/>
      <c r="Z874" s="96"/>
      <c r="AA874" s="96"/>
      <c r="AB874" s="96"/>
      <c r="AC874" s="96"/>
      <c r="AD874" s="97"/>
      <c r="AF874" s="98"/>
      <c r="AH874" s="55"/>
    </row>
    <row r="875">
      <c r="R875" s="94"/>
      <c r="V875" s="95"/>
      <c r="W875" s="96"/>
      <c r="X875" s="55"/>
      <c r="Z875" s="96"/>
      <c r="AA875" s="96"/>
      <c r="AB875" s="96"/>
      <c r="AC875" s="96"/>
      <c r="AD875" s="97"/>
      <c r="AF875" s="98"/>
      <c r="AH875" s="55"/>
    </row>
    <row r="876">
      <c r="R876" s="94"/>
      <c r="V876" s="95"/>
      <c r="W876" s="96"/>
      <c r="X876" s="55"/>
      <c r="Z876" s="96"/>
      <c r="AA876" s="96"/>
      <c r="AB876" s="96"/>
      <c r="AC876" s="96"/>
      <c r="AD876" s="97"/>
      <c r="AF876" s="98"/>
      <c r="AH876" s="55"/>
    </row>
    <row r="877">
      <c r="R877" s="94"/>
      <c r="V877" s="95"/>
      <c r="W877" s="96"/>
      <c r="X877" s="55"/>
      <c r="Z877" s="96"/>
      <c r="AA877" s="96"/>
      <c r="AB877" s="96"/>
      <c r="AC877" s="96"/>
      <c r="AD877" s="97"/>
      <c r="AF877" s="98"/>
      <c r="AH877" s="55"/>
    </row>
    <row r="878">
      <c r="R878" s="94"/>
      <c r="V878" s="95"/>
      <c r="W878" s="96"/>
      <c r="X878" s="55"/>
      <c r="Z878" s="96"/>
      <c r="AA878" s="96"/>
      <c r="AB878" s="96"/>
      <c r="AC878" s="96"/>
      <c r="AD878" s="97"/>
      <c r="AF878" s="98"/>
      <c r="AH878" s="55"/>
    </row>
    <row r="879">
      <c r="R879" s="94"/>
      <c r="V879" s="95"/>
      <c r="W879" s="96"/>
      <c r="X879" s="55"/>
      <c r="Z879" s="96"/>
      <c r="AA879" s="96"/>
      <c r="AB879" s="96"/>
      <c r="AC879" s="96"/>
      <c r="AD879" s="97"/>
      <c r="AF879" s="98"/>
      <c r="AH879" s="55"/>
    </row>
    <row r="880">
      <c r="R880" s="94"/>
      <c r="V880" s="95"/>
      <c r="W880" s="96"/>
      <c r="X880" s="55"/>
      <c r="Z880" s="96"/>
      <c r="AA880" s="96"/>
      <c r="AB880" s="96"/>
      <c r="AC880" s="96"/>
      <c r="AD880" s="97"/>
      <c r="AF880" s="98"/>
      <c r="AH880" s="55"/>
    </row>
    <row r="881">
      <c r="R881" s="94"/>
      <c r="V881" s="95"/>
      <c r="W881" s="96"/>
      <c r="X881" s="55"/>
      <c r="Z881" s="96"/>
      <c r="AA881" s="96"/>
      <c r="AB881" s="96"/>
      <c r="AC881" s="96"/>
      <c r="AD881" s="97"/>
      <c r="AF881" s="98"/>
      <c r="AH881" s="55"/>
    </row>
    <row r="882">
      <c r="R882" s="94"/>
      <c r="V882" s="95"/>
      <c r="W882" s="96"/>
      <c r="X882" s="55"/>
      <c r="Z882" s="96"/>
      <c r="AA882" s="96"/>
      <c r="AB882" s="96"/>
      <c r="AC882" s="96"/>
      <c r="AD882" s="97"/>
      <c r="AF882" s="98"/>
      <c r="AH882" s="55"/>
    </row>
    <row r="883">
      <c r="R883" s="94"/>
      <c r="V883" s="95"/>
      <c r="W883" s="96"/>
      <c r="X883" s="55"/>
      <c r="Z883" s="96"/>
      <c r="AA883" s="96"/>
      <c r="AB883" s="96"/>
      <c r="AC883" s="96"/>
      <c r="AD883" s="97"/>
      <c r="AF883" s="98"/>
      <c r="AH883" s="55"/>
    </row>
    <row r="884">
      <c r="R884" s="94"/>
      <c r="V884" s="95"/>
      <c r="W884" s="96"/>
      <c r="X884" s="55"/>
      <c r="Z884" s="96"/>
      <c r="AA884" s="96"/>
      <c r="AB884" s="96"/>
      <c r="AC884" s="96"/>
      <c r="AD884" s="97"/>
      <c r="AF884" s="98"/>
      <c r="AH884" s="55"/>
    </row>
    <row r="885">
      <c r="R885" s="94"/>
      <c r="V885" s="95"/>
      <c r="W885" s="96"/>
      <c r="X885" s="55"/>
      <c r="Z885" s="96"/>
      <c r="AA885" s="96"/>
      <c r="AB885" s="96"/>
      <c r="AC885" s="96"/>
      <c r="AD885" s="97"/>
      <c r="AF885" s="98"/>
      <c r="AH885" s="55"/>
    </row>
    <row r="886">
      <c r="R886" s="94"/>
      <c r="V886" s="95"/>
      <c r="W886" s="96"/>
      <c r="X886" s="55"/>
      <c r="Z886" s="96"/>
      <c r="AA886" s="96"/>
      <c r="AB886" s="96"/>
      <c r="AC886" s="96"/>
      <c r="AD886" s="97"/>
      <c r="AF886" s="98"/>
      <c r="AH886" s="55"/>
    </row>
    <row r="887">
      <c r="R887" s="94"/>
      <c r="V887" s="95"/>
      <c r="W887" s="96"/>
      <c r="X887" s="55"/>
      <c r="Z887" s="96"/>
      <c r="AA887" s="96"/>
      <c r="AB887" s="96"/>
      <c r="AC887" s="96"/>
      <c r="AD887" s="97"/>
      <c r="AF887" s="98"/>
      <c r="AH887" s="55"/>
    </row>
    <row r="888">
      <c r="R888" s="94"/>
      <c r="V888" s="95"/>
      <c r="W888" s="96"/>
      <c r="X888" s="55"/>
      <c r="Z888" s="96"/>
      <c r="AA888" s="96"/>
      <c r="AB888" s="96"/>
      <c r="AC888" s="96"/>
      <c r="AD888" s="97"/>
      <c r="AF888" s="98"/>
      <c r="AH888" s="55"/>
    </row>
    <row r="889">
      <c r="R889" s="94"/>
      <c r="V889" s="95"/>
      <c r="W889" s="96"/>
      <c r="X889" s="55"/>
      <c r="Z889" s="96"/>
      <c r="AA889" s="96"/>
      <c r="AB889" s="96"/>
      <c r="AC889" s="96"/>
      <c r="AD889" s="97"/>
      <c r="AF889" s="98"/>
      <c r="AH889" s="55"/>
    </row>
    <row r="890">
      <c r="R890" s="94"/>
      <c r="V890" s="95"/>
      <c r="W890" s="96"/>
      <c r="X890" s="55"/>
      <c r="Z890" s="96"/>
      <c r="AA890" s="96"/>
      <c r="AB890" s="96"/>
      <c r="AC890" s="96"/>
      <c r="AD890" s="97"/>
      <c r="AF890" s="98"/>
      <c r="AH890" s="55"/>
    </row>
    <row r="891">
      <c r="R891" s="94"/>
      <c r="V891" s="95"/>
      <c r="W891" s="96"/>
      <c r="X891" s="55"/>
      <c r="Z891" s="96"/>
      <c r="AA891" s="96"/>
      <c r="AB891" s="96"/>
      <c r="AC891" s="96"/>
      <c r="AD891" s="97"/>
      <c r="AF891" s="98"/>
      <c r="AH891" s="55"/>
    </row>
    <row r="892">
      <c r="R892" s="94"/>
      <c r="V892" s="95"/>
      <c r="W892" s="96"/>
      <c r="X892" s="55"/>
      <c r="Z892" s="96"/>
      <c r="AA892" s="96"/>
      <c r="AB892" s="96"/>
      <c r="AC892" s="96"/>
      <c r="AD892" s="97"/>
      <c r="AF892" s="98"/>
      <c r="AH892" s="55"/>
    </row>
    <row r="893">
      <c r="R893" s="94"/>
      <c r="V893" s="95"/>
      <c r="W893" s="96"/>
      <c r="X893" s="55"/>
      <c r="Z893" s="96"/>
      <c r="AA893" s="96"/>
      <c r="AB893" s="96"/>
      <c r="AC893" s="96"/>
      <c r="AD893" s="97"/>
      <c r="AF893" s="98"/>
      <c r="AH893" s="55"/>
    </row>
    <row r="894">
      <c r="R894" s="94"/>
      <c r="V894" s="95"/>
      <c r="W894" s="96"/>
      <c r="X894" s="55"/>
      <c r="Z894" s="96"/>
      <c r="AA894" s="96"/>
      <c r="AB894" s="96"/>
      <c r="AC894" s="96"/>
      <c r="AD894" s="97"/>
      <c r="AF894" s="98"/>
      <c r="AH894" s="55"/>
    </row>
    <row r="895">
      <c r="R895" s="94"/>
      <c r="V895" s="95"/>
      <c r="W895" s="96"/>
      <c r="X895" s="55"/>
      <c r="Z895" s="96"/>
      <c r="AA895" s="96"/>
      <c r="AB895" s="96"/>
      <c r="AC895" s="96"/>
      <c r="AD895" s="97"/>
      <c r="AF895" s="98"/>
      <c r="AH895" s="55"/>
    </row>
    <row r="896">
      <c r="R896" s="94"/>
      <c r="V896" s="95"/>
      <c r="W896" s="96"/>
      <c r="X896" s="55"/>
      <c r="Z896" s="96"/>
      <c r="AA896" s="96"/>
      <c r="AB896" s="96"/>
      <c r="AC896" s="96"/>
      <c r="AD896" s="97"/>
      <c r="AF896" s="98"/>
      <c r="AH896" s="55"/>
    </row>
    <row r="897">
      <c r="R897" s="94"/>
      <c r="V897" s="95"/>
      <c r="W897" s="96"/>
      <c r="X897" s="55"/>
      <c r="Z897" s="96"/>
      <c r="AA897" s="96"/>
      <c r="AB897" s="96"/>
      <c r="AC897" s="96"/>
      <c r="AD897" s="97"/>
      <c r="AF897" s="98"/>
      <c r="AH897" s="55"/>
    </row>
    <row r="898">
      <c r="R898" s="94"/>
      <c r="V898" s="95"/>
      <c r="W898" s="96"/>
      <c r="X898" s="55"/>
      <c r="Z898" s="96"/>
      <c r="AA898" s="96"/>
      <c r="AB898" s="96"/>
      <c r="AC898" s="96"/>
      <c r="AD898" s="97"/>
      <c r="AF898" s="98"/>
      <c r="AH898" s="55"/>
    </row>
    <row r="899">
      <c r="R899" s="94"/>
      <c r="V899" s="95"/>
      <c r="W899" s="96"/>
      <c r="X899" s="55"/>
      <c r="Z899" s="96"/>
      <c r="AA899" s="96"/>
      <c r="AB899" s="96"/>
      <c r="AC899" s="96"/>
      <c r="AD899" s="97"/>
      <c r="AF899" s="98"/>
      <c r="AH899" s="55"/>
    </row>
    <row r="900">
      <c r="R900" s="94"/>
      <c r="V900" s="95"/>
      <c r="W900" s="96"/>
      <c r="X900" s="55"/>
      <c r="Z900" s="96"/>
      <c r="AA900" s="96"/>
      <c r="AB900" s="96"/>
      <c r="AC900" s="96"/>
      <c r="AD900" s="97"/>
      <c r="AF900" s="98"/>
      <c r="AH900" s="55"/>
    </row>
    <row r="901">
      <c r="R901" s="94"/>
      <c r="V901" s="95"/>
      <c r="W901" s="96"/>
      <c r="X901" s="55"/>
      <c r="Z901" s="96"/>
      <c r="AA901" s="96"/>
      <c r="AB901" s="96"/>
      <c r="AC901" s="96"/>
      <c r="AD901" s="97"/>
      <c r="AF901" s="98"/>
      <c r="AH901" s="55"/>
    </row>
    <row r="902">
      <c r="R902" s="94"/>
      <c r="V902" s="95"/>
      <c r="W902" s="96"/>
      <c r="X902" s="55"/>
      <c r="Z902" s="96"/>
      <c r="AA902" s="96"/>
      <c r="AB902" s="96"/>
      <c r="AC902" s="96"/>
      <c r="AD902" s="97"/>
      <c r="AF902" s="98"/>
      <c r="AH902" s="55"/>
    </row>
    <row r="903">
      <c r="R903" s="94"/>
      <c r="V903" s="95"/>
      <c r="W903" s="96"/>
      <c r="X903" s="55"/>
      <c r="Z903" s="96"/>
      <c r="AA903" s="96"/>
      <c r="AB903" s="96"/>
      <c r="AC903" s="96"/>
      <c r="AD903" s="97"/>
      <c r="AF903" s="98"/>
      <c r="AH903" s="55"/>
    </row>
    <row r="904">
      <c r="R904" s="94"/>
      <c r="V904" s="95"/>
      <c r="W904" s="96"/>
      <c r="X904" s="55"/>
      <c r="Z904" s="96"/>
      <c r="AA904" s="96"/>
      <c r="AB904" s="96"/>
      <c r="AC904" s="96"/>
      <c r="AD904" s="97"/>
      <c r="AF904" s="98"/>
      <c r="AH904" s="55"/>
    </row>
    <row r="905">
      <c r="R905" s="94"/>
      <c r="V905" s="95"/>
      <c r="W905" s="96"/>
      <c r="X905" s="55"/>
      <c r="Z905" s="96"/>
      <c r="AA905" s="96"/>
      <c r="AB905" s="96"/>
      <c r="AC905" s="96"/>
      <c r="AD905" s="97"/>
      <c r="AF905" s="98"/>
      <c r="AH905" s="55"/>
    </row>
    <row r="906">
      <c r="R906" s="94"/>
      <c r="V906" s="95"/>
      <c r="W906" s="96"/>
      <c r="X906" s="55"/>
      <c r="Z906" s="96"/>
      <c r="AA906" s="96"/>
      <c r="AB906" s="96"/>
      <c r="AC906" s="96"/>
      <c r="AD906" s="97"/>
      <c r="AF906" s="98"/>
      <c r="AH906" s="55"/>
    </row>
    <row r="907">
      <c r="R907" s="94"/>
      <c r="V907" s="95"/>
      <c r="W907" s="96"/>
      <c r="X907" s="55"/>
      <c r="Z907" s="96"/>
      <c r="AA907" s="96"/>
      <c r="AB907" s="96"/>
      <c r="AC907" s="96"/>
      <c r="AD907" s="97"/>
      <c r="AF907" s="98"/>
      <c r="AH907" s="55"/>
    </row>
    <row r="908">
      <c r="R908" s="94"/>
      <c r="V908" s="95"/>
      <c r="W908" s="96"/>
      <c r="X908" s="55"/>
      <c r="Z908" s="96"/>
      <c r="AA908" s="96"/>
      <c r="AB908" s="96"/>
      <c r="AC908" s="96"/>
      <c r="AD908" s="97"/>
      <c r="AF908" s="98"/>
      <c r="AH908" s="55"/>
    </row>
    <row r="909">
      <c r="R909" s="94"/>
      <c r="V909" s="95"/>
      <c r="W909" s="96"/>
      <c r="X909" s="55"/>
      <c r="Z909" s="96"/>
      <c r="AA909" s="96"/>
      <c r="AB909" s="96"/>
      <c r="AC909" s="96"/>
      <c r="AD909" s="97"/>
      <c r="AF909" s="98"/>
      <c r="AH909" s="55"/>
    </row>
    <row r="910">
      <c r="R910" s="94"/>
      <c r="V910" s="95"/>
      <c r="W910" s="96"/>
      <c r="X910" s="55"/>
      <c r="Z910" s="96"/>
      <c r="AA910" s="96"/>
      <c r="AB910" s="96"/>
      <c r="AC910" s="96"/>
      <c r="AD910" s="97"/>
      <c r="AF910" s="98"/>
      <c r="AH910" s="55"/>
    </row>
    <row r="911">
      <c r="R911" s="94"/>
      <c r="V911" s="95"/>
      <c r="W911" s="96"/>
      <c r="X911" s="55"/>
      <c r="Z911" s="96"/>
      <c r="AA911" s="96"/>
      <c r="AB911" s="96"/>
      <c r="AC911" s="96"/>
      <c r="AD911" s="97"/>
      <c r="AF911" s="98"/>
      <c r="AH911" s="55"/>
    </row>
    <row r="912">
      <c r="R912" s="94"/>
      <c r="V912" s="95"/>
      <c r="W912" s="96"/>
      <c r="X912" s="55"/>
      <c r="Z912" s="96"/>
      <c r="AA912" s="96"/>
      <c r="AB912" s="96"/>
      <c r="AC912" s="96"/>
      <c r="AD912" s="97"/>
      <c r="AF912" s="98"/>
      <c r="AH912" s="55"/>
    </row>
    <row r="913">
      <c r="R913" s="94"/>
      <c r="V913" s="95"/>
      <c r="W913" s="96"/>
      <c r="X913" s="55"/>
      <c r="Z913" s="96"/>
      <c r="AA913" s="96"/>
      <c r="AB913" s="96"/>
      <c r="AC913" s="96"/>
      <c r="AD913" s="97"/>
      <c r="AF913" s="98"/>
      <c r="AH913" s="55"/>
    </row>
    <row r="914">
      <c r="R914" s="94"/>
      <c r="V914" s="95"/>
      <c r="W914" s="96"/>
      <c r="X914" s="55"/>
      <c r="Z914" s="96"/>
      <c r="AA914" s="96"/>
      <c r="AB914" s="96"/>
      <c r="AC914" s="96"/>
      <c r="AD914" s="97"/>
      <c r="AF914" s="98"/>
      <c r="AH914" s="55"/>
    </row>
    <row r="915">
      <c r="R915" s="94"/>
      <c r="V915" s="95"/>
      <c r="W915" s="96"/>
      <c r="X915" s="55"/>
      <c r="Z915" s="96"/>
      <c r="AA915" s="96"/>
      <c r="AB915" s="96"/>
      <c r="AC915" s="96"/>
      <c r="AD915" s="97"/>
      <c r="AF915" s="98"/>
      <c r="AH915" s="55"/>
    </row>
    <row r="916">
      <c r="R916" s="94"/>
      <c r="V916" s="95"/>
      <c r="W916" s="96"/>
      <c r="X916" s="55"/>
      <c r="Z916" s="96"/>
      <c r="AA916" s="96"/>
      <c r="AB916" s="96"/>
      <c r="AC916" s="96"/>
      <c r="AD916" s="97"/>
      <c r="AF916" s="98"/>
      <c r="AH916" s="55"/>
    </row>
    <row r="917">
      <c r="R917" s="94"/>
      <c r="V917" s="95"/>
      <c r="W917" s="96"/>
      <c r="X917" s="55"/>
      <c r="Z917" s="96"/>
      <c r="AA917" s="96"/>
      <c r="AB917" s="96"/>
      <c r="AC917" s="96"/>
      <c r="AD917" s="97"/>
      <c r="AF917" s="98"/>
      <c r="AH917" s="55"/>
    </row>
    <row r="918">
      <c r="R918" s="94"/>
      <c r="V918" s="95"/>
      <c r="W918" s="96"/>
      <c r="X918" s="55"/>
      <c r="Z918" s="96"/>
      <c r="AA918" s="96"/>
      <c r="AB918" s="96"/>
      <c r="AC918" s="96"/>
      <c r="AD918" s="97"/>
      <c r="AF918" s="98"/>
      <c r="AH918" s="55"/>
    </row>
    <row r="919">
      <c r="R919" s="94"/>
      <c r="V919" s="95"/>
      <c r="W919" s="96"/>
      <c r="X919" s="55"/>
      <c r="Z919" s="96"/>
      <c r="AA919" s="96"/>
      <c r="AB919" s="96"/>
      <c r="AC919" s="96"/>
      <c r="AD919" s="97"/>
      <c r="AF919" s="98"/>
      <c r="AH919" s="55"/>
    </row>
    <row r="920">
      <c r="R920" s="94"/>
      <c r="V920" s="95"/>
      <c r="W920" s="96"/>
      <c r="X920" s="55"/>
      <c r="Z920" s="96"/>
      <c r="AA920" s="96"/>
      <c r="AB920" s="96"/>
      <c r="AC920" s="96"/>
      <c r="AD920" s="97"/>
      <c r="AF920" s="98"/>
      <c r="AH920" s="55"/>
    </row>
    <row r="921">
      <c r="R921" s="94"/>
      <c r="V921" s="95"/>
      <c r="W921" s="96"/>
      <c r="X921" s="55"/>
      <c r="Z921" s="96"/>
      <c r="AA921" s="96"/>
      <c r="AB921" s="96"/>
      <c r="AC921" s="96"/>
      <c r="AD921" s="97"/>
      <c r="AF921" s="98"/>
      <c r="AH921" s="55"/>
    </row>
    <row r="922">
      <c r="R922" s="94"/>
      <c r="V922" s="95"/>
      <c r="W922" s="96"/>
      <c r="X922" s="55"/>
      <c r="Z922" s="96"/>
      <c r="AA922" s="96"/>
      <c r="AB922" s="96"/>
      <c r="AC922" s="96"/>
      <c r="AD922" s="97"/>
      <c r="AF922" s="98"/>
      <c r="AH922" s="55"/>
    </row>
    <row r="923">
      <c r="R923" s="94"/>
      <c r="V923" s="95"/>
      <c r="W923" s="96"/>
      <c r="X923" s="55"/>
      <c r="Z923" s="96"/>
      <c r="AA923" s="96"/>
      <c r="AB923" s="96"/>
      <c r="AC923" s="96"/>
      <c r="AD923" s="97"/>
      <c r="AF923" s="98"/>
      <c r="AH923" s="55"/>
    </row>
    <row r="924">
      <c r="R924" s="94"/>
      <c r="V924" s="95"/>
      <c r="W924" s="96"/>
      <c r="X924" s="55"/>
      <c r="Z924" s="96"/>
      <c r="AA924" s="96"/>
      <c r="AB924" s="96"/>
      <c r="AC924" s="96"/>
      <c r="AD924" s="97"/>
      <c r="AF924" s="98"/>
      <c r="AH924" s="55"/>
    </row>
    <row r="925">
      <c r="R925" s="94"/>
      <c r="V925" s="95"/>
      <c r="W925" s="96"/>
      <c r="X925" s="55"/>
      <c r="Z925" s="96"/>
      <c r="AA925" s="96"/>
      <c r="AB925" s="96"/>
      <c r="AC925" s="96"/>
      <c r="AD925" s="97"/>
      <c r="AF925" s="98"/>
      <c r="AH925" s="55"/>
    </row>
    <row r="926">
      <c r="R926" s="94"/>
      <c r="V926" s="95"/>
      <c r="W926" s="96"/>
      <c r="X926" s="55"/>
      <c r="Z926" s="96"/>
      <c r="AA926" s="96"/>
      <c r="AB926" s="96"/>
      <c r="AC926" s="96"/>
      <c r="AD926" s="97"/>
      <c r="AF926" s="98"/>
      <c r="AH926" s="55"/>
    </row>
    <row r="927">
      <c r="R927" s="94"/>
      <c r="V927" s="95"/>
      <c r="W927" s="96"/>
      <c r="X927" s="55"/>
      <c r="Z927" s="96"/>
      <c r="AA927" s="96"/>
      <c r="AB927" s="96"/>
      <c r="AC927" s="96"/>
      <c r="AD927" s="97"/>
      <c r="AF927" s="98"/>
      <c r="AH927" s="55"/>
    </row>
    <row r="928">
      <c r="R928" s="94"/>
      <c r="V928" s="95"/>
      <c r="W928" s="96"/>
      <c r="X928" s="55"/>
      <c r="Z928" s="96"/>
      <c r="AA928" s="96"/>
      <c r="AB928" s="96"/>
      <c r="AC928" s="96"/>
      <c r="AD928" s="97"/>
      <c r="AF928" s="98"/>
      <c r="AH928" s="55"/>
    </row>
    <row r="929">
      <c r="R929" s="94"/>
      <c r="V929" s="95"/>
      <c r="W929" s="96"/>
      <c r="X929" s="55"/>
      <c r="Z929" s="96"/>
      <c r="AA929" s="96"/>
      <c r="AB929" s="96"/>
      <c r="AC929" s="96"/>
      <c r="AD929" s="97"/>
      <c r="AF929" s="98"/>
      <c r="AH929" s="55"/>
    </row>
    <row r="930">
      <c r="R930" s="94"/>
      <c r="V930" s="95"/>
      <c r="W930" s="96"/>
      <c r="X930" s="55"/>
      <c r="Z930" s="96"/>
      <c r="AA930" s="96"/>
      <c r="AB930" s="96"/>
      <c r="AC930" s="96"/>
      <c r="AD930" s="97"/>
      <c r="AF930" s="98"/>
      <c r="AH930" s="55"/>
    </row>
    <row r="931">
      <c r="R931" s="94"/>
      <c r="V931" s="95"/>
      <c r="W931" s="96"/>
      <c r="X931" s="55"/>
      <c r="Z931" s="96"/>
      <c r="AA931" s="96"/>
      <c r="AB931" s="96"/>
      <c r="AC931" s="96"/>
      <c r="AD931" s="97"/>
      <c r="AF931" s="98"/>
      <c r="AH931" s="55"/>
    </row>
    <row r="932">
      <c r="R932" s="94"/>
      <c r="V932" s="95"/>
      <c r="W932" s="96"/>
      <c r="X932" s="55"/>
      <c r="Z932" s="96"/>
      <c r="AA932" s="96"/>
      <c r="AB932" s="96"/>
      <c r="AC932" s="96"/>
      <c r="AD932" s="97"/>
      <c r="AF932" s="98"/>
      <c r="AH932" s="55"/>
    </row>
    <row r="933">
      <c r="R933" s="94"/>
      <c r="V933" s="95"/>
      <c r="W933" s="96"/>
      <c r="X933" s="55"/>
      <c r="Z933" s="96"/>
      <c r="AA933" s="96"/>
      <c r="AB933" s="96"/>
      <c r="AC933" s="96"/>
      <c r="AD933" s="97"/>
      <c r="AF933" s="98"/>
      <c r="AH933" s="55"/>
    </row>
    <row r="934">
      <c r="R934" s="94"/>
      <c r="V934" s="95"/>
      <c r="W934" s="96"/>
      <c r="X934" s="55"/>
      <c r="Z934" s="96"/>
      <c r="AA934" s="96"/>
      <c r="AB934" s="96"/>
      <c r="AC934" s="96"/>
      <c r="AD934" s="97"/>
      <c r="AF934" s="98"/>
      <c r="AH934" s="55"/>
    </row>
    <row r="935">
      <c r="R935" s="94"/>
      <c r="V935" s="95"/>
      <c r="W935" s="96"/>
      <c r="X935" s="55"/>
      <c r="Z935" s="96"/>
      <c r="AA935" s="96"/>
      <c r="AB935" s="96"/>
      <c r="AC935" s="96"/>
      <c r="AD935" s="97"/>
      <c r="AF935" s="98"/>
      <c r="AH935" s="55"/>
    </row>
    <row r="936">
      <c r="R936" s="94"/>
      <c r="V936" s="95"/>
      <c r="W936" s="96"/>
      <c r="X936" s="55"/>
      <c r="Z936" s="96"/>
      <c r="AA936" s="96"/>
      <c r="AB936" s="96"/>
      <c r="AC936" s="96"/>
      <c r="AD936" s="97"/>
      <c r="AF936" s="98"/>
      <c r="AH936" s="55"/>
    </row>
    <row r="937">
      <c r="R937" s="94"/>
      <c r="V937" s="95"/>
      <c r="W937" s="96"/>
      <c r="X937" s="55"/>
      <c r="Z937" s="96"/>
      <c r="AA937" s="96"/>
      <c r="AB937" s="96"/>
      <c r="AC937" s="96"/>
      <c r="AD937" s="97"/>
      <c r="AF937" s="98"/>
      <c r="AH937" s="55"/>
    </row>
    <row r="938">
      <c r="R938" s="94"/>
      <c r="V938" s="95"/>
      <c r="W938" s="96"/>
      <c r="X938" s="55"/>
      <c r="Z938" s="96"/>
      <c r="AA938" s="96"/>
      <c r="AB938" s="96"/>
      <c r="AC938" s="96"/>
      <c r="AD938" s="97"/>
      <c r="AF938" s="98"/>
      <c r="AH938" s="55"/>
    </row>
    <row r="939">
      <c r="R939" s="94"/>
      <c r="V939" s="95"/>
      <c r="W939" s="96"/>
      <c r="X939" s="55"/>
      <c r="Z939" s="96"/>
      <c r="AA939" s="96"/>
      <c r="AB939" s="96"/>
      <c r="AC939" s="96"/>
      <c r="AD939" s="97"/>
      <c r="AF939" s="98"/>
      <c r="AH939" s="55"/>
    </row>
    <row r="940">
      <c r="R940" s="94"/>
      <c r="V940" s="95"/>
      <c r="W940" s="96"/>
      <c r="X940" s="55"/>
      <c r="Z940" s="96"/>
      <c r="AA940" s="96"/>
      <c r="AB940" s="96"/>
      <c r="AC940" s="96"/>
      <c r="AD940" s="97"/>
      <c r="AF940" s="98"/>
      <c r="AH940" s="55"/>
    </row>
    <row r="941">
      <c r="R941" s="94"/>
      <c r="V941" s="95"/>
      <c r="W941" s="96"/>
      <c r="X941" s="55"/>
      <c r="Z941" s="96"/>
      <c r="AA941" s="96"/>
      <c r="AB941" s="96"/>
      <c r="AC941" s="96"/>
      <c r="AD941" s="97"/>
      <c r="AF941" s="98"/>
      <c r="AH941" s="55"/>
    </row>
    <row r="942">
      <c r="R942" s="94"/>
      <c r="V942" s="95"/>
      <c r="W942" s="96"/>
      <c r="X942" s="55"/>
      <c r="Z942" s="96"/>
      <c r="AA942" s="96"/>
      <c r="AB942" s="96"/>
      <c r="AC942" s="96"/>
      <c r="AD942" s="97"/>
      <c r="AF942" s="98"/>
      <c r="AH942" s="55"/>
    </row>
    <row r="943">
      <c r="R943" s="94"/>
      <c r="V943" s="95"/>
      <c r="W943" s="96"/>
      <c r="X943" s="55"/>
      <c r="Z943" s="96"/>
      <c r="AA943" s="96"/>
      <c r="AB943" s="96"/>
      <c r="AC943" s="96"/>
      <c r="AD943" s="97"/>
      <c r="AF943" s="98"/>
      <c r="AH943" s="55"/>
    </row>
    <row r="944">
      <c r="R944" s="94"/>
      <c r="V944" s="95"/>
      <c r="W944" s="96"/>
      <c r="X944" s="55"/>
      <c r="Z944" s="96"/>
      <c r="AA944" s="96"/>
      <c r="AB944" s="96"/>
      <c r="AC944" s="96"/>
      <c r="AD944" s="97"/>
      <c r="AF944" s="98"/>
      <c r="AH944" s="55"/>
    </row>
    <row r="945">
      <c r="R945" s="94"/>
      <c r="V945" s="95"/>
      <c r="W945" s="96"/>
      <c r="X945" s="55"/>
      <c r="Z945" s="96"/>
      <c r="AA945" s="96"/>
      <c r="AB945" s="96"/>
      <c r="AC945" s="96"/>
      <c r="AD945" s="97"/>
      <c r="AF945" s="98"/>
      <c r="AH945" s="55"/>
    </row>
    <row r="946">
      <c r="V946" s="95"/>
      <c r="X946" s="55"/>
      <c r="AF946" s="98"/>
    </row>
    <row r="947">
      <c r="V947" s="95"/>
      <c r="X947" s="55"/>
      <c r="AF947" s="98"/>
    </row>
    <row r="948">
      <c r="V948" s="95"/>
      <c r="X948" s="55"/>
      <c r="AF948" s="98"/>
    </row>
    <row r="949">
      <c r="V949" s="95"/>
      <c r="X949" s="55"/>
      <c r="AF949" s="98"/>
    </row>
    <row r="950">
      <c r="V950" s="95"/>
      <c r="X950" s="55"/>
      <c r="AF950" s="98"/>
    </row>
    <row r="951">
      <c r="V951" s="95"/>
      <c r="X951" s="55"/>
      <c r="AF951" s="98"/>
    </row>
    <row r="952">
      <c r="V952" s="95"/>
      <c r="X952" s="55"/>
      <c r="AF952" s="98"/>
    </row>
    <row r="953">
      <c r="V953" s="95"/>
      <c r="X953" s="55"/>
      <c r="AF953" s="98"/>
    </row>
    <row r="954">
      <c r="V954" s="95"/>
      <c r="X954" s="55"/>
      <c r="AF954" s="98"/>
    </row>
    <row r="955">
      <c r="V955" s="95"/>
      <c r="X955" s="55"/>
      <c r="AF955" s="98"/>
    </row>
    <row r="956">
      <c r="V956" s="95"/>
      <c r="X956" s="55"/>
      <c r="AF956" s="98"/>
    </row>
    <row r="957">
      <c r="V957" s="95"/>
      <c r="X957" s="55"/>
      <c r="AF957" s="98"/>
    </row>
    <row r="958">
      <c r="V958" s="95"/>
      <c r="X958" s="55"/>
      <c r="AF958" s="98"/>
    </row>
    <row r="959">
      <c r="V959" s="95"/>
      <c r="X959" s="55"/>
      <c r="AF959" s="98"/>
    </row>
    <row r="960">
      <c r="V960" s="95"/>
      <c r="X960" s="55"/>
      <c r="AF960" s="98"/>
    </row>
    <row r="961">
      <c r="V961" s="95"/>
      <c r="X961" s="55"/>
      <c r="AF961" s="98"/>
    </row>
    <row r="962">
      <c r="V962" s="95"/>
      <c r="X962" s="55"/>
      <c r="AF962" s="98"/>
    </row>
    <row r="963">
      <c r="V963" s="95"/>
      <c r="X963" s="55"/>
      <c r="AF963" s="98"/>
    </row>
    <row r="964">
      <c r="V964" s="95"/>
      <c r="X964" s="55"/>
      <c r="AF964" s="98"/>
    </row>
    <row r="965">
      <c r="V965" s="95"/>
      <c r="X965" s="55"/>
      <c r="AF965" s="98"/>
    </row>
    <row r="966">
      <c r="V966" s="95"/>
      <c r="X966" s="55"/>
      <c r="AF966" s="98"/>
    </row>
    <row r="967">
      <c r="V967" s="95"/>
      <c r="X967" s="55"/>
      <c r="AF967" s="98"/>
    </row>
    <row r="968">
      <c r="V968" s="95"/>
      <c r="X968" s="55"/>
      <c r="AF968" s="98"/>
    </row>
    <row r="969">
      <c r="V969" s="95"/>
      <c r="X969" s="55"/>
      <c r="AF969" s="98"/>
    </row>
    <row r="970">
      <c r="V970" s="95"/>
      <c r="X970" s="55"/>
      <c r="AF970" s="98"/>
    </row>
    <row r="971">
      <c r="V971" s="95"/>
      <c r="X971" s="55"/>
      <c r="AF971" s="98"/>
    </row>
    <row r="972">
      <c r="V972" s="95"/>
      <c r="X972" s="55"/>
      <c r="AF972" s="98"/>
    </row>
    <row r="973">
      <c r="V973" s="95"/>
      <c r="X973" s="55"/>
      <c r="AF973" s="98"/>
    </row>
    <row r="974">
      <c r="V974" s="95"/>
      <c r="X974" s="55"/>
      <c r="AF974" s="98"/>
    </row>
    <row r="975">
      <c r="V975" s="95"/>
      <c r="X975" s="55"/>
      <c r="AF975" s="98"/>
    </row>
    <row r="976">
      <c r="V976" s="95"/>
      <c r="X976" s="55"/>
      <c r="AF976" s="98"/>
    </row>
    <row r="977">
      <c r="V977" s="95"/>
      <c r="X977" s="55"/>
      <c r="AF977" s="98"/>
    </row>
    <row r="978">
      <c r="V978" s="95"/>
      <c r="X978" s="55"/>
      <c r="AF978" s="98"/>
    </row>
    <row r="979">
      <c r="V979" s="95"/>
      <c r="X979" s="55"/>
      <c r="AF979" s="98"/>
    </row>
    <row r="980">
      <c r="V980" s="95"/>
      <c r="X980" s="55"/>
      <c r="AF980" s="98"/>
    </row>
    <row r="981">
      <c r="V981" s="95"/>
      <c r="X981" s="55"/>
      <c r="AF981" s="98"/>
    </row>
    <row r="982">
      <c r="V982" s="95"/>
      <c r="X982" s="55"/>
      <c r="AF982" s="98"/>
    </row>
    <row r="983">
      <c r="V983" s="95"/>
      <c r="X983" s="55"/>
      <c r="AF983" s="98"/>
    </row>
    <row r="984">
      <c r="V984" s="95"/>
      <c r="X984" s="55"/>
      <c r="AF984" s="98"/>
    </row>
    <row r="985">
      <c r="V985" s="95"/>
      <c r="X985" s="55"/>
      <c r="AF985" s="98"/>
    </row>
    <row r="986">
      <c r="V986" s="95"/>
      <c r="X986" s="55"/>
      <c r="AF986" s="98"/>
    </row>
    <row r="987">
      <c r="V987" s="95"/>
      <c r="X987" s="55"/>
      <c r="AF987" s="98"/>
    </row>
    <row r="988">
      <c r="V988" s="95"/>
      <c r="X988" s="55"/>
      <c r="AF988" s="98"/>
    </row>
    <row r="989">
      <c r="V989" s="95"/>
      <c r="X989" s="55"/>
      <c r="AF989" s="98"/>
    </row>
    <row r="990">
      <c r="V990" s="95"/>
      <c r="X990" s="55"/>
      <c r="AF990" s="98"/>
    </row>
    <row r="991">
      <c r="V991" s="95"/>
      <c r="X991" s="55"/>
      <c r="AF991" s="98"/>
    </row>
    <row r="992">
      <c r="V992" s="95"/>
      <c r="X992" s="55"/>
      <c r="AF992" s="98"/>
    </row>
    <row r="993">
      <c r="V993" s="95"/>
      <c r="X993" s="55"/>
      <c r="AF993" s="98"/>
    </row>
    <row r="994">
      <c r="V994" s="95"/>
      <c r="X994" s="55"/>
      <c r="AF994" s="98"/>
    </row>
    <row r="995">
      <c r="V995" s="95"/>
      <c r="X995" s="55"/>
      <c r="AF995" s="98"/>
    </row>
    <row r="996">
      <c r="V996" s="95"/>
      <c r="X996" s="55"/>
      <c r="AF996" s="98"/>
    </row>
    <row r="997">
      <c r="V997" s="95"/>
      <c r="X997" s="55"/>
      <c r="AF997" s="98"/>
    </row>
    <row r="998">
      <c r="V998" s="95"/>
      <c r="X998" s="55"/>
      <c r="AF998" s="98"/>
    </row>
    <row r="999">
      <c r="V999" s="95"/>
      <c r="X999" s="55"/>
      <c r="AF999" s="98"/>
    </row>
    <row r="1000">
      <c r="V1000" s="95"/>
      <c r="X1000" s="55"/>
      <c r="AF1000" s="98"/>
    </row>
    <row r="1001">
      <c r="V1001" s="95"/>
      <c r="X1001" s="55"/>
      <c r="AF1001" s="98"/>
    </row>
    <row r="1002">
      <c r="V1002" s="95"/>
      <c r="X1002" s="55"/>
      <c r="AF1002" s="98"/>
    </row>
    <row r="1003">
      <c r="V1003" s="95"/>
      <c r="X1003" s="55"/>
      <c r="AF1003" s="98"/>
    </row>
    <row r="1004">
      <c r="V1004" s="95"/>
      <c r="X1004" s="55"/>
      <c r="AF1004" s="98"/>
    </row>
    <row r="1005">
      <c r="V1005" s="95"/>
      <c r="X1005" s="55"/>
      <c r="AF1005" s="98"/>
    </row>
    <row r="1006">
      <c r="V1006" s="95"/>
      <c r="X1006" s="55"/>
      <c r="AF1006" s="98"/>
    </row>
    <row r="1007">
      <c r="V1007" s="95"/>
      <c r="X1007" s="55"/>
      <c r="AF1007" s="98"/>
    </row>
    <row r="1008">
      <c r="V1008" s="95"/>
      <c r="X1008" s="55"/>
      <c r="AF1008" s="98"/>
    </row>
    <row r="1009">
      <c r="V1009" s="95"/>
      <c r="X1009" s="55"/>
      <c r="AF1009" s="98"/>
    </row>
    <row r="1010">
      <c r="V1010" s="95"/>
      <c r="X1010" s="55"/>
      <c r="AF1010" s="98"/>
    </row>
    <row r="1011">
      <c r="V1011" s="95"/>
      <c r="X1011" s="55"/>
      <c r="AF1011" s="98"/>
    </row>
    <row r="1012">
      <c r="V1012" s="95"/>
      <c r="X1012" s="55"/>
      <c r="AF1012" s="98"/>
    </row>
    <row r="1013">
      <c r="V1013" s="95"/>
      <c r="X1013" s="55"/>
      <c r="AF1013" s="98"/>
    </row>
    <row r="1014">
      <c r="V1014" s="95"/>
      <c r="X1014" s="55"/>
      <c r="AF1014" s="98"/>
    </row>
    <row r="1015">
      <c r="V1015" s="95"/>
      <c r="X1015" s="55"/>
      <c r="AF1015" s="98"/>
    </row>
    <row r="1016">
      <c r="V1016" s="95"/>
      <c r="X1016" s="55"/>
      <c r="AF1016" s="98"/>
    </row>
    <row r="1017">
      <c r="V1017" s="95"/>
      <c r="X1017" s="55"/>
      <c r="AF1017" s="98"/>
    </row>
    <row r="1018">
      <c r="V1018" s="95"/>
      <c r="X1018" s="55"/>
      <c r="AF1018" s="98"/>
    </row>
    <row r="1019">
      <c r="V1019" s="95"/>
      <c r="X1019" s="55"/>
      <c r="AF1019" s="98"/>
    </row>
    <row r="1020">
      <c r="V1020" s="95"/>
      <c r="X1020" s="55"/>
      <c r="AF1020" s="98"/>
    </row>
    <row r="1021">
      <c r="V1021" s="95"/>
      <c r="X1021" s="55"/>
      <c r="AF1021" s="98"/>
    </row>
    <row r="1022">
      <c r="V1022" s="95"/>
      <c r="X1022" s="55"/>
      <c r="AF1022" s="98"/>
    </row>
    <row r="1023">
      <c r="V1023" s="95"/>
      <c r="X1023" s="55"/>
      <c r="AF1023" s="98"/>
    </row>
    <row r="1024">
      <c r="V1024" s="95"/>
      <c r="X1024" s="55"/>
      <c r="AF1024" s="98"/>
    </row>
    <row r="1025">
      <c r="V1025" s="95"/>
      <c r="X1025" s="55"/>
      <c r="AF1025" s="98"/>
    </row>
    <row r="1026">
      <c r="V1026" s="95"/>
      <c r="X1026" s="55"/>
      <c r="AF1026" s="98"/>
    </row>
    <row r="1027">
      <c r="V1027" s="95"/>
      <c r="X1027" s="55"/>
      <c r="AF1027" s="98"/>
    </row>
    <row r="1028">
      <c r="V1028" s="95"/>
      <c r="X1028" s="55"/>
      <c r="AF1028" s="98"/>
    </row>
    <row r="1029">
      <c r="V1029" s="95"/>
      <c r="X1029" s="55"/>
      <c r="AF1029" s="98"/>
    </row>
    <row r="1030">
      <c r="V1030" s="95"/>
      <c r="X1030" s="55"/>
      <c r="AF1030" s="98"/>
    </row>
    <row r="1031">
      <c r="V1031" s="95"/>
      <c r="X1031" s="55"/>
      <c r="AF1031" s="98"/>
    </row>
    <row r="1032">
      <c r="V1032" s="95"/>
      <c r="X1032" s="55"/>
      <c r="AF1032" s="98"/>
    </row>
    <row r="1033">
      <c r="V1033" s="95"/>
      <c r="X1033" s="55"/>
      <c r="AF1033" s="98"/>
    </row>
    <row r="1034">
      <c r="V1034" s="95"/>
      <c r="X1034" s="55"/>
      <c r="AF1034" s="98"/>
    </row>
    <row r="1035">
      <c r="V1035" s="95"/>
      <c r="X1035" s="55"/>
      <c r="AF1035" s="98"/>
    </row>
    <row r="1036">
      <c r="V1036" s="95"/>
      <c r="X1036" s="55"/>
      <c r="AF1036" s="98"/>
    </row>
    <row r="1037">
      <c r="V1037" s="95"/>
      <c r="X1037" s="55"/>
      <c r="AF1037" s="98"/>
    </row>
    <row r="1038">
      <c r="V1038" s="95"/>
      <c r="X1038" s="55"/>
      <c r="AF1038" s="98"/>
    </row>
    <row r="1039">
      <c r="V1039" s="95"/>
      <c r="X1039" s="55"/>
      <c r="AF1039" s="98"/>
    </row>
    <row r="1040">
      <c r="V1040" s="95"/>
      <c r="X1040" s="55"/>
      <c r="AF1040" s="98"/>
    </row>
    <row r="1041">
      <c r="V1041" s="95"/>
      <c r="X1041" s="55"/>
      <c r="AF1041" s="98"/>
    </row>
    <row r="1042">
      <c r="V1042" s="95"/>
      <c r="X1042" s="55"/>
      <c r="AF1042" s="98"/>
    </row>
    <row r="1043">
      <c r="V1043" s="95"/>
      <c r="X1043" s="55"/>
      <c r="AF1043" s="98"/>
    </row>
    <row r="1044">
      <c r="V1044" s="95"/>
      <c r="X1044" s="55"/>
      <c r="AF1044" s="98"/>
    </row>
    <row r="1045">
      <c r="V1045" s="95"/>
      <c r="X1045" s="55"/>
      <c r="AF1045" s="98"/>
    </row>
    <row r="1046">
      <c r="V1046" s="95"/>
      <c r="X1046" s="55"/>
      <c r="AF1046" s="98"/>
    </row>
    <row r="1047">
      <c r="V1047" s="95"/>
      <c r="X1047" s="55"/>
      <c r="AF1047" s="98"/>
    </row>
    <row r="1048">
      <c r="V1048" s="95"/>
      <c r="X1048" s="55"/>
      <c r="AF1048" s="98"/>
    </row>
    <row r="1049">
      <c r="V1049" s="95"/>
      <c r="X1049" s="55"/>
      <c r="AF1049" s="98"/>
    </row>
    <row r="1050">
      <c r="V1050" s="95"/>
      <c r="X1050" s="55"/>
      <c r="AF1050" s="98"/>
    </row>
  </sheetData>
  <autoFilter ref="$A$14:$AH$88">
    <sortState ref="A14:AH88">
      <sortCondition descending="1" ref="Q14:Q88"/>
      <sortCondition descending="1" ref="AF14:AF88"/>
      <sortCondition descending="1" ref="J14:J88"/>
      <sortCondition descending="1" ref="I14:I88"/>
      <sortCondition descending="1" ref="H14:H88"/>
      <sortCondition descending="1" ref="G14:G88"/>
      <sortCondition ref="P14:P88"/>
      <sortCondition ref="O14:O88"/>
      <sortCondition ref="N14:N88"/>
      <sortCondition ref="M14:M88"/>
      <sortCondition ref="L14:L88"/>
      <sortCondition descending="1" ref="K14:K88"/>
      <sortCondition descending="1" ref="AH14:AH88"/>
      <sortCondition descending="1" ref="AE14:AE88"/>
      <sortCondition descending="1" ref="V14:V88"/>
      <sortCondition descending="1" ref="D14:D88"/>
      <sortCondition descending="1" ref="AG14:AG88"/>
      <sortCondition descending="1" ref="AB14:AB88"/>
      <sortCondition descending="1" ref="S14:S88"/>
      <sortCondition descending="1" ref="AA14:AA88"/>
      <sortCondition descending="1" ref="AC14:AC88"/>
      <sortCondition descending="1" ref="Y14:Y88"/>
      <sortCondition descending="1" ref="T14:T88"/>
      <sortCondition descending="1" ref="R14:R88"/>
    </sortState>
  </autoFilter>
  <conditionalFormatting sqref="Q14:Q88">
    <cfRule type="cellIs" dxfId="0" priority="1" operator="greaterThan">
      <formula>0</formula>
    </cfRule>
  </conditionalFormatting>
  <conditionalFormatting sqref="Q15:Q88">
    <cfRule type="cellIs" dxfId="1" priority="2" operator="lessThan">
      <formula>0</formula>
    </cfRule>
  </conditionalFormatting>
  <conditionalFormatting sqref="Q15:Q88">
    <cfRule type="cellIs" dxfId="2" priority="3" operator="equal">
      <formula>0</formula>
    </cfRule>
  </conditionalFormatting>
  <hyperlinks>
    <hyperlink r:id="rId1" location="cite_note-2" ref="A4"/>
    <hyperlink r:id="rId2" ref="B7"/>
  </hyperlinks>
  <printOptions gridLines="1" horizontalCentered="1"/>
  <pageMargins bottom="0.75" footer="0.0" header="0.0" left="0.7" right="0.7" top="0.75"/>
  <pageSetup fitToHeight="0" cellComments="atEnd" orientation="landscape" pageOrder="overThenDown"/>
  <drawing r:id="rId3"/>
</worksheet>
</file>