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PSU\Financial Statement Analysis\"/>
    </mc:Choice>
  </mc:AlternateContent>
  <xr:revisionPtr revIDLastSave="0" documentId="13_ncr:1_{814F22AA-3F3C-426B-8971-4BF8DFD980AB}" xr6:coauthVersionLast="47" xr6:coauthVersionMax="47" xr10:uidLastSave="{00000000-0000-0000-0000-000000000000}"/>
  <bookViews>
    <workbookView xWindow="-120" yWindow="330" windowWidth="20730" windowHeight="11310" xr2:uid="{A7DE263D-DDC2-4B43-A8B6-2FD31CB2A9A4}"/>
  </bookViews>
  <sheets>
    <sheet name="KO" sheetId="1" r:id="rId1"/>
    <sheet name="P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L40" i="1"/>
  <c r="L48" i="1"/>
  <c r="L49" i="1"/>
  <c r="L47" i="1"/>
  <c r="L46" i="1"/>
  <c r="L45" i="1"/>
  <c r="L44" i="1"/>
  <c r="L43" i="1"/>
  <c r="I48" i="1"/>
  <c r="I49" i="1"/>
  <c r="I47" i="1"/>
  <c r="I46" i="1"/>
  <c r="I45" i="1"/>
  <c r="I44" i="1"/>
  <c r="I43" i="1"/>
  <c r="I42" i="1"/>
  <c r="I40" i="1"/>
  <c r="F48" i="1"/>
  <c r="F49" i="1"/>
  <c r="F47" i="1"/>
  <c r="F46" i="1"/>
  <c r="F45" i="1"/>
  <c r="F44" i="1"/>
  <c r="F43" i="1"/>
  <c r="F42" i="1"/>
  <c r="F40" i="1"/>
  <c r="F21" i="1"/>
  <c r="I21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S47" i="2"/>
  <c r="S46" i="2"/>
  <c r="S45" i="2"/>
  <c r="S44" i="2"/>
  <c r="S43" i="2"/>
  <c r="S42" i="2"/>
  <c r="S41" i="2"/>
  <c r="S40" i="2"/>
  <c r="S38" i="2"/>
  <c r="G41" i="2"/>
  <c r="G40" i="2"/>
  <c r="G38" i="2"/>
  <c r="G42" i="2"/>
  <c r="G43" i="2"/>
  <c r="G44" i="2"/>
  <c r="G45" i="2"/>
  <c r="G46" i="2"/>
  <c r="M47" i="2"/>
  <c r="M46" i="2"/>
  <c r="M45" i="2"/>
  <c r="M44" i="2"/>
  <c r="M43" i="2"/>
  <c r="M42" i="2"/>
  <c r="M41" i="2"/>
  <c r="M40" i="2"/>
  <c r="M38" i="2"/>
  <c r="S8" i="2"/>
  <c r="S9" i="2"/>
  <c r="S10" i="2"/>
  <c r="S11" i="2"/>
  <c r="S13" i="2"/>
  <c r="S14" i="2"/>
  <c r="S15" i="2"/>
  <c r="S16" i="2"/>
  <c r="S17" i="2"/>
  <c r="S18" i="2"/>
  <c r="S19" i="2"/>
  <c r="S20" i="2"/>
  <c r="M20" i="2"/>
  <c r="M19" i="2"/>
  <c r="M18" i="2"/>
  <c r="M17" i="2"/>
  <c r="M16" i="2"/>
  <c r="M15" i="2"/>
  <c r="M14" i="2"/>
  <c r="M13" i="2"/>
  <c r="M11" i="2"/>
  <c r="M10" i="2"/>
  <c r="M9" i="2"/>
  <c r="M8" i="2"/>
  <c r="G47" i="2"/>
  <c r="G19" i="2"/>
  <c r="G15" i="2"/>
  <c r="G8" i="2"/>
  <c r="G13" i="2"/>
  <c r="G20" i="2"/>
  <c r="G18" i="2"/>
  <c r="G17" i="2"/>
  <c r="G16" i="2"/>
  <c r="G14" i="2"/>
  <c r="G11" i="2"/>
  <c r="G10" i="2"/>
  <c r="G9" i="2"/>
</calcChain>
</file>

<file path=xl/sharedStrings.xml><?xml version="1.0" encoding="utf-8"?>
<sst xmlns="http://schemas.openxmlformats.org/spreadsheetml/2006/main" count="191" uniqueCount="138">
  <si>
    <t>THE COCA-COLA COMPANY AND SUBSIDIARIES</t>
  </si>
  <si>
    <t>CONSOLIDATED STATEMENTS OF INCOME</t>
  </si>
  <si>
    <t>(In millions except per share data)</t>
  </si>
  <si>
    <t>Year Ended December 31,</t>
  </si>
  <si>
    <t>Net Operating Revenues</t>
  </si>
  <si>
    <t>$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</si>
  <si>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</si>
  <si>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</si>
  <si>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</si>
  <si>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</si>
  <si>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</si>
  <si>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</si>
  <si>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</si>
  <si>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 — net</t>
  </si>
  <si>
    <t>Other income (loss) — net</t>
  </si>
  <si>
    <t>Income Before Income Taxes</t>
  </si>
  <si>
    <t>Income taxes</t>
  </si>
  <si>
    <t>Consolidated Net Income</t>
  </si>
  <si>
    <t>Less: Net income (loss) attributable to noncontrolling interests</t>
  </si>
  <si>
    <t>Net Income Attributable to Shareowners of The Coca-Cola Company</t>
  </si>
  <si>
    <r>
      <t>Basic Net Income Per Share</t>
    </r>
    <r>
      <rPr>
        <b/>
        <sz val="5.85"/>
        <color rgb="FF000000"/>
        <rFont val="Times New Roman"/>
        <family val="1"/>
      </rPr>
      <t>1</t>
    </r>
  </si>
  <si>
    <t>1.80 </t>
  </si>
  <si>
    <r>
      <t>Diluted Net Income Per Share</t>
    </r>
    <r>
      <rPr>
        <b/>
        <sz val="5.85"/>
        <color rgb="FF000000"/>
        <rFont val="Times New Roman"/>
        <family val="1"/>
      </rPr>
      <t>1</t>
    </r>
  </si>
  <si>
    <t>1.79 </t>
  </si>
  <si>
    <t>Average Shares Outstanding — Basic</t>
  </si>
  <si>
    <t>4,295 </t>
  </si>
  <si>
    <t>Effect of dilutive securities</t>
  </si>
  <si>
    <t>28 </t>
  </si>
  <si>
    <t>Average Shares Outstanding — Diluted</t>
  </si>
  <si>
    <t>4,323 </t>
  </si>
  <si>
    <r>
      <t>1 </t>
    </r>
    <r>
      <rPr>
        <sz val="9"/>
        <color rgb="FF000000"/>
        <rFont val="Times New Roman"/>
        <family val="1"/>
      </rPr>
      <t>Calculated based on net income attributable to shareowners of The Coca-Cola Company.</t>
    </r>
  </si>
  <si>
    <t>Refer to Notes to Consolidated Financial Statements.</t>
  </si>
  <si>
    <t>CONSOLIDATED STATEMENTS OF COMPREHENSIVE INCOME</t>
  </si>
  <si>
    <t>(In millions)</t>
  </si>
  <si>
    <t>Other Comprehensive Income:</t>
  </si>
  <si>
    <t>Net foreign currency translation adjustments</t>
  </si>
  <si>
    <t>Net gains (losses) on derivatives</t>
  </si>
  <si>
    <t>Net change in unrealized gains (losses) on available-for-sale debt securities</t>
  </si>
  <si>
    <t>Net change in pension and other postretirement benefit liabilities</t>
  </si>
  <si>
    <t>Total Comprehensive Income</t>
  </si>
  <si>
    <t>Less: Comprehensive income (loss) attributable to noncontrolling interests</t>
  </si>
  <si>
    <t>Total Comprehensive Income Attributable to Shareowners of</t>
  </si>
  <si>
    <t>  The Coca-Cola Company</t>
  </si>
  <si>
    <t>Consolidated Statement of Income</t>
  </si>
  <si>
    <t>PepsiCo, Inc. and Subsidiaries</t>
  </si>
  <si>
    <t>Fiscal years ended December 25, 2021, December 26, 2020 and December 28, 2019</t>
  </si>
  <si>
    <t>(in millions except per share amounts)</t>
  </si>
  <si>
    <t>Net Revenue</t>
  </si>
  <si>
    <r>
      <t>79,474</t>
    </r>
    <r>
      <rPr>
        <sz val="12"/>
        <color rgb="FF000000"/>
        <rFont val="Times New Roman"/>
        <family val="1"/>
      </rPr>
      <t> </t>
    </r>
  </si>
  <si>
    <t>70,372 </t>
  </si>
  <si>
    <t>67,161 </t>
  </si>
  <si>
    <t>Cost of sales</t>
  </si>
  <si>
    <r>
      <t>37,075</t>
    </r>
    <r>
      <rPr>
        <sz val="12"/>
        <color rgb="FF000000"/>
        <rFont val="Times New Roman"/>
        <family val="1"/>
      </rPr>
      <t> </t>
    </r>
  </si>
  <si>
    <t>31,797 </t>
  </si>
  <si>
    <t>30,132 </t>
  </si>
  <si>
    <t>Gross profit</t>
  </si>
  <si>
    <r>
      <t>42,399</t>
    </r>
    <r>
      <rPr>
        <sz val="12"/>
        <color rgb="FF000000"/>
        <rFont val="Times New Roman"/>
        <family val="1"/>
      </rPr>
      <t> </t>
    </r>
  </si>
  <si>
    <t>38,575 </t>
  </si>
  <si>
    <t>37,029 </t>
  </si>
  <si>
    <r>
      <t>31,237</t>
    </r>
    <r>
      <rPr>
        <sz val="12"/>
        <color rgb="FF000000"/>
        <rFont val="Times New Roman"/>
        <family val="1"/>
      </rPr>
      <t> </t>
    </r>
  </si>
  <si>
    <t>28,495 </t>
  </si>
  <si>
    <t>26,738 </t>
  </si>
  <si>
    <t>Operating Profit</t>
  </si>
  <si>
    <r>
      <t>11,162</t>
    </r>
    <r>
      <rPr>
        <sz val="12"/>
        <color rgb="FF000000"/>
        <rFont val="Times New Roman"/>
        <family val="1"/>
      </rPr>
      <t> </t>
    </r>
  </si>
  <si>
    <t>10,080 </t>
  </si>
  <si>
    <t>10,291 </t>
  </si>
  <si>
    <t>Other pension and retiree medical benefits income/(expense)</t>
  </si>
  <si>
    <r>
      <t>522</t>
    </r>
    <r>
      <rPr>
        <sz val="12"/>
        <color rgb="FF000000"/>
        <rFont val="Times New Roman"/>
        <family val="1"/>
      </rPr>
      <t> </t>
    </r>
  </si>
  <si>
    <t>117 </t>
  </si>
  <si>
    <t>Net interest expense and other</t>
  </si>
  <si>
    <t>Income before income taxes</t>
  </si>
  <si>
    <r>
      <t>9,821</t>
    </r>
    <r>
      <rPr>
        <sz val="12"/>
        <color rgb="FF000000"/>
        <rFont val="Times New Roman"/>
        <family val="1"/>
      </rPr>
      <t> </t>
    </r>
  </si>
  <si>
    <t>9,069 </t>
  </si>
  <si>
    <t>9,312 </t>
  </si>
  <si>
    <t>Provision for income taxes</t>
  </si>
  <si>
    <r>
      <t>2,142</t>
    </r>
    <r>
      <rPr>
        <sz val="12"/>
        <color rgb="FF000000"/>
        <rFont val="Times New Roman"/>
        <family val="1"/>
      </rPr>
      <t> </t>
    </r>
  </si>
  <si>
    <t>1,894 </t>
  </si>
  <si>
    <t>1,959 </t>
  </si>
  <si>
    <t>Net income</t>
  </si>
  <si>
    <r>
      <t>7,679</t>
    </r>
    <r>
      <rPr>
        <sz val="12"/>
        <color rgb="FF000000"/>
        <rFont val="Times New Roman"/>
        <family val="1"/>
      </rPr>
      <t> </t>
    </r>
  </si>
  <si>
    <t>7,175 </t>
  </si>
  <si>
    <t>7,353 </t>
  </si>
  <si>
    <t>Less: Net income attributable to noncontrolling interests</t>
  </si>
  <si>
    <r>
      <t>61</t>
    </r>
    <r>
      <rPr>
        <sz val="12"/>
        <color rgb="FF000000"/>
        <rFont val="Times New Roman"/>
        <family val="1"/>
      </rPr>
      <t> </t>
    </r>
  </si>
  <si>
    <t>55 </t>
  </si>
  <si>
    <t>39 </t>
  </si>
  <si>
    <t>Net Income Attributable to PepsiCo</t>
  </si>
  <si>
    <r>
      <t>7,618</t>
    </r>
    <r>
      <rPr>
        <sz val="12"/>
        <color rgb="FF000000"/>
        <rFont val="Times New Roman"/>
        <family val="1"/>
      </rPr>
      <t> </t>
    </r>
  </si>
  <si>
    <t>7,120 </t>
  </si>
  <si>
    <t>7,314 </t>
  </si>
  <si>
    <t>Net Income Attributable to PepsiCo per Common Share</t>
  </si>
  <si>
    <t>Basic</t>
  </si>
  <si>
    <r>
      <t>5.51</t>
    </r>
    <r>
      <rPr>
        <sz val="12"/>
        <color rgb="FF000000"/>
        <rFont val="Times New Roman"/>
        <family val="1"/>
      </rPr>
      <t> </t>
    </r>
  </si>
  <si>
    <t>5.14 </t>
  </si>
  <si>
    <t>5.23 </t>
  </si>
  <si>
    <t>Diluted</t>
  </si>
  <si>
    <r>
      <t>5.49</t>
    </r>
    <r>
      <rPr>
        <sz val="12"/>
        <color rgb="FF000000"/>
        <rFont val="Times New Roman"/>
        <family val="1"/>
      </rPr>
      <t> </t>
    </r>
  </si>
  <si>
    <t>5.12 </t>
  </si>
  <si>
    <t>5.20 </t>
  </si>
  <si>
    <t>Weighted-average common shares outstanding</t>
  </si>
  <si>
    <r>
      <t>1,382</t>
    </r>
    <r>
      <rPr>
        <sz val="12"/>
        <color rgb="FF000000"/>
        <rFont val="Times New Roman"/>
        <family val="1"/>
      </rPr>
      <t> </t>
    </r>
  </si>
  <si>
    <t>1,385 </t>
  </si>
  <si>
    <t>1,399 </t>
  </si>
  <si>
    <r>
      <t>1,389</t>
    </r>
    <r>
      <rPr>
        <sz val="12"/>
        <color rgb="FF000000"/>
        <rFont val="Times New Roman"/>
        <family val="1"/>
      </rPr>
      <t> </t>
    </r>
  </si>
  <si>
    <t>1,392 </t>
  </si>
  <si>
    <t>1,407 </t>
  </si>
  <si>
    <t>See accompanying notes to the consolidated financial statements.</t>
  </si>
  <si>
    <t>Consolidated Statement of Comprehensive Income</t>
  </si>
  <si>
    <t>(in millions)</t>
  </si>
  <si>
    <t>Other comprehensive income/(loss), net of taxes:</t>
  </si>
  <si>
    <t>Net currency translation adjustment</t>
  </si>
  <si>
    <t>628 </t>
  </si>
  <si>
    <t>Net change on cash flow hedges</t>
  </si>
  <si>
    <r>
      <t>155</t>
    </r>
    <r>
      <rPr>
        <sz val="12"/>
        <color rgb="FF000000"/>
        <rFont val="Times New Roman"/>
        <family val="1"/>
      </rPr>
      <t> </t>
    </r>
  </si>
  <si>
    <t>7 </t>
  </si>
  <si>
    <t>Net pension and retiree medical adjustments</t>
  </si>
  <si>
    <r>
      <t>770</t>
    </r>
    <r>
      <rPr>
        <sz val="12"/>
        <color rgb="FF000000"/>
        <rFont val="Times New Roman"/>
        <family val="1"/>
      </rPr>
      <t> </t>
    </r>
  </si>
  <si>
    <t>283 </t>
  </si>
  <si>
    <t>Other</t>
  </si>
  <si>
    <r>
      <t>22</t>
    </r>
    <r>
      <rPr>
        <sz val="12"/>
        <color rgb="FF000000"/>
        <rFont val="Times New Roman"/>
        <family val="1"/>
      </rPr>
      <t> </t>
    </r>
  </si>
  <si>
    <r>
      <t>578</t>
    </r>
    <r>
      <rPr>
        <sz val="12"/>
        <color rgb="FF000000"/>
        <rFont val="Times New Roman"/>
        <family val="1"/>
      </rPr>
      <t> </t>
    </r>
  </si>
  <si>
    <t>819 </t>
  </si>
  <si>
    <t>Comprehensive income</t>
  </si>
  <si>
    <r>
      <t>8,257</t>
    </r>
    <r>
      <rPr>
        <sz val="12"/>
        <color rgb="FF000000"/>
        <rFont val="Times New Roman"/>
        <family val="1"/>
      </rPr>
      <t> </t>
    </r>
  </si>
  <si>
    <t>5,999 </t>
  </si>
  <si>
    <t>8,172 </t>
  </si>
  <si>
    <t>Less: Comprehensive income attributable to noncontrolling interests</t>
  </si>
  <si>
    <t>Comprehensive Income Attributable to PepsiCo</t>
  </si>
  <si>
    <r>
      <t>8,196</t>
    </r>
    <r>
      <rPr>
        <sz val="12"/>
        <color rgb="FF000000"/>
        <rFont val="Times New Roman"/>
        <family val="1"/>
      </rPr>
      <t> </t>
    </r>
  </si>
  <si>
    <t>5,944 </t>
  </si>
  <si>
    <t>8,133 </t>
  </si>
  <si>
    <t>2021 % of Net Revenues</t>
  </si>
  <si>
    <t>2020 % of Net Revenues</t>
  </si>
  <si>
    <t>2019  % of Net Revenues</t>
  </si>
  <si>
    <t>2021 % of Net Revenue</t>
  </si>
  <si>
    <t>2020 % of Net Revenue</t>
  </si>
  <si>
    <t>2019  % of Net Revenue</t>
  </si>
  <si>
    <t>2019 % of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</si>
</sst>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5.85"/>
      <color rgb="FF000000"/>
      <name val="Times New Roman"/>
      <family val="1"/>
    </font>
    <font>
      <sz val="5.85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7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3" borderId="0" xfId="0" applyFont="1" applyFill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6" fillId="3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wrapText="1" indent="1"/>
    </xf>
    <xf numFmtId="0" fontId="5" fillId="3" borderId="0" xfId="0" applyFont="1" applyFill="1" applyAlignment="1">
      <alignment horizontal="left" wrapText="1" indent="1"/>
    </xf>
    <xf numFmtId="0" fontId="5" fillId="3" borderId="4" xfId="0" applyFont="1" applyFill="1" applyBorder="1" applyAlignment="1">
      <alignment horizontal="left" wrapText="1" indent="1"/>
    </xf>
    <xf numFmtId="0" fontId="4" fillId="2" borderId="6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right" wrapText="1"/>
    </xf>
    <xf numFmtId="0" fontId="12" fillId="3" borderId="0" xfId="0" applyFont="1" applyFill="1" applyAlignment="1">
      <alignment horizontal="right" wrapText="1"/>
    </xf>
    <xf numFmtId="0" fontId="13" fillId="3" borderId="0" xfId="0" applyFont="1" applyFill="1" applyAlignment="1">
      <alignment horizontal="right" wrapText="1"/>
    </xf>
    <xf numFmtId="0" fontId="12" fillId="2" borderId="0" xfId="0" applyFont="1" applyFill="1" applyAlignment="1">
      <alignment horizontal="right" wrapText="1"/>
    </xf>
    <xf numFmtId="0" fontId="13" fillId="2" borderId="0" xfId="0" applyFont="1" applyFill="1" applyAlignment="1">
      <alignment horizontal="right" wrapText="1"/>
    </xf>
    <xf numFmtId="0" fontId="12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horizontal="right" wrapText="1"/>
    </xf>
    <xf numFmtId="0" fontId="12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6" fillId="0" borderId="0" xfId="0" applyFont="1" applyAlignment="1">
      <alignment vertical="center" wrapText="1"/>
    </xf>
    <xf numFmtId="0" fontId="12" fillId="0" borderId="4" xfId="0" applyFont="1" applyBorder="1" applyAlignment="1">
      <alignment horizontal="right" wrapText="1"/>
    </xf>
    <xf numFmtId="0" fontId="13" fillId="0" borderId="4" xfId="0" applyFont="1" applyBorder="1" applyAlignment="1">
      <alignment horizontal="right" wrapText="1"/>
    </xf>
    <xf numFmtId="0" fontId="1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 wrapText="1"/>
    </xf>
    <xf numFmtId="0" fontId="13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right" wrapText="1"/>
    </xf>
    <xf numFmtId="0" fontId="12" fillId="3" borderId="4" xfId="0" applyFont="1" applyFill="1" applyBorder="1" applyAlignment="1">
      <alignment horizontal="right" wrapText="1"/>
    </xf>
    <xf numFmtId="0" fontId="13" fillId="3" borderId="0" xfId="0" applyFont="1" applyFill="1" applyAlignment="1">
      <alignment horizontal="right" wrapText="1"/>
    </xf>
    <xf numFmtId="0" fontId="13" fillId="3" borderId="4" xfId="0" applyFont="1" applyFill="1" applyBorder="1" applyAlignment="1">
      <alignment horizontal="right" wrapText="1"/>
    </xf>
    <xf numFmtId="0" fontId="13" fillId="2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horizontal="right" wrapText="1"/>
    </xf>
    <xf numFmtId="0" fontId="12" fillId="2" borderId="2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right" wrapText="1"/>
    </xf>
    <xf numFmtId="0" fontId="13" fillId="3" borderId="0" xfId="0" applyFont="1" applyFill="1" applyAlignment="1">
      <alignment horizontal="left" vertical="top" wrapText="1" indent="1"/>
    </xf>
    <xf numFmtId="3" fontId="12" fillId="2" borderId="4" xfId="0" applyNumberFormat="1" applyFont="1" applyFill="1" applyBorder="1" applyAlignment="1">
      <alignment horizontal="right" wrapText="1"/>
    </xf>
    <xf numFmtId="3" fontId="13" fillId="2" borderId="4" xfId="0" applyNumberFormat="1" applyFont="1" applyFill="1" applyBorder="1" applyAlignment="1">
      <alignment horizontal="right" wrapText="1"/>
    </xf>
    <xf numFmtId="0" fontId="13" fillId="2" borderId="0" xfId="0" applyFont="1" applyFill="1" applyAlignment="1">
      <alignment horizontal="right" wrapText="1"/>
    </xf>
    <xf numFmtId="0" fontId="13" fillId="2" borderId="4" xfId="0" applyFont="1" applyFill="1" applyBorder="1" applyAlignment="1">
      <alignment horizontal="right" wrapText="1"/>
    </xf>
    <xf numFmtId="0" fontId="12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horizontal="right" wrapText="1"/>
    </xf>
    <xf numFmtId="0" fontId="12" fillId="2" borderId="0" xfId="0" applyFont="1" applyFill="1" applyAlignment="1">
      <alignment horizontal="right" wrapText="1"/>
    </xf>
    <xf numFmtId="0" fontId="12" fillId="2" borderId="4" xfId="0" applyFont="1" applyFill="1" applyBorder="1" applyAlignment="1">
      <alignment horizontal="right" wrapText="1"/>
    </xf>
    <xf numFmtId="0" fontId="12" fillId="3" borderId="0" xfId="0" applyFont="1" applyFill="1" applyAlignment="1">
      <alignment horizontal="left" vertical="top" wrapText="1"/>
    </xf>
    <xf numFmtId="0" fontId="6" fillId="2" borderId="7" xfId="0" applyFont="1" applyFill="1" applyBorder="1" applyAlignment="1">
      <alignment vertical="center" wrapText="1"/>
    </xf>
    <xf numFmtId="0" fontId="12" fillId="3" borderId="0" xfId="0" applyFont="1" applyFill="1" applyAlignment="1">
      <alignment horizontal="left" vertical="top" wrapText="1" indent="2"/>
    </xf>
    <xf numFmtId="0" fontId="12" fillId="2" borderId="0" xfId="0" applyFont="1" applyFill="1" applyAlignment="1">
      <alignment horizontal="left" vertical="top" wrapText="1" indent="2"/>
    </xf>
    <xf numFmtId="0" fontId="13" fillId="2" borderId="0" xfId="0" applyFont="1" applyFill="1" applyAlignment="1">
      <alignment horizontal="left" vertical="top" wrapText="1" indent="2"/>
    </xf>
    <xf numFmtId="0" fontId="13" fillId="3" borderId="0" xfId="0" applyFont="1" applyFill="1" applyAlignment="1">
      <alignment horizontal="left" vertical="top" wrapText="1" indent="2"/>
    </xf>
    <xf numFmtId="0" fontId="6" fillId="0" borderId="6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3" borderId="8" xfId="0" applyFont="1" applyFill="1" applyBorder="1" applyAlignment="1">
      <alignment horizontal="left" wrapText="1"/>
    </xf>
    <xf numFmtId="0" fontId="12" fillId="3" borderId="8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0" fontId="13" fillId="3" borderId="8" xfId="0" applyFont="1" applyFill="1" applyBorder="1" applyAlignment="1">
      <alignment horizontal="left" wrapText="1"/>
    </xf>
    <xf numFmtId="0" fontId="13" fillId="3" borderId="8" xfId="0" applyFont="1" applyFill="1" applyBorder="1" applyAlignment="1">
      <alignment horizontal="right" wrapText="1"/>
    </xf>
    <xf numFmtId="0" fontId="0" fillId="0" borderId="0" xfId="0" applyAlignment="1">
      <alignment vertical="center" wrapText="1"/>
    </xf>
    <xf numFmtId="0" fontId="13" fillId="2" borderId="0" xfId="0" applyFont="1" applyFill="1" applyAlignment="1">
      <alignment horizontal="left" wrapText="1"/>
    </xf>
    <xf numFmtId="0" fontId="0" fillId="2" borderId="0" xfId="0" applyFill="1" applyAlignment="1">
      <alignment vertical="center" wrapText="1"/>
    </xf>
    <xf numFmtId="0" fontId="13" fillId="3" borderId="0" xfId="0" applyFont="1" applyFill="1" applyAlignment="1">
      <alignment horizontal="left" wrapText="1"/>
    </xf>
    <xf numFmtId="0" fontId="0" fillId="3" borderId="0" xfId="0" applyFill="1" applyAlignment="1">
      <alignment vertical="center" wrapText="1"/>
    </xf>
    <xf numFmtId="0" fontId="13" fillId="2" borderId="0" xfId="0" applyFont="1" applyFill="1" applyAlignment="1">
      <alignment horizontal="left" wrapText="1" indent="1"/>
    </xf>
    <xf numFmtId="0" fontId="13" fillId="3" borderId="0" xfId="0" applyFont="1" applyFill="1" applyAlignment="1">
      <alignment horizontal="left" wrapText="1" indent="1"/>
    </xf>
    <xf numFmtId="0" fontId="12" fillId="2" borderId="9" xfId="0" applyFont="1" applyFill="1" applyBorder="1" applyAlignment="1">
      <alignment horizontal="right" wrapText="1"/>
    </xf>
    <xf numFmtId="3" fontId="13" fillId="2" borderId="9" xfId="0" applyNumberFormat="1" applyFont="1" applyFill="1" applyBorder="1" applyAlignment="1">
      <alignment horizontal="right" wrapText="1"/>
    </xf>
    <xf numFmtId="0" fontId="13" fillId="2" borderId="9" xfId="0" applyFont="1" applyFill="1" applyBorder="1" applyAlignment="1">
      <alignment horizontal="right" wrapText="1"/>
    </xf>
    <xf numFmtId="0" fontId="12" fillId="3" borderId="0" xfId="0" applyFont="1" applyFill="1" applyAlignment="1">
      <alignment horizontal="left" wrapText="1"/>
    </xf>
    <xf numFmtId="0" fontId="12" fillId="0" borderId="0" xfId="0" applyFont="1" applyAlignment="1">
      <alignment horizontal="center" vertical="center"/>
    </xf>
    <xf numFmtId="2" fontId="12" fillId="2" borderId="1" xfId="0" applyNumberFormat="1" applyFont="1" applyFill="1" applyBorder="1" applyAlignment="1">
      <alignment horizontal="right" wrapText="1"/>
    </xf>
    <xf numFmtId="9" fontId="12" fillId="2" borderId="1" xfId="2" applyFont="1" applyFill="1" applyBorder="1" applyAlignment="1">
      <alignment horizontal="center" wrapText="1"/>
    </xf>
    <xf numFmtId="9" fontId="6" fillId="3" borderId="0" xfId="2" applyFont="1" applyFill="1" applyAlignment="1">
      <alignment vertical="center" wrapText="1"/>
    </xf>
    <xf numFmtId="9" fontId="6" fillId="2" borderId="0" xfId="2" applyFont="1" applyFill="1" applyAlignment="1">
      <alignment vertical="center" wrapText="1"/>
    </xf>
    <xf numFmtId="9" fontId="14" fillId="2" borderId="0" xfId="2" applyFont="1" applyFill="1" applyAlignment="1">
      <alignment horizontal="center" vertical="center" wrapText="1"/>
    </xf>
    <xf numFmtId="9" fontId="3" fillId="3" borderId="0" xfId="2" applyFont="1" applyFill="1" applyAlignment="1">
      <alignment horizontal="center" vertical="center" wrapText="1"/>
    </xf>
    <xf numFmtId="9" fontId="0" fillId="0" borderId="0" xfId="2" applyFont="1"/>
    <xf numFmtId="0" fontId="14" fillId="3" borderId="0" xfId="0" applyFont="1" applyFill="1" applyAlignment="1">
      <alignment vertical="center" wrapText="1"/>
    </xf>
    <xf numFmtId="9" fontId="14" fillId="2" borderId="0" xfId="2" applyFont="1" applyFill="1" applyAlignment="1">
      <alignment vertical="center" wrapText="1"/>
    </xf>
    <xf numFmtId="9" fontId="14" fillId="3" borderId="0" xfId="2" applyFont="1" applyFill="1" applyAlignment="1">
      <alignment vertical="center" wrapText="1"/>
    </xf>
    <xf numFmtId="9" fontId="16" fillId="2" borderId="1" xfId="2" applyFont="1" applyFill="1" applyBorder="1" applyAlignment="1">
      <alignment vertical="center" wrapText="1"/>
    </xf>
    <xf numFmtId="0" fontId="16" fillId="3" borderId="0" xfId="0" applyFont="1" applyFill="1" applyAlignment="1">
      <alignment vertical="center" wrapText="1"/>
    </xf>
    <xf numFmtId="9" fontId="16" fillId="2" borderId="0" xfId="2" applyFont="1" applyFill="1" applyAlignment="1">
      <alignment vertical="center" wrapText="1"/>
    </xf>
    <xf numFmtId="9" fontId="16" fillId="3" borderId="0" xfId="2" applyFont="1" applyFill="1" applyAlignment="1">
      <alignment vertical="center" wrapText="1"/>
    </xf>
    <xf numFmtId="9" fontId="15" fillId="2" borderId="0" xfId="2" applyFont="1" applyFill="1" applyAlignment="1">
      <alignment vertical="center" wrapText="1"/>
    </xf>
    <xf numFmtId="9" fontId="15" fillId="3" borderId="0" xfId="2" applyFont="1" applyFill="1" applyAlignment="1">
      <alignment vertical="center" wrapText="1"/>
    </xf>
    <xf numFmtId="9" fontId="15" fillId="2" borderId="0" xfId="2" applyFont="1" applyFill="1" applyAlignment="1">
      <alignment horizontal="center" vertical="center" wrapText="1"/>
    </xf>
    <xf numFmtId="9" fontId="15" fillId="2" borderId="1" xfId="2" applyFont="1" applyFill="1" applyBorder="1" applyAlignment="1">
      <alignment horizontal="center" vertical="center" wrapText="1"/>
    </xf>
    <xf numFmtId="9" fontId="15" fillId="0" borderId="0" xfId="2" applyFont="1" applyFill="1" applyAlignment="1">
      <alignment horizontal="center" vertical="center" wrapText="1"/>
    </xf>
    <xf numFmtId="9" fontId="15" fillId="0" borderId="0" xfId="2" applyFont="1" applyAlignment="1">
      <alignment horizontal="center"/>
    </xf>
    <xf numFmtId="9" fontId="14" fillId="2" borderId="1" xfId="2" applyFont="1" applyFill="1" applyBorder="1" applyAlignment="1">
      <alignment horizontal="center" vertical="center" wrapText="1"/>
    </xf>
    <xf numFmtId="9" fontId="14" fillId="3" borderId="4" xfId="2" applyFont="1" applyFill="1" applyBorder="1" applyAlignment="1">
      <alignment horizontal="center" vertical="center" wrapText="1"/>
    </xf>
    <xf numFmtId="9" fontId="14" fillId="3" borderId="0" xfId="2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vertic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9" fontId="6" fillId="2" borderId="1" xfId="2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  <xf numFmtId="3" fontId="4" fillId="3" borderId="0" xfId="0" applyNumberFormat="1" applyFont="1" applyFill="1" applyAlignment="1">
      <alignment horizontal="right" wrapText="1"/>
    </xf>
    <xf numFmtId="3" fontId="4" fillId="2" borderId="4" xfId="0" applyNumberFormat="1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right" wrapText="1"/>
    </xf>
    <xf numFmtId="3" fontId="4" fillId="2" borderId="0" xfId="0" applyNumberFormat="1" applyFont="1" applyFill="1" applyAlignment="1">
      <alignment horizontal="right" wrapText="1"/>
    </xf>
    <xf numFmtId="3" fontId="4" fillId="3" borderId="2" xfId="0" applyNumberFormat="1" applyFont="1" applyFill="1" applyBorder="1" applyAlignment="1">
      <alignment horizontal="left" wrapText="1"/>
    </xf>
    <xf numFmtId="3" fontId="4" fillId="3" borderId="2" xfId="0" applyNumberFormat="1" applyFont="1" applyFill="1" applyBorder="1" applyAlignment="1">
      <alignment horizontal="right" wrapText="1"/>
    </xf>
    <xf numFmtId="3" fontId="4" fillId="2" borderId="2" xfId="0" applyNumberFormat="1" applyFont="1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right" wrapText="1"/>
    </xf>
    <xf numFmtId="3" fontId="4" fillId="3" borderId="2" xfId="0" applyNumberFormat="1" applyFont="1" applyFill="1" applyBorder="1" applyAlignment="1">
      <alignment horizontal="right" wrapText="1"/>
    </xf>
    <xf numFmtId="3" fontId="4" fillId="3" borderId="3" xfId="0" applyNumberFormat="1" applyFont="1" applyFill="1" applyBorder="1" applyAlignment="1">
      <alignment horizontal="right" wrapText="1"/>
    </xf>
    <xf numFmtId="9" fontId="6" fillId="3" borderId="0" xfId="2" applyFont="1" applyFill="1" applyAlignment="1">
      <alignment horizontal="right" wrapText="1"/>
    </xf>
    <xf numFmtId="9" fontId="6" fillId="2" borderId="0" xfId="2" applyFont="1" applyFill="1" applyAlignment="1">
      <alignment horizontal="right" wrapText="1"/>
    </xf>
    <xf numFmtId="9" fontId="6" fillId="3" borderId="1" xfId="2" applyFont="1" applyFill="1" applyBorder="1" applyAlignment="1">
      <alignment horizontal="right" wrapText="1"/>
    </xf>
    <xf numFmtId="9" fontId="14" fillId="2" borderId="1" xfId="2" applyFont="1" applyFill="1" applyBorder="1" applyAlignment="1">
      <alignment horizontal="right" wrapText="1"/>
    </xf>
    <xf numFmtId="9" fontId="14" fillId="3" borderId="0" xfId="2" applyFont="1" applyFill="1" applyAlignment="1">
      <alignment horizontal="right" wrapText="1"/>
    </xf>
    <xf numFmtId="9" fontId="14" fillId="2" borderId="0" xfId="2" applyFont="1" applyFill="1" applyAlignment="1">
      <alignment horizontal="right" wrapText="1"/>
    </xf>
    <xf numFmtId="9" fontId="17" fillId="2" borderId="1" xfId="2" applyFont="1" applyFill="1" applyBorder="1" applyAlignment="1">
      <alignment horizontal="right" wrapText="1"/>
    </xf>
    <xf numFmtId="9" fontId="17" fillId="3" borderId="0" xfId="2" applyFont="1" applyFill="1" applyAlignment="1">
      <alignment horizontal="right" wrapText="1"/>
    </xf>
    <xf numFmtId="9" fontId="17" fillId="2" borderId="0" xfId="2" applyFont="1" applyFill="1" applyAlignment="1">
      <alignment horizontal="right" wrapText="1"/>
    </xf>
    <xf numFmtId="9" fontId="17" fillId="3" borderId="1" xfId="2" applyFont="1" applyFill="1" applyBorder="1" applyAlignment="1">
      <alignment horizontal="right" wrapText="1"/>
    </xf>
    <xf numFmtId="174" fontId="5" fillId="2" borderId="1" xfId="1" applyNumberFormat="1" applyFont="1" applyFill="1" applyBorder="1" applyAlignment="1">
      <alignment horizontal="left" wrapText="1"/>
    </xf>
    <xf numFmtId="174" fontId="5" fillId="2" borderId="1" xfId="1" applyNumberFormat="1" applyFont="1" applyFill="1" applyBorder="1" applyAlignment="1">
      <alignment horizontal="right" wrapText="1"/>
    </xf>
    <xf numFmtId="174" fontId="5" fillId="3" borderId="4" xfId="1" applyNumberFormat="1" applyFont="1" applyFill="1" applyBorder="1" applyAlignment="1">
      <alignment horizontal="right" wrapText="1"/>
    </xf>
    <xf numFmtId="174" fontId="5" fillId="2" borderId="1" xfId="1" applyNumberFormat="1" applyFont="1" applyFill="1" applyBorder="1" applyAlignment="1">
      <alignment horizontal="right" wrapText="1"/>
    </xf>
    <xf numFmtId="174" fontId="5" fillId="3" borderId="0" xfId="1" applyNumberFormat="1" applyFont="1" applyFill="1" applyAlignment="1">
      <alignment horizontal="right" wrapText="1"/>
    </xf>
    <xf numFmtId="174" fontId="5" fillId="2" borderId="4" xfId="1" applyNumberFormat="1" applyFont="1" applyFill="1" applyBorder="1" applyAlignment="1">
      <alignment horizontal="right" wrapText="1"/>
    </xf>
    <xf numFmtId="174" fontId="5" fillId="3" borderId="1" xfId="1" applyNumberFormat="1" applyFont="1" applyFill="1" applyBorder="1" applyAlignment="1">
      <alignment horizontal="right" wrapText="1"/>
    </xf>
    <xf numFmtId="174" fontId="5" fillId="2" borderId="0" xfId="1" applyNumberFormat="1" applyFont="1" applyFill="1" applyAlignment="1">
      <alignment horizontal="right" wrapText="1"/>
    </xf>
    <xf numFmtId="174" fontId="4" fillId="2" borderId="1" xfId="1" applyNumberFormat="1" applyFont="1" applyFill="1" applyBorder="1" applyAlignment="1">
      <alignment horizontal="right" wrapText="1"/>
    </xf>
    <xf numFmtId="174" fontId="4" fillId="2" borderId="0" xfId="1" applyNumberFormat="1" applyFont="1" applyFill="1" applyAlignment="1">
      <alignment horizontal="right" wrapText="1"/>
    </xf>
    <xf numFmtId="174" fontId="4" fillId="3" borderId="0" xfId="1" applyNumberFormat="1" applyFont="1" applyFill="1" applyAlignment="1">
      <alignment horizontal="right" wrapText="1"/>
    </xf>
    <xf numFmtId="174" fontId="4" fillId="3" borderId="4" xfId="1" applyNumberFormat="1" applyFont="1" applyFill="1" applyBorder="1" applyAlignment="1">
      <alignment horizontal="right" wrapText="1"/>
    </xf>
    <xf numFmtId="174" fontId="4" fillId="2" borderId="1" xfId="1" applyNumberFormat="1" applyFont="1" applyFill="1" applyBorder="1" applyAlignment="1">
      <alignment horizontal="right" wrapText="1"/>
    </xf>
    <xf numFmtId="174" fontId="4" fillId="2" borderId="6" xfId="1" applyNumberFormat="1" applyFont="1" applyFill="1" applyBorder="1" applyAlignment="1">
      <alignment horizontal="right" wrapText="1"/>
    </xf>
    <xf numFmtId="9" fontId="6" fillId="2" borderId="1" xfId="2" applyFont="1" applyFill="1" applyBorder="1" applyAlignment="1">
      <alignment horizontal="right" wrapText="1"/>
    </xf>
    <xf numFmtId="9" fontId="6" fillId="2" borderId="6" xfId="2" applyFont="1" applyFill="1" applyBorder="1" applyAlignment="1">
      <alignment horizontal="right" wrapText="1"/>
    </xf>
    <xf numFmtId="9" fontId="14" fillId="2" borderId="1" xfId="2" applyFont="1" applyFill="1" applyBorder="1" applyAlignment="1">
      <alignment horizontal="right" wrapText="1"/>
    </xf>
    <xf numFmtId="9" fontId="14" fillId="2" borderId="6" xfId="2" applyFont="1" applyFill="1" applyBorder="1" applyAlignment="1">
      <alignment horizontal="right" wrapText="1"/>
    </xf>
    <xf numFmtId="174" fontId="5" fillId="2" borderId="6" xfId="1" applyNumberFormat="1" applyFont="1" applyFill="1" applyBorder="1" applyAlignment="1">
      <alignment horizontal="right" wrapText="1"/>
    </xf>
    <xf numFmtId="174" fontId="6" fillId="3" borderId="0" xfId="1" applyNumberFormat="1" applyFont="1" applyFill="1" applyAlignment="1">
      <alignment vertical="center" wrapText="1"/>
    </xf>
    <xf numFmtId="174" fontId="5" fillId="2" borderId="1" xfId="1" applyNumberFormat="1" applyFont="1" applyFill="1" applyBorder="1" applyAlignment="1">
      <alignment horizontal="left" wrapText="1"/>
    </xf>
    <xf numFmtId="174" fontId="5" fillId="2" borderId="6" xfId="1" applyNumberFormat="1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2806-4DAA-40DF-B78D-F806B19F234B}">
  <dimension ref="A1:L50"/>
  <sheetViews>
    <sheetView tabSelected="1" workbookViewId="0">
      <selection activeCell="M45" sqref="M45"/>
    </sheetView>
  </sheetViews>
  <sheetFormatPr defaultRowHeight="15" x14ac:dyDescent="0.25"/>
  <cols>
    <col min="5" max="5" width="10.7109375" bestFit="1" customWidth="1"/>
    <col min="6" max="6" width="11.5703125" bestFit="1" customWidth="1"/>
    <col min="9" max="9" width="11.5703125" bestFit="1" customWidth="1"/>
    <col min="11" max="11" width="9.5703125" bestFit="1" customWidth="1"/>
    <col min="12" max="12" width="10.140625" bestFit="1" customWidth="1"/>
  </cols>
  <sheetData>
    <row r="1" spans="1:12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18.75" x14ac:dyDescent="0.25">
      <c r="A4" s="3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5.25" thickBot="1" x14ac:dyDescent="0.3">
      <c r="A6" s="22" t="s">
        <v>3</v>
      </c>
      <c r="B6" s="22"/>
      <c r="C6" s="22"/>
      <c r="D6" s="152">
        <v>2021</v>
      </c>
      <c r="E6" s="152"/>
      <c r="F6" s="151" t="s">
        <v>134</v>
      </c>
      <c r="G6" s="154">
        <v>2020</v>
      </c>
      <c r="H6" s="154"/>
      <c r="I6" s="153" t="s">
        <v>135</v>
      </c>
      <c r="J6" s="154">
        <v>2019</v>
      </c>
      <c r="K6" s="154"/>
      <c r="L6" s="153" t="s">
        <v>137</v>
      </c>
    </row>
    <row r="7" spans="1:12" x14ac:dyDescent="0.25">
      <c r="A7" s="25" t="s">
        <v>4</v>
      </c>
      <c r="B7" s="25"/>
      <c r="C7" s="25"/>
      <c r="D7" s="156" t="s">
        <v>5</v>
      </c>
      <c r="E7" s="157">
        <v>38655</v>
      </c>
      <c r="F7" s="176">
        <f>+E7/$E$7</f>
        <v>1</v>
      </c>
      <c r="G7" s="7" t="s">
        <v>5</v>
      </c>
      <c r="H7" s="9">
        <v>33014</v>
      </c>
      <c r="I7" s="155">
        <f>+H7/$H$7</f>
        <v>1</v>
      </c>
      <c r="J7" s="180" t="s">
        <v>5</v>
      </c>
      <c r="K7" s="181">
        <v>37266</v>
      </c>
      <c r="L7" s="155">
        <f>+K7/K7</f>
        <v>1</v>
      </c>
    </row>
    <row r="8" spans="1:12" ht="15.75" thickBot="1" x14ac:dyDescent="0.3">
      <c r="A8" s="27" t="s">
        <v>6</v>
      </c>
      <c r="B8" s="27"/>
      <c r="C8" s="27"/>
      <c r="D8" s="158">
        <v>15357</v>
      </c>
      <c r="E8" s="158"/>
      <c r="F8" s="177">
        <f>+D8/$E$7</f>
        <v>0.39728366317423358</v>
      </c>
      <c r="G8" s="29">
        <v>13433</v>
      </c>
      <c r="H8" s="29"/>
      <c r="I8" s="170">
        <f>+G8/$H$7</f>
        <v>0.40688798691464229</v>
      </c>
      <c r="J8" s="182">
        <v>14619</v>
      </c>
      <c r="K8" s="182"/>
      <c r="L8" s="170">
        <f>+J8/$K$7</f>
        <v>0.39228787634841411</v>
      </c>
    </row>
    <row r="9" spans="1:12" x14ac:dyDescent="0.25">
      <c r="A9" s="25" t="s">
        <v>7</v>
      </c>
      <c r="B9" s="25"/>
      <c r="C9" s="25"/>
      <c r="D9" s="159">
        <v>23298</v>
      </c>
      <c r="E9" s="159"/>
      <c r="F9" s="176">
        <f t="shared" ref="F9:F21" si="0">+D9/$E$7</f>
        <v>0.60271633682576642</v>
      </c>
      <c r="G9" s="30">
        <v>19581</v>
      </c>
      <c r="H9" s="30"/>
      <c r="I9" s="155">
        <f t="shared" ref="I9:I21" si="1">+G9/$H$7</f>
        <v>0.59311201308535777</v>
      </c>
      <c r="J9" s="183">
        <v>22647</v>
      </c>
      <c r="K9" s="183"/>
      <c r="L9" s="155">
        <f t="shared" ref="L9:L21" si="2">+J9/$K$7</f>
        <v>0.60771212365158589</v>
      </c>
    </row>
    <row r="10" spans="1:12" ht="25.5" customHeight="1" x14ac:dyDescent="0.25">
      <c r="A10" s="26" t="s">
        <v>8</v>
      </c>
      <c r="B10" s="26"/>
      <c r="C10" s="26"/>
      <c r="D10" s="160">
        <v>12144</v>
      </c>
      <c r="E10" s="160"/>
      <c r="F10" s="177">
        <f t="shared" si="0"/>
        <v>0.31416375630578192</v>
      </c>
      <c r="G10" s="28">
        <v>9731</v>
      </c>
      <c r="H10" s="28"/>
      <c r="I10" s="170">
        <f t="shared" si="1"/>
        <v>0.29475374083722056</v>
      </c>
      <c r="J10" s="184">
        <v>12103</v>
      </c>
      <c r="K10" s="184"/>
      <c r="L10" s="170">
        <f t="shared" si="2"/>
        <v>0.32477325175763433</v>
      </c>
    </row>
    <row r="11" spans="1:12" ht="15.75" thickBot="1" x14ac:dyDescent="0.3">
      <c r="A11" s="32" t="s">
        <v>9</v>
      </c>
      <c r="B11" s="32"/>
      <c r="C11" s="32"/>
      <c r="D11" s="161">
        <v>846</v>
      </c>
      <c r="E11" s="161"/>
      <c r="F11" s="178">
        <f t="shared" si="0"/>
        <v>2.1885913853317812E-2</v>
      </c>
      <c r="G11" s="34">
        <v>853</v>
      </c>
      <c r="H11" s="34"/>
      <c r="I11" s="171">
        <f t="shared" si="1"/>
        <v>2.5837523474889441E-2</v>
      </c>
      <c r="J11" s="185">
        <v>458</v>
      </c>
      <c r="K11" s="185"/>
      <c r="L11" s="171">
        <f t="shared" si="2"/>
        <v>1.2290023077335909E-2</v>
      </c>
    </row>
    <row r="12" spans="1:12" x14ac:dyDescent="0.25">
      <c r="A12" s="35" t="s">
        <v>10</v>
      </c>
      <c r="B12" s="35"/>
      <c r="C12" s="35"/>
      <c r="D12" s="162">
        <v>10308</v>
      </c>
      <c r="E12" s="162"/>
      <c r="F12" s="179">
        <f t="shared" si="0"/>
        <v>0.26666666666666666</v>
      </c>
      <c r="G12" s="36">
        <v>8997</v>
      </c>
      <c r="H12" s="36"/>
      <c r="I12" s="172">
        <f t="shared" si="1"/>
        <v>0.27252074877324772</v>
      </c>
      <c r="J12" s="186">
        <v>10086</v>
      </c>
      <c r="K12" s="186"/>
      <c r="L12" s="172">
        <f t="shared" si="2"/>
        <v>0.27064884881661566</v>
      </c>
    </row>
    <row r="13" spans="1:12" x14ac:dyDescent="0.25">
      <c r="A13" s="31" t="s">
        <v>11</v>
      </c>
      <c r="B13" s="31"/>
      <c r="C13" s="31"/>
      <c r="D13" s="163">
        <v>276</v>
      </c>
      <c r="E13" s="163"/>
      <c r="F13" s="178">
        <f t="shared" si="0"/>
        <v>7.1400853705859526E-3</v>
      </c>
      <c r="G13" s="33">
        <v>370</v>
      </c>
      <c r="H13" s="33"/>
      <c r="I13" s="171">
        <f t="shared" si="1"/>
        <v>1.1207366571757436E-2</v>
      </c>
      <c r="J13" s="187">
        <v>563</v>
      </c>
      <c r="K13" s="187"/>
      <c r="L13" s="171">
        <f t="shared" si="2"/>
        <v>1.5107604787205495E-2</v>
      </c>
    </row>
    <row r="14" spans="1:12" x14ac:dyDescent="0.25">
      <c r="A14" s="26" t="s">
        <v>12</v>
      </c>
      <c r="B14" s="26"/>
      <c r="C14" s="26"/>
      <c r="D14" s="160">
        <v>1597</v>
      </c>
      <c r="E14" s="160"/>
      <c r="F14" s="177">
        <f t="shared" si="0"/>
        <v>4.131418962618031E-2</v>
      </c>
      <c r="G14" s="28">
        <v>1437</v>
      </c>
      <c r="H14" s="28"/>
      <c r="I14" s="170">
        <f t="shared" si="1"/>
        <v>4.3526988550311986E-2</v>
      </c>
      <c r="J14" s="184">
        <v>946</v>
      </c>
      <c r="K14" s="184"/>
      <c r="L14" s="170">
        <f t="shared" si="2"/>
        <v>2.5385069500348842E-2</v>
      </c>
    </row>
    <row r="15" spans="1:12" x14ac:dyDescent="0.25">
      <c r="A15" s="31" t="s">
        <v>13</v>
      </c>
      <c r="B15" s="31"/>
      <c r="C15" s="31"/>
      <c r="D15" s="163">
        <v>1438</v>
      </c>
      <c r="E15" s="163"/>
      <c r="F15" s="178">
        <f t="shared" si="0"/>
        <v>3.7200879575734057E-2</v>
      </c>
      <c r="G15" s="33">
        <v>978</v>
      </c>
      <c r="H15" s="33"/>
      <c r="I15" s="171">
        <f t="shared" si="1"/>
        <v>2.9623795965348036E-2</v>
      </c>
      <c r="J15" s="187">
        <v>1049</v>
      </c>
      <c r="K15" s="187"/>
      <c r="L15" s="171">
        <f t="shared" si="2"/>
        <v>2.8148982987173294E-2</v>
      </c>
    </row>
    <row r="16" spans="1:12" ht="15.75" thickBot="1" x14ac:dyDescent="0.3">
      <c r="A16" s="27" t="s">
        <v>14</v>
      </c>
      <c r="B16" s="27"/>
      <c r="C16" s="27"/>
      <c r="D16" s="158">
        <v>2000</v>
      </c>
      <c r="E16" s="158"/>
      <c r="F16" s="177">
        <f t="shared" si="0"/>
        <v>5.1739749062217046E-2</v>
      </c>
      <c r="G16" s="29">
        <v>841</v>
      </c>
      <c r="H16" s="29"/>
      <c r="I16" s="170">
        <f t="shared" si="1"/>
        <v>2.5474041315805416E-2</v>
      </c>
      <c r="J16" s="182">
        <v>34</v>
      </c>
      <c r="K16" s="182"/>
      <c r="L16" s="170">
        <f t="shared" si="2"/>
        <v>9.1235979176729459E-4</v>
      </c>
    </row>
    <row r="17" spans="1:12" x14ac:dyDescent="0.25">
      <c r="A17" s="25" t="s">
        <v>15</v>
      </c>
      <c r="B17" s="25"/>
      <c r="C17" s="25"/>
      <c r="D17" s="159">
        <v>12425</v>
      </c>
      <c r="E17" s="159"/>
      <c r="F17" s="176">
        <f t="shared" si="0"/>
        <v>0.3214331910490234</v>
      </c>
      <c r="G17" s="30">
        <v>9749</v>
      </c>
      <c r="H17" s="30"/>
      <c r="I17" s="155">
        <f t="shared" si="1"/>
        <v>0.2952989640758466</v>
      </c>
      <c r="J17" s="183">
        <v>10786</v>
      </c>
      <c r="K17" s="183"/>
      <c r="L17" s="155">
        <f t="shared" si="2"/>
        <v>0.28943272688241295</v>
      </c>
    </row>
    <row r="18" spans="1:12" ht="15.75" thickBot="1" x14ac:dyDescent="0.3">
      <c r="A18" s="27" t="s">
        <v>16</v>
      </c>
      <c r="B18" s="27"/>
      <c r="C18" s="27"/>
      <c r="D18" s="158">
        <v>2621</v>
      </c>
      <c r="E18" s="158"/>
      <c r="F18" s="177">
        <f t="shared" si="0"/>
        <v>6.7804941146035441E-2</v>
      </c>
      <c r="G18" s="29">
        <v>1981</v>
      </c>
      <c r="H18" s="29"/>
      <c r="I18" s="170">
        <f t="shared" si="1"/>
        <v>6.0004846428787784E-2</v>
      </c>
      <c r="J18" s="182">
        <v>1801</v>
      </c>
      <c r="K18" s="182"/>
      <c r="L18" s="170">
        <f t="shared" si="2"/>
        <v>4.8328234852144047E-2</v>
      </c>
    </row>
    <row r="19" spans="1:12" x14ac:dyDescent="0.25">
      <c r="A19" s="25" t="s">
        <v>17</v>
      </c>
      <c r="B19" s="25"/>
      <c r="C19" s="25"/>
      <c r="D19" s="159">
        <v>9804</v>
      </c>
      <c r="E19" s="159"/>
      <c r="F19" s="176">
        <f t="shared" si="0"/>
        <v>0.25362824990298799</v>
      </c>
      <c r="G19" s="30">
        <v>7768</v>
      </c>
      <c r="H19" s="30"/>
      <c r="I19" s="155">
        <f t="shared" si="1"/>
        <v>0.23529411764705882</v>
      </c>
      <c r="J19" s="183">
        <v>8985</v>
      </c>
      <c r="K19" s="183"/>
      <c r="L19" s="155">
        <f t="shared" si="2"/>
        <v>0.24110449203026887</v>
      </c>
    </row>
    <row r="20" spans="1:12" ht="38.25" customHeight="1" thickBot="1" x14ac:dyDescent="0.3">
      <c r="A20" s="27" t="s">
        <v>18</v>
      </c>
      <c r="B20" s="27"/>
      <c r="C20" s="27"/>
      <c r="D20" s="158">
        <v>33</v>
      </c>
      <c r="E20" s="158"/>
      <c r="F20" s="170">
        <f t="shared" si="0"/>
        <v>8.5370585952658127E-4</v>
      </c>
      <c r="G20" s="29">
        <v>21</v>
      </c>
      <c r="H20" s="29"/>
      <c r="I20" s="170">
        <f t="shared" si="1"/>
        <v>6.3609377839704366E-4</v>
      </c>
      <c r="J20" s="182">
        <v>65</v>
      </c>
      <c r="K20" s="182"/>
      <c r="L20" s="170">
        <f t="shared" si="2"/>
        <v>1.7442172489668868E-3</v>
      </c>
    </row>
    <row r="21" spans="1:12" ht="38.25" customHeight="1" thickBot="1" x14ac:dyDescent="0.3">
      <c r="A21" s="37" t="s">
        <v>19</v>
      </c>
      <c r="B21" s="37"/>
      <c r="C21" s="37"/>
      <c r="D21" s="156" t="s">
        <v>5</v>
      </c>
      <c r="E21" s="157">
        <v>9771</v>
      </c>
      <c r="F21" s="155">
        <f>+E21/$E$7</f>
        <v>0.25277454404346139</v>
      </c>
      <c r="G21" s="7" t="s">
        <v>5</v>
      </c>
      <c r="H21" s="181">
        <v>7747</v>
      </c>
      <c r="I21" s="155">
        <f>+H21/$H$7</f>
        <v>0.23465802386866177</v>
      </c>
      <c r="J21" s="180" t="s">
        <v>5</v>
      </c>
      <c r="K21" s="181">
        <v>8920</v>
      </c>
      <c r="L21" s="155">
        <f>+K21/$K$7</f>
        <v>0.23936027478130198</v>
      </c>
    </row>
    <row r="22" spans="1:12" ht="16.5" thickTop="1" thickBot="1" x14ac:dyDescent="0.3">
      <c r="A22" s="38" t="s">
        <v>20</v>
      </c>
      <c r="B22" s="38"/>
      <c r="C22" s="38"/>
      <c r="D22" s="164" t="s">
        <v>5</v>
      </c>
      <c r="E22" s="165">
        <v>2.2599999999999998</v>
      </c>
      <c r="F22" s="15"/>
      <c r="G22" s="16" t="s">
        <v>5</v>
      </c>
      <c r="H22" s="17" t="s">
        <v>21</v>
      </c>
      <c r="I22" s="15"/>
      <c r="J22" s="16" t="s">
        <v>5</v>
      </c>
      <c r="K22" s="17">
        <v>2.09</v>
      </c>
      <c r="L22" s="15"/>
    </row>
    <row r="23" spans="1:12" ht="16.5" thickTop="1" thickBot="1" x14ac:dyDescent="0.3">
      <c r="A23" s="39" t="s">
        <v>22</v>
      </c>
      <c r="B23" s="39"/>
      <c r="C23" s="39"/>
      <c r="D23" s="166" t="s">
        <v>5</v>
      </c>
      <c r="E23" s="167">
        <v>2.25</v>
      </c>
      <c r="F23" s="18"/>
      <c r="G23" s="19" t="s">
        <v>5</v>
      </c>
      <c r="H23" s="20" t="s">
        <v>23</v>
      </c>
      <c r="I23" s="18"/>
      <c r="J23" s="19" t="s">
        <v>5</v>
      </c>
      <c r="K23" s="20">
        <v>2.0699999999999998</v>
      </c>
      <c r="L23" s="18"/>
    </row>
    <row r="24" spans="1:12" ht="25.5" customHeight="1" thickTop="1" x14ac:dyDescent="0.25">
      <c r="A24" s="40" t="s">
        <v>24</v>
      </c>
      <c r="B24" s="40"/>
      <c r="C24" s="40"/>
      <c r="D24" s="168">
        <v>4315</v>
      </c>
      <c r="E24" s="168"/>
      <c r="F24" s="15"/>
      <c r="G24" s="41" t="s">
        <v>25</v>
      </c>
      <c r="H24" s="41"/>
      <c r="I24" s="15"/>
      <c r="J24" s="41">
        <v>4276</v>
      </c>
      <c r="K24" s="41"/>
      <c r="L24" s="15"/>
    </row>
    <row r="25" spans="1:12" ht="15.75" thickBot="1" x14ac:dyDescent="0.3">
      <c r="A25" s="32" t="s">
        <v>26</v>
      </c>
      <c r="B25" s="32"/>
      <c r="C25" s="32"/>
      <c r="D25" s="161">
        <v>25</v>
      </c>
      <c r="E25" s="161"/>
      <c r="F25" s="13"/>
      <c r="G25" s="34" t="s">
        <v>27</v>
      </c>
      <c r="H25" s="34"/>
      <c r="I25" s="13"/>
      <c r="J25" s="34">
        <v>38</v>
      </c>
      <c r="K25" s="34"/>
      <c r="L25" s="13"/>
    </row>
    <row r="26" spans="1:12" ht="25.5" customHeight="1" thickBot="1" x14ac:dyDescent="0.3">
      <c r="A26" s="42" t="s">
        <v>28</v>
      </c>
      <c r="B26" s="42"/>
      <c r="C26" s="42"/>
      <c r="D26" s="169">
        <v>4340</v>
      </c>
      <c r="E26" s="169"/>
      <c r="F26" s="21"/>
      <c r="G26" s="43" t="s">
        <v>29</v>
      </c>
      <c r="H26" s="43"/>
      <c r="I26" s="21"/>
      <c r="J26" s="43">
        <v>4314</v>
      </c>
      <c r="K26" s="43"/>
      <c r="L26" s="21"/>
    </row>
    <row r="27" spans="1:12" ht="108.75" customHeight="1" thickTop="1" x14ac:dyDescent="0.25">
      <c r="A27" s="45" t="s">
        <v>30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</row>
    <row r="28" spans="1:12" ht="89.25" customHeight="1" x14ac:dyDescent="0.25">
      <c r="A28" s="46" t="s">
        <v>31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34" spans="1:12" ht="89.25" customHeight="1" x14ac:dyDescent="0.25">
      <c r="A34" s="44" t="s">
        <v>0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1:12" ht="89.25" customHeight="1" x14ac:dyDescent="0.25">
      <c r="A35" s="44" t="s">
        <v>32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1:12" ht="25.5" x14ac:dyDescent="0.25">
      <c r="A36" s="1" t="s">
        <v>33</v>
      </c>
    </row>
    <row r="37" spans="1:12" ht="18.75" x14ac:dyDescent="0.25">
      <c r="A37" s="3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.75" thickBot="1" x14ac:dyDescent="0.3">
      <c r="A39" s="22" t="s">
        <v>3</v>
      </c>
      <c r="B39" s="22"/>
      <c r="C39" s="22"/>
      <c r="D39" s="23">
        <v>2021</v>
      </c>
      <c r="E39" s="23"/>
      <c r="F39" s="23"/>
      <c r="G39" s="24">
        <v>2020</v>
      </c>
      <c r="H39" s="24"/>
      <c r="I39" s="24"/>
      <c r="J39" s="24">
        <v>2019</v>
      </c>
      <c r="K39" s="24"/>
      <c r="L39" s="24"/>
    </row>
    <row r="40" spans="1:12" x14ac:dyDescent="0.25">
      <c r="A40" s="25" t="s">
        <v>17</v>
      </c>
      <c r="B40" s="25"/>
      <c r="C40" s="25"/>
      <c r="D40" s="5" t="s">
        <v>5</v>
      </c>
      <c r="E40" s="188">
        <v>9804</v>
      </c>
      <c r="F40" s="173">
        <f>+E40/$E$7</f>
        <v>0.25362824990298799</v>
      </c>
      <c r="G40" s="7" t="s">
        <v>5</v>
      </c>
      <c r="H40" s="181">
        <v>7768</v>
      </c>
      <c r="I40" s="155">
        <f>+H40/$H$7</f>
        <v>0.23529411764705882</v>
      </c>
      <c r="J40" s="180" t="s">
        <v>5</v>
      </c>
      <c r="K40" s="181">
        <v>8985</v>
      </c>
      <c r="L40" s="155">
        <f>+K40/$K$7</f>
        <v>0.24110449203026887</v>
      </c>
    </row>
    <row r="41" spans="1:12" ht="15.75" thickBot="1" x14ac:dyDescent="0.3">
      <c r="A41" s="47" t="s">
        <v>34</v>
      </c>
      <c r="B41" s="47"/>
      <c r="C41" s="47"/>
      <c r="D41" s="133"/>
      <c r="E41" s="133"/>
      <c r="F41" s="133"/>
      <c r="G41" s="48"/>
      <c r="H41" s="48"/>
      <c r="I41" s="48"/>
      <c r="J41" s="199"/>
      <c r="K41" s="199"/>
      <c r="L41" s="199"/>
    </row>
    <row r="42" spans="1:12" ht="25.5" customHeight="1" x14ac:dyDescent="0.25">
      <c r="A42" s="49" t="s">
        <v>35</v>
      </c>
      <c r="B42" s="49"/>
      <c r="C42" s="49"/>
      <c r="D42" s="189">
        <v>-699</v>
      </c>
      <c r="E42" s="189"/>
      <c r="F42" s="173">
        <f>+D42/$E$7</f>
        <v>-1.8083042297244858E-2</v>
      </c>
      <c r="G42" s="187">
        <v>911</v>
      </c>
      <c r="H42" s="187"/>
      <c r="I42" s="155">
        <f>+G42/$H$7</f>
        <v>2.7594353910462228E-2</v>
      </c>
      <c r="J42" s="187">
        <v>74</v>
      </c>
      <c r="K42" s="187"/>
      <c r="L42" s="155">
        <f>+J42/$K$7</f>
        <v>1.9857242526699942E-3</v>
      </c>
    </row>
    <row r="43" spans="1:12" x14ac:dyDescent="0.25">
      <c r="A43" s="50" t="s">
        <v>36</v>
      </c>
      <c r="B43" s="50"/>
      <c r="C43" s="50"/>
      <c r="D43" s="190">
        <v>214</v>
      </c>
      <c r="E43" s="190"/>
      <c r="F43" s="174">
        <f t="shared" ref="F43:F49" si="3">+D43/$E$7</f>
        <v>5.5361531496572244E-3</v>
      </c>
      <c r="G43" s="184">
        <v>15</v>
      </c>
      <c r="H43" s="184"/>
      <c r="I43" s="170">
        <f t="shared" ref="I43:I49" si="4">+G43/$H$7</f>
        <v>4.5435269885503118E-4</v>
      </c>
      <c r="J43" s="184">
        <v>-54</v>
      </c>
      <c r="K43" s="184"/>
      <c r="L43" s="170">
        <f t="shared" ref="L43:L49" si="5">+J43/$K$7</f>
        <v>-1.4490420222186442E-3</v>
      </c>
    </row>
    <row r="44" spans="1:12" ht="38.25" customHeight="1" x14ac:dyDescent="0.25">
      <c r="A44" s="49" t="s">
        <v>37</v>
      </c>
      <c r="B44" s="49"/>
      <c r="C44" s="49"/>
      <c r="D44" s="189">
        <v>-90</v>
      </c>
      <c r="E44" s="189"/>
      <c r="F44" s="175">
        <f t="shared" si="3"/>
        <v>-2.3282887077997671E-3</v>
      </c>
      <c r="G44" s="187">
        <v>-47</v>
      </c>
      <c r="H44" s="187"/>
      <c r="I44" s="171">
        <f t="shared" si="4"/>
        <v>-1.4236384564124311E-3</v>
      </c>
      <c r="J44" s="187">
        <v>18</v>
      </c>
      <c r="K44" s="187"/>
      <c r="L44" s="171">
        <f t="shared" si="5"/>
        <v>4.8301400740621478E-4</v>
      </c>
    </row>
    <row r="45" spans="1:12" ht="25.5" customHeight="1" thickBot="1" x14ac:dyDescent="0.3">
      <c r="A45" s="51" t="s">
        <v>38</v>
      </c>
      <c r="B45" s="51"/>
      <c r="C45" s="51"/>
      <c r="D45" s="191">
        <v>712</v>
      </c>
      <c r="E45" s="191"/>
      <c r="F45" s="174">
        <f t="shared" si="3"/>
        <v>1.8419350666149269E-2</v>
      </c>
      <c r="G45" s="182">
        <v>-267</v>
      </c>
      <c r="H45" s="182"/>
      <c r="I45" s="170">
        <f t="shared" si="4"/>
        <v>-8.0874780396195545E-3</v>
      </c>
      <c r="J45" s="182">
        <v>-159</v>
      </c>
      <c r="K45" s="182"/>
      <c r="L45" s="170">
        <f t="shared" si="5"/>
        <v>-4.266623732088231E-3</v>
      </c>
    </row>
    <row r="46" spans="1:12" x14ac:dyDescent="0.25">
      <c r="A46" s="25" t="s">
        <v>39</v>
      </c>
      <c r="B46" s="25"/>
      <c r="C46" s="25"/>
      <c r="D46" s="192">
        <v>9941</v>
      </c>
      <c r="E46" s="192"/>
      <c r="F46" s="173">
        <f t="shared" si="3"/>
        <v>0.25717242271374985</v>
      </c>
      <c r="G46" s="183">
        <v>6558</v>
      </c>
      <c r="H46" s="183"/>
      <c r="I46" s="155">
        <f t="shared" si="4"/>
        <v>0.19864299993941964</v>
      </c>
      <c r="J46" s="183">
        <v>8864</v>
      </c>
      <c r="K46" s="183"/>
      <c r="L46" s="155">
        <f t="shared" si="5"/>
        <v>0.23785756453603821</v>
      </c>
    </row>
    <row r="47" spans="1:12" ht="38.25" customHeight="1" thickBot="1" x14ac:dyDescent="0.3">
      <c r="A47" s="27" t="s">
        <v>40</v>
      </c>
      <c r="B47" s="27"/>
      <c r="C47" s="27"/>
      <c r="D47" s="191">
        <v>-101</v>
      </c>
      <c r="E47" s="191"/>
      <c r="F47" s="174">
        <f t="shared" si="3"/>
        <v>-2.612857327641961E-3</v>
      </c>
      <c r="G47" s="182">
        <v>-132</v>
      </c>
      <c r="H47" s="182"/>
      <c r="I47" s="170">
        <f t="shared" si="4"/>
        <v>-3.9983037499242745E-3</v>
      </c>
      <c r="J47" s="182">
        <v>110</v>
      </c>
      <c r="K47" s="182"/>
      <c r="L47" s="170">
        <f t="shared" si="5"/>
        <v>2.9517522674824236E-3</v>
      </c>
    </row>
    <row r="48" spans="1:12" ht="25.5" customHeight="1" x14ac:dyDescent="0.25">
      <c r="A48" s="25" t="s">
        <v>41</v>
      </c>
      <c r="B48" s="25"/>
      <c r="C48" s="25"/>
      <c r="D48" s="25" t="s">
        <v>5</v>
      </c>
      <c r="E48" s="192">
        <v>10042</v>
      </c>
      <c r="F48" s="196">
        <f>+E48/$E$7</f>
        <v>0.25978528004139179</v>
      </c>
      <c r="G48" s="53" t="s">
        <v>5</v>
      </c>
      <c r="H48" s="183">
        <v>6690</v>
      </c>
      <c r="I48" s="194">
        <f>+H48/$H$7</f>
        <v>0.20264130368934391</v>
      </c>
      <c r="J48" s="200" t="s">
        <v>5</v>
      </c>
      <c r="K48" s="183">
        <v>8754</v>
      </c>
      <c r="L48" s="194">
        <f>+K48/$K$7</f>
        <v>0.23490581226855578</v>
      </c>
    </row>
    <row r="49" spans="1:12" ht="15.75" thickBot="1" x14ac:dyDescent="0.3">
      <c r="A49" s="52" t="s">
        <v>42</v>
      </c>
      <c r="B49" s="52"/>
      <c r="C49" s="52"/>
      <c r="D49" s="52"/>
      <c r="E49" s="193"/>
      <c r="F49" s="197">
        <f t="shared" si="3"/>
        <v>0</v>
      </c>
      <c r="G49" s="54"/>
      <c r="H49" s="198"/>
      <c r="I49" s="195">
        <f t="shared" si="4"/>
        <v>0</v>
      </c>
      <c r="J49" s="201"/>
      <c r="K49" s="198"/>
      <c r="L49" s="195">
        <f t="shared" si="5"/>
        <v>0</v>
      </c>
    </row>
    <row r="50" spans="1:12" ht="90" customHeight="1" thickTop="1" x14ac:dyDescent="0.25">
      <c r="A50" s="55" t="s">
        <v>31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</row>
  </sheetData>
  <mergeCells count="124">
    <mergeCell ref="A50:L50"/>
    <mergeCell ref="A3:L3"/>
    <mergeCell ref="D6:E6"/>
    <mergeCell ref="G6:H6"/>
    <mergeCell ref="J6:K6"/>
    <mergeCell ref="H48:H49"/>
    <mergeCell ref="I48:I49"/>
    <mergeCell ref="J48:J49"/>
    <mergeCell ref="K48:K49"/>
    <mergeCell ref="L48:L49"/>
    <mergeCell ref="A34:L34"/>
    <mergeCell ref="A35:L35"/>
    <mergeCell ref="A47:C47"/>
    <mergeCell ref="D47:E47"/>
    <mergeCell ref="G47:H47"/>
    <mergeCell ref="J47:K47"/>
    <mergeCell ref="A48:C48"/>
    <mergeCell ref="A49:C49"/>
    <mergeCell ref="D48:D49"/>
    <mergeCell ref="E48:E49"/>
    <mergeCell ref="F48:F49"/>
    <mergeCell ref="G48:G49"/>
    <mergeCell ref="A45:C45"/>
    <mergeCell ref="D45:E45"/>
    <mergeCell ref="G45:H45"/>
    <mergeCell ref="J45:K45"/>
    <mergeCell ref="A46:C46"/>
    <mergeCell ref="D46:E46"/>
    <mergeCell ref="G46:H46"/>
    <mergeCell ref="J46:K46"/>
    <mergeCell ref="A43:C43"/>
    <mergeCell ref="D43:E43"/>
    <mergeCell ref="G43:H43"/>
    <mergeCell ref="J43:K43"/>
    <mergeCell ref="A44:C44"/>
    <mergeCell ref="D44:E44"/>
    <mergeCell ref="G44:H44"/>
    <mergeCell ref="J44:K44"/>
    <mergeCell ref="A40:C40"/>
    <mergeCell ref="A41:C41"/>
    <mergeCell ref="D41:F41"/>
    <mergeCell ref="G41:I41"/>
    <mergeCell ref="J41:L41"/>
    <mergeCell ref="A42:C42"/>
    <mergeCell ref="D42:E42"/>
    <mergeCell ref="G42:H42"/>
    <mergeCell ref="J42:K42"/>
    <mergeCell ref="A1:L1"/>
    <mergeCell ref="A2:L2"/>
    <mergeCell ref="A27:L27"/>
    <mergeCell ref="A28:L28"/>
    <mergeCell ref="A39:C39"/>
    <mergeCell ref="D39:F39"/>
    <mergeCell ref="G39:I39"/>
    <mergeCell ref="J39:L39"/>
    <mergeCell ref="J24:K24"/>
    <mergeCell ref="A25:C25"/>
    <mergeCell ref="D25:E25"/>
    <mergeCell ref="G25:H25"/>
    <mergeCell ref="J25:K25"/>
    <mergeCell ref="A26:C26"/>
    <mergeCell ref="D26:E26"/>
    <mergeCell ref="G26:H26"/>
    <mergeCell ref="J26:K26"/>
    <mergeCell ref="A21:C21"/>
    <mergeCell ref="A22:C22"/>
    <mergeCell ref="A23:C23"/>
    <mergeCell ref="A24:C24"/>
    <mergeCell ref="D24:E24"/>
    <mergeCell ref="G24:H24"/>
    <mergeCell ref="A19:C19"/>
    <mergeCell ref="D19:E19"/>
    <mergeCell ref="G19:H19"/>
    <mergeCell ref="J19:K19"/>
    <mergeCell ref="A20:C20"/>
    <mergeCell ref="D20:E20"/>
    <mergeCell ref="G20:H20"/>
    <mergeCell ref="J20:K20"/>
    <mergeCell ref="A17:C17"/>
    <mergeCell ref="D17:E17"/>
    <mergeCell ref="G17:H17"/>
    <mergeCell ref="J17:K17"/>
    <mergeCell ref="A18:C18"/>
    <mergeCell ref="D18:E18"/>
    <mergeCell ref="G18:H18"/>
    <mergeCell ref="J18:K18"/>
    <mergeCell ref="A15:C15"/>
    <mergeCell ref="D15:E15"/>
    <mergeCell ref="G15:H15"/>
    <mergeCell ref="J15:K15"/>
    <mergeCell ref="A16:C16"/>
    <mergeCell ref="D16:E16"/>
    <mergeCell ref="G16:H16"/>
    <mergeCell ref="J16:K16"/>
    <mergeCell ref="A13:C13"/>
    <mergeCell ref="D13:E13"/>
    <mergeCell ref="G13:H13"/>
    <mergeCell ref="J13:K13"/>
    <mergeCell ref="A14:C14"/>
    <mergeCell ref="D14:E14"/>
    <mergeCell ref="G14:H14"/>
    <mergeCell ref="J14:K14"/>
    <mergeCell ref="A11:C11"/>
    <mergeCell ref="D11:E11"/>
    <mergeCell ref="G11:H11"/>
    <mergeCell ref="J11:K11"/>
    <mergeCell ref="A12:C12"/>
    <mergeCell ref="D12:E12"/>
    <mergeCell ref="G12:H12"/>
    <mergeCell ref="J12:K12"/>
    <mergeCell ref="A9:C9"/>
    <mergeCell ref="D9:E9"/>
    <mergeCell ref="G9:H9"/>
    <mergeCell ref="J9:K9"/>
    <mergeCell ref="A10:C10"/>
    <mergeCell ref="D10:E10"/>
    <mergeCell ref="G10:H10"/>
    <mergeCell ref="J10:K10"/>
    <mergeCell ref="A6:C6"/>
    <mergeCell ref="A7:C7"/>
    <mergeCell ref="A8:C8"/>
    <mergeCell ref="D8:E8"/>
    <mergeCell ref="G8:H8"/>
    <mergeCell ref="J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B4BD-6134-49AD-B99C-530100CADB1C}">
  <dimension ref="A1:U48"/>
  <sheetViews>
    <sheetView topLeftCell="A2" workbookViewId="0">
      <selection activeCell="R4" sqref="R4"/>
    </sheetView>
  </sheetViews>
  <sheetFormatPr defaultRowHeight="15" x14ac:dyDescent="0.25"/>
  <sheetData>
    <row r="1" spans="1:21" ht="78.75" customHeight="1" x14ac:dyDescent="0.25">
      <c r="A1" s="104" t="s">
        <v>43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21" ht="63" customHeight="1" x14ac:dyDescent="0.25">
      <c r="A2" s="105" t="s">
        <v>44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1:21" ht="15.75" x14ac:dyDescent="0.25">
      <c r="A3" s="108" t="s">
        <v>45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</row>
    <row r="4" spans="1:21" ht="15.75" x14ac:dyDescent="0.25">
      <c r="A4" s="108" t="s">
        <v>46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</row>
    <row r="5" spans="1:21" x14ac:dyDescent="0.25">
      <c r="A5" s="56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1" ht="16.5" customHeight="1" thickBot="1" x14ac:dyDescent="0.3">
      <c r="A7" s="74"/>
      <c r="B7" s="74"/>
      <c r="C7" s="74"/>
      <c r="D7" s="75">
        <v>2021</v>
      </c>
      <c r="E7" s="75"/>
      <c r="F7" s="75"/>
      <c r="G7" s="75" t="s">
        <v>131</v>
      </c>
      <c r="H7" s="75"/>
      <c r="I7" s="75"/>
      <c r="J7" s="75">
        <v>2020</v>
      </c>
      <c r="K7" s="75"/>
      <c r="L7" s="75"/>
      <c r="M7" s="75" t="s">
        <v>132</v>
      </c>
      <c r="N7" s="75"/>
      <c r="O7" s="75"/>
      <c r="P7" s="75">
        <v>2019</v>
      </c>
      <c r="Q7" s="75"/>
      <c r="R7" s="75"/>
      <c r="S7" s="75" t="s">
        <v>133</v>
      </c>
      <c r="T7" s="75"/>
      <c r="U7" s="75"/>
    </row>
    <row r="8" spans="1:21" ht="15.75" customHeight="1" x14ac:dyDescent="0.25">
      <c r="A8" s="77" t="s">
        <v>47</v>
      </c>
      <c r="B8" s="77"/>
      <c r="C8" s="77"/>
      <c r="D8" s="57" t="s">
        <v>5</v>
      </c>
      <c r="E8" s="58" t="s">
        <v>48</v>
      </c>
      <c r="F8" s="6"/>
      <c r="G8" s="146">
        <f>79474/79474</f>
        <v>1</v>
      </c>
      <c r="H8" s="146"/>
      <c r="I8" s="146"/>
      <c r="J8" s="59" t="s">
        <v>5</v>
      </c>
      <c r="K8" s="60" t="s">
        <v>49</v>
      </c>
      <c r="L8" s="6"/>
      <c r="M8" s="129">
        <f>70372/70372</f>
        <v>1</v>
      </c>
      <c r="N8" s="129"/>
      <c r="O8" s="129"/>
      <c r="P8" s="59" t="s">
        <v>5</v>
      </c>
      <c r="Q8" s="60" t="s">
        <v>50</v>
      </c>
      <c r="R8" s="6"/>
      <c r="S8" s="129">
        <f>67161/67161</f>
        <v>1</v>
      </c>
      <c r="T8" s="129"/>
      <c r="U8" s="129"/>
    </row>
    <row r="9" spans="1:21" ht="16.5" thickBot="1" x14ac:dyDescent="0.3">
      <c r="A9" s="79" t="s">
        <v>51</v>
      </c>
      <c r="B9" s="79"/>
      <c r="C9" s="79"/>
      <c r="D9" s="81" t="s">
        <v>52</v>
      </c>
      <c r="E9" s="81"/>
      <c r="F9" s="10"/>
      <c r="G9" s="147">
        <f>37075/79474</f>
        <v>0.46650476885522307</v>
      </c>
      <c r="H9" s="147"/>
      <c r="I9" s="147"/>
      <c r="J9" s="83" t="s">
        <v>53</v>
      </c>
      <c r="K9" s="83"/>
      <c r="L9" s="10"/>
      <c r="M9" s="128">
        <f>31797/70372</f>
        <v>0.45184164156198486</v>
      </c>
      <c r="N9" s="128"/>
      <c r="O9" s="128"/>
      <c r="P9" s="83" t="s">
        <v>54</v>
      </c>
      <c r="Q9" s="83"/>
      <c r="R9" s="10"/>
      <c r="S9" s="128">
        <f>30132/67161</f>
        <v>0.44865323625318265</v>
      </c>
      <c r="T9" s="128"/>
      <c r="U9" s="128"/>
    </row>
    <row r="10" spans="1:21" ht="15.75" customHeight="1" x14ac:dyDescent="0.25">
      <c r="A10" s="84" t="s">
        <v>55</v>
      </c>
      <c r="B10" s="84"/>
      <c r="C10" s="84"/>
      <c r="D10" s="126" t="s">
        <v>56</v>
      </c>
      <c r="E10" s="58"/>
      <c r="F10" s="58"/>
      <c r="G10" s="127">
        <f>42399/79474</f>
        <v>0.53349523114477693</v>
      </c>
      <c r="H10" s="127"/>
      <c r="I10" s="127"/>
      <c r="J10" s="85" t="s">
        <v>57</v>
      </c>
      <c r="K10" s="85"/>
      <c r="L10" s="6"/>
      <c r="M10" s="129">
        <f>38575/70372</f>
        <v>0.54815835843801508</v>
      </c>
      <c r="N10" s="129"/>
      <c r="O10" s="129"/>
      <c r="P10" s="85" t="s">
        <v>58</v>
      </c>
      <c r="Q10" s="85"/>
      <c r="R10" s="6"/>
      <c r="S10" s="129">
        <f>37029/67161</f>
        <v>0.55134676374681735</v>
      </c>
      <c r="T10" s="129"/>
      <c r="U10" s="129"/>
    </row>
    <row r="11" spans="1:21" ht="31.5" customHeight="1" x14ac:dyDescent="0.25">
      <c r="A11" s="79" t="s">
        <v>8</v>
      </c>
      <c r="B11" s="79"/>
      <c r="C11" s="79"/>
      <c r="D11" s="80" t="s">
        <v>59</v>
      </c>
      <c r="E11" s="80"/>
      <c r="F11" s="10"/>
      <c r="G11" s="148">
        <f>31237/79474</f>
        <v>0.39304678259556586</v>
      </c>
      <c r="H11" s="148"/>
      <c r="I11" s="148"/>
      <c r="J11" s="82" t="s">
        <v>60</v>
      </c>
      <c r="K11" s="82"/>
      <c r="L11" s="10"/>
      <c r="M11" s="128">
        <f>28495/70372</f>
        <v>0.40491957028363551</v>
      </c>
      <c r="N11" s="128"/>
      <c r="O11" s="128"/>
      <c r="P11" s="82" t="s">
        <v>61</v>
      </c>
      <c r="Q11" s="82"/>
      <c r="R11" s="10"/>
      <c r="S11" s="128">
        <f>26738/67161</f>
        <v>0.3981179553609982</v>
      </c>
      <c r="T11" s="128"/>
      <c r="U11" s="128"/>
    </row>
    <row r="12" spans="1:21" ht="15.75" thickBot="1" x14ac:dyDescent="0.3">
      <c r="G12" s="149"/>
      <c r="H12" s="149"/>
      <c r="I12" s="149"/>
      <c r="M12" s="132"/>
      <c r="N12" s="132"/>
      <c r="O12" s="132"/>
      <c r="S12" s="132"/>
      <c r="T12" s="132"/>
      <c r="U12" s="132"/>
    </row>
    <row r="13" spans="1:21" ht="16.5" thickTop="1" x14ac:dyDescent="0.25">
      <c r="A13" s="77" t="s">
        <v>62</v>
      </c>
      <c r="B13" s="77"/>
      <c r="C13" s="77"/>
      <c r="D13" s="86" t="s">
        <v>63</v>
      </c>
      <c r="E13" s="86"/>
      <c r="F13" s="18"/>
      <c r="G13" s="130">
        <f>11162/79474</f>
        <v>0.14044844854921107</v>
      </c>
      <c r="H13" s="130"/>
      <c r="I13" s="130"/>
      <c r="J13" s="87" t="s">
        <v>64</v>
      </c>
      <c r="K13" s="87"/>
      <c r="L13" s="18"/>
      <c r="M13" s="129">
        <f>10080/70372</f>
        <v>0.14323878815437957</v>
      </c>
      <c r="N13" s="129"/>
      <c r="O13" s="129"/>
      <c r="P13" s="87" t="s">
        <v>65</v>
      </c>
      <c r="Q13" s="87"/>
      <c r="R13" s="18"/>
      <c r="S13" s="129">
        <f>10291/67161</f>
        <v>0.15322880838581915</v>
      </c>
      <c r="T13" s="129"/>
      <c r="U13" s="129"/>
    </row>
    <row r="14" spans="1:21" ht="47.25" customHeight="1" x14ac:dyDescent="0.25">
      <c r="A14" s="88" t="s">
        <v>66</v>
      </c>
      <c r="B14" s="88"/>
      <c r="C14" s="88"/>
      <c r="D14" s="80" t="s">
        <v>67</v>
      </c>
      <c r="E14" s="80"/>
      <c r="F14" s="10"/>
      <c r="G14" s="148">
        <f>522/79474</f>
        <v>6.5681858217781913E-3</v>
      </c>
      <c r="H14" s="148"/>
      <c r="I14" s="148"/>
      <c r="J14" s="82" t="s">
        <v>68</v>
      </c>
      <c r="K14" s="82"/>
      <c r="L14" s="10"/>
      <c r="M14" s="128">
        <f>117/70372</f>
        <v>1.6625930767919059E-3</v>
      </c>
      <c r="N14" s="128"/>
      <c r="O14" s="128"/>
      <c r="P14" s="82">
        <v>-44</v>
      </c>
      <c r="Q14" s="82"/>
      <c r="R14" s="10"/>
      <c r="S14" s="128">
        <f>44/67161</f>
        <v>6.551421211715132E-4</v>
      </c>
      <c r="T14" s="128"/>
      <c r="U14" s="128"/>
    </row>
    <row r="15" spans="1:21" ht="16.5" thickBot="1" x14ac:dyDescent="0.3">
      <c r="A15" s="84" t="s">
        <v>69</v>
      </c>
      <c r="B15" s="84"/>
      <c r="C15" s="84"/>
      <c r="D15" s="89">
        <v>-1863</v>
      </c>
      <c r="E15" s="89"/>
      <c r="F15" s="13"/>
      <c r="G15" s="130">
        <f>1863/79474</f>
        <v>2.3441628708760098E-2</v>
      </c>
      <c r="H15" s="130"/>
      <c r="I15" s="130"/>
      <c r="J15" s="90">
        <v>-1128</v>
      </c>
      <c r="K15" s="90"/>
      <c r="L15" s="13"/>
      <c r="M15" s="129">
        <f>1128/70372</f>
        <v>1.6029102483942476E-2</v>
      </c>
      <c r="N15" s="129"/>
      <c r="O15" s="129"/>
      <c r="P15" s="92">
        <v>-935</v>
      </c>
      <c r="Q15" s="92"/>
      <c r="R15" s="13"/>
      <c r="S15" s="129">
        <f>935/67161</f>
        <v>1.3921770074894656E-2</v>
      </c>
      <c r="T15" s="129"/>
      <c r="U15" s="129"/>
    </row>
    <row r="16" spans="1:21" ht="15.75" customHeight="1" x14ac:dyDescent="0.25">
      <c r="A16" s="79" t="s">
        <v>70</v>
      </c>
      <c r="B16" s="79"/>
      <c r="C16" s="79"/>
      <c r="D16" s="93" t="s">
        <v>71</v>
      </c>
      <c r="E16" s="93"/>
      <c r="F16" s="14"/>
      <c r="G16" s="148">
        <f>9821/79474</f>
        <v>0.12357500566222916</v>
      </c>
      <c r="H16" s="148"/>
      <c r="I16" s="148"/>
      <c r="J16" s="94" t="s">
        <v>72</v>
      </c>
      <c r="K16" s="94"/>
      <c r="L16" s="14"/>
      <c r="M16" s="128">
        <f>9069/70372</f>
        <v>0.12887227874722901</v>
      </c>
      <c r="N16" s="128"/>
      <c r="O16" s="128"/>
      <c r="P16" s="94" t="s">
        <v>73</v>
      </c>
      <c r="Q16" s="94"/>
      <c r="R16" s="14"/>
      <c r="S16" s="128">
        <f>9312/67161</f>
        <v>0.13865189618975299</v>
      </c>
      <c r="T16" s="128"/>
      <c r="U16" s="128"/>
    </row>
    <row r="17" spans="1:21" ht="16.5" thickBot="1" x14ac:dyDescent="0.3">
      <c r="A17" s="84" t="s">
        <v>74</v>
      </c>
      <c r="B17" s="84"/>
      <c r="C17" s="84"/>
      <c r="D17" s="96" t="s">
        <v>75</v>
      </c>
      <c r="E17" s="96"/>
      <c r="F17" s="13"/>
      <c r="G17" s="130">
        <f>2142/79474</f>
        <v>2.6952210785917408E-2</v>
      </c>
      <c r="H17" s="130"/>
      <c r="I17" s="130"/>
      <c r="J17" s="92" t="s">
        <v>76</v>
      </c>
      <c r="K17" s="92"/>
      <c r="L17" s="13"/>
      <c r="M17" s="129">
        <f>1894/70372</f>
        <v>2.6914113567896324E-2</v>
      </c>
      <c r="N17" s="129"/>
      <c r="O17" s="129"/>
      <c r="P17" s="92" t="s">
        <v>77</v>
      </c>
      <c r="Q17" s="92"/>
      <c r="R17" s="13"/>
      <c r="S17" s="129">
        <f>1959/67161</f>
        <v>2.9168713985795326E-2</v>
      </c>
      <c r="T17" s="129"/>
      <c r="U17" s="129"/>
    </row>
    <row r="18" spans="1:21" ht="15.75" customHeight="1" x14ac:dyDescent="0.25">
      <c r="A18" s="79" t="s">
        <v>78</v>
      </c>
      <c r="B18" s="79"/>
      <c r="C18" s="79"/>
      <c r="D18" s="93" t="s">
        <v>79</v>
      </c>
      <c r="E18" s="93"/>
      <c r="F18" s="14"/>
      <c r="G18" s="148">
        <f>7679/79474</f>
        <v>9.6622794876311743E-2</v>
      </c>
      <c r="H18" s="148"/>
      <c r="I18" s="148"/>
      <c r="J18" s="94" t="s">
        <v>80</v>
      </c>
      <c r="K18" s="94"/>
      <c r="L18" s="14"/>
      <c r="M18" s="128">
        <f>7175/70372</f>
        <v>0.10195816517933269</v>
      </c>
      <c r="N18" s="128"/>
      <c r="O18" s="128"/>
      <c r="P18" s="94" t="s">
        <v>81</v>
      </c>
      <c r="Q18" s="94"/>
      <c r="R18" s="14"/>
      <c r="S18" s="128">
        <f>7353/67161</f>
        <v>0.10948318220395765</v>
      </c>
      <c r="T18" s="128"/>
      <c r="U18" s="128"/>
    </row>
    <row r="19" spans="1:21" ht="31.5" customHeight="1" thickBot="1" x14ac:dyDescent="0.3">
      <c r="A19" s="84" t="s">
        <v>82</v>
      </c>
      <c r="B19" s="84"/>
      <c r="C19" s="84"/>
      <c r="D19" s="96" t="s">
        <v>83</v>
      </c>
      <c r="E19" s="96"/>
      <c r="F19" s="13"/>
      <c r="G19" s="130">
        <f>61/79474</f>
        <v>7.6754661902005692E-4</v>
      </c>
      <c r="H19" s="130"/>
      <c r="I19" s="130"/>
      <c r="J19" s="92" t="s">
        <v>84</v>
      </c>
      <c r="K19" s="92"/>
      <c r="L19" s="13"/>
      <c r="M19" s="129">
        <f>55/70372</f>
        <v>7.8156084806457109E-4</v>
      </c>
      <c r="N19" s="129"/>
      <c r="O19" s="129"/>
      <c r="P19" s="92" t="s">
        <v>85</v>
      </c>
      <c r="Q19" s="92"/>
      <c r="R19" s="13"/>
      <c r="S19" s="129">
        <f>39/67161</f>
        <v>5.8069415285656853E-4</v>
      </c>
      <c r="T19" s="129"/>
      <c r="U19" s="129"/>
    </row>
    <row r="20" spans="1:21" ht="31.5" customHeight="1" thickBot="1" x14ac:dyDescent="0.3">
      <c r="A20" s="97" t="s">
        <v>86</v>
      </c>
      <c r="B20" s="97"/>
      <c r="C20" s="97"/>
      <c r="D20" s="67" t="s">
        <v>5</v>
      </c>
      <c r="E20" s="65" t="s">
        <v>87</v>
      </c>
      <c r="F20" s="14"/>
      <c r="G20" s="148">
        <f>7618/79474</f>
        <v>9.5855248257291692E-2</v>
      </c>
      <c r="H20" s="148"/>
      <c r="I20" s="148"/>
      <c r="J20" s="68" t="s">
        <v>5</v>
      </c>
      <c r="K20" s="66" t="s">
        <v>88</v>
      </c>
      <c r="L20" s="14"/>
      <c r="M20" s="128">
        <f>7120/70372</f>
        <v>0.10117660433126811</v>
      </c>
      <c r="N20" s="128"/>
      <c r="O20" s="128"/>
      <c r="P20" s="68" t="s">
        <v>5</v>
      </c>
      <c r="Q20" s="66" t="s">
        <v>89</v>
      </c>
      <c r="R20" s="14"/>
      <c r="S20" s="128">
        <f>7314/67161</f>
        <v>0.10890248805110109</v>
      </c>
      <c r="T20" s="128"/>
      <c r="U20" s="128"/>
    </row>
    <row r="21" spans="1:21" ht="31.5" customHeight="1" thickTop="1" x14ac:dyDescent="0.25">
      <c r="A21" s="77" t="s">
        <v>90</v>
      </c>
      <c r="B21" s="77"/>
      <c r="C21" s="77"/>
      <c r="D21" s="98"/>
      <c r="E21" s="98"/>
      <c r="F21" s="98"/>
      <c r="G21" s="150"/>
      <c r="H21" s="150"/>
      <c r="I21" s="150"/>
      <c r="J21" s="98"/>
      <c r="K21" s="98"/>
      <c r="L21" s="98"/>
      <c r="M21" s="78"/>
      <c r="N21" s="78"/>
      <c r="O21" s="78"/>
      <c r="P21" s="98"/>
      <c r="Q21" s="98"/>
      <c r="R21" s="98"/>
      <c r="S21" s="78"/>
      <c r="T21" s="78"/>
      <c r="U21" s="78"/>
    </row>
    <row r="22" spans="1:21" ht="15.75" customHeight="1" x14ac:dyDescent="0.25">
      <c r="A22" s="99" t="s">
        <v>91</v>
      </c>
      <c r="B22" s="99"/>
      <c r="C22" s="99"/>
      <c r="D22" s="70" t="s">
        <v>5</v>
      </c>
      <c r="E22" s="61" t="s">
        <v>92</v>
      </c>
      <c r="F22" s="10"/>
      <c r="G22" s="135"/>
      <c r="H22" s="135"/>
      <c r="I22" s="135"/>
      <c r="J22" s="71" t="s">
        <v>5</v>
      </c>
      <c r="K22" s="62" t="s">
        <v>93</v>
      </c>
      <c r="L22" s="10"/>
      <c r="M22" s="48"/>
      <c r="N22" s="48"/>
      <c r="O22" s="48"/>
      <c r="P22" s="71" t="s">
        <v>5</v>
      </c>
      <c r="Q22" s="62" t="s">
        <v>94</v>
      </c>
      <c r="R22" s="10"/>
      <c r="S22" s="48"/>
      <c r="T22" s="48"/>
      <c r="U22" s="48"/>
    </row>
    <row r="23" spans="1:21" ht="15.75" customHeight="1" x14ac:dyDescent="0.25">
      <c r="A23" s="100" t="s">
        <v>95</v>
      </c>
      <c r="B23" s="100"/>
      <c r="C23" s="100"/>
      <c r="D23" s="72" t="s">
        <v>5</v>
      </c>
      <c r="E23" s="63" t="s">
        <v>96</v>
      </c>
      <c r="F23" s="13"/>
      <c r="G23" s="134"/>
      <c r="H23" s="134"/>
      <c r="I23" s="134"/>
      <c r="J23" s="73" t="s">
        <v>5</v>
      </c>
      <c r="K23" s="64" t="s">
        <v>97</v>
      </c>
      <c r="L23" s="13"/>
      <c r="M23" s="78"/>
      <c r="N23" s="78"/>
      <c r="O23" s="78"/>
      <c r="P23" s="73" t="s">
        <v>5</v>
      </c>
      <c r="Q23" s="64" t="s">
        <v>98</v>
      </c>
      <c r="R23" s="13"/>
      <c r="S23" s="78"/>
      <c r="T23" s="78"/>
      <c r="U23" s="78"/>
    </row>
    <row r="24" spans="1:21" ht="31.5" customHeight="1" x14ac:dyDescent="0.25">
      <c r="A24" s="79" t="s">
        <v>99</v>
      </c>
      <c r="B24" s="79"/>
      <c r="C24" s="79"/>
      <c r="D24" s="48"/>
      <c r="E24" s="48"/>
      <c r="F24" s="48"/>
      <c r="G24" s="133"/>
      <c r="H24" s="133"/>
      <c r="I24" s="133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</row>
    <row r="25" spans="1:21" ht="15.75" customHeight="1" x14ac:dyDescent="0.25">
      <c r="A25" s="101" t="s">
        <v>91</v>
      </c>
      <c r="B25" s="101"/>
      <c r="C25" s="101"/>
      <c r="D25" s="95" t="s">
        <v>100</v>
      </c>
      <c r="E25" s="95"/>
      <c r="F25" s="13"/>
      <c r="G25" s="78"/>
      <c r="H25" s="78"/>
      <c r="I25" s="78"/>
      <c r="J25" s="91" t="s">
        <v>101</v>
      </c>
      <c r="K25" s="91"/>
      <c r="L25" s="13"/>
      <c r="M25" s="78"/>
      <c r="N25" s="78"/>
      <c r="O25" s="78"/>
      <c r="P25" s="91" t="s">
        <v>102</v>
      </c>
      <c r="Q25" s="91"/>
      <c r="R25" s="13"/>
      <c r="S25" s="78"/>
      <c r="T25" s="78"/>
      <c r="U25" s="78"/>
    </row>
    <row r="26" spans="1:21" ht="15.75" customHeight="1" x14ac:dyDescent="0.25">
      <c r="A26" s="102" t="s">
        <v>95</v>
      </c>
      <c r="B26" s="102"/>
      <c r="C26" s="102"/>
      <c r="D26" s="80" t="s">
        <v>103</v>
      </c>
      <c r="E26" s="80"/>
      <c r="F26" s="10"/>
      <c r="G26" s="48"/>
      <c r="H26" s="48"/>
      <c r="I26" s="48"/>
      <c r="J26" s="82" t="s">
        <v>104</v>
      </c>
      <c r="K26" s="82"/>
      <c r="L26" s="10"/>
      <c r="M26" s="48"/>
      <c r="N26" s="48"/>
      <c r="O26" s="48"/>
      <c r="P26" s="82" t="s">
        <v>105</v>
      </c>
      <c r="Q26" s="82"/>
      <c r="R26" s="10"/>
      <c r="S26" s="48"/>
      <c r="T26" s="48"/>
      <c r="U26" s="48"/>
    </row>
    <row r="27" spans="1:21" x14ac:dyDescent="0.25">
      <c r="A27" s="4"/>
      <c r="B27" s="4"/>
      <c r="C27" s="4"/>
    </row>
    <row r="28" spans="1:21" ht="15.75" thickBot="1" x14ac:dyDescent="0.3">
      <c r="A28" s="103"/>
      <c r="B28" s="103"/>
      <c r="C28" s="103"/>
    </row>
    <row r="29" spans="1:21" ht="16.5" thickTop="1" x14ac:dyDescent="0.25">
      <c r="A29" s="106" t="s">
        <v>106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</row>
    <row r="32" spans="1:21" ht="15.75" x14ac:dyDescent="0.25">
      <c r="A32" s="125" t="s">
        <v>107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</row>
    <row r="33" spans="1:21" ht="15.75" x14ac:dyDescent="0.25">
      <c r="A33" s="107" t="s">
        <v>44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</row>
    <row r="34" spans="1:21" ht="15.75" x14ac:dyDescent="0.25">
      <c r="A34" s="107" t="s">
        <v>45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</row>
    <row r="35" spans="1:21" ht="15.75" x14ac:dyDescent="0.25">
      <c r="A35" s="107" t="s">
        <v>108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21" ht="16.5" customHeight="1" thickBot="1" x14ac:dyDescent="0.3">
      <c r="A37" s="114"/>
      <c r="B37" s="114"/>
      <c r="C37" s="114"/>
      <c r="D37" s="75">
        <v>2021</v>
      </c>
      <c r="E37" s="75"/>
      <c r="F37" s="75"/>
      <c r="G37" s="75" t="s">
        <v>134</v>
      </c>
      <c r="H37" s="75"/>
      <c r="I37" s="75"/>
      <c r="J37" s="76">
        <v>2020</v>
      </c>
      <c r="K37" s="76"/>
      <c r="L37" s="76"/>
      <c r="M37" s="76" t="s">
        <v>135</v>
      </c>
      <c r="N37" s="76"/>
      <c r="O37" s="76"/>
      <c r="P37" s="76">
        <v>2019</v>
      </c>
      <c r="Q37" s="76"/>
      <c r="R37" s="76"/>
      <c r="S37" s="76" t="s">
        <v>136</v>
      </c>
      <c r="T37" s="76"/>
      <c r="U37" s="76"/>
    </row>
    <row r="38" spans="1:21" ht="15.75" customHeight="1" x14ac:dyDescent="0.25">
      <c r="A38" s="115" t="s">
        <v>78</v>
      </c>
      <c r="B38" s="115"/>
      <c r="C38" s="115"/>
      <c r="D38" s="57" t="s">
        <v>5</v>
      </c>
      <c r="E38" s="58" t="s">
        <v>79</v>
      </c>
      <c r="F38" s="8"/>
      <c r="G38" s="136">
        <f>7679/79474</f>
        <v>9.6622794876311743E-2</v>
      </c>
      <c r="H38" s="136"/>
      <c r="I38" s="136"/>
      <c r="J38" s="59" t="s">
        <v>5</v>
      </c>
      <c r="K38" s="60" t="s">
        <v>80</v>
      </c>
      <c r="L38" s="8"/>
      <c r="M38" s="140">
        <f>7175/70372</f>
        <v>0.10195816517933269</v>
      </c>
      <c r="N38" s="140"/>
      <c r="O38" s="140"/>
      <c r="P38" s="59" t="s">
        <v>5</v>
      </c>
      <c r="Q38" s="60" t="s">
        <v>81</v>
      </c>
      <c r="R38" s="8"/>
      <c r="S38" s="143">
        <f>7353/67161</f>
        <v>0.10948318220395765</v>
      </c>
      <c r="T38" s="143"/>
      <c r="U38" s="143"/>
    </row>
    <row r="39" spans="1:21" ht="31.5" customHeight="1" x14ac:dyDescent="0.25">
      <c r="A39" s="117" t="s">
        <v>109</v>
      </c>
      <c r="B39" s="117"/>
      <c r="C39" s="117"/>
      <c r="D39" s="118"/>
      <c r="E39" s="118"/>
      <c r="F39" s="118"/>
      <c r="G39" s="137"/>
      <c r="H39" s="137"/>
      <c r="I39" s="137"/>
      <c r="J39" s="118"/>
      <c r="K39" s="118"/>
      <c r="L39" s="118"/>
      <c r="M39" s="141"/>
      <c r="N39" s="141"/>
      <c r="O39" s="141"/>
      <c r="P39" s="118"/>
      <c r="Q39" s="118"/>
      <c r="R39" s="118"/>
    </row>
    <row r="40" spans="1:21" ht="31.5" customHeight="1" x14ac:dyDescent="0.25">
      <c r="A40" s="119" t="s">
        <v>110</v>
      </c>
      <c r="B40" s="119"/>
      <c r="C40" s="119"/>
      <c r="D40" s="95">
        <v>-369</v>
      </c>
      <c r="E40" s="95"/>
      <c r="F40" s="12"/>
      <c r="G40" s="138">
        <f>369/79474</f>
        <v>4.6430279084983764E-3</v>
      </c>
      <c r="H40" s="138"/>
      <c r="I40" s="138"/>
      <c r="J40" s="91">
        <v>-650</v>
      </c>
      <c r="K40" s="91"/>
      <c r="L40" s="12"/>
      <c r="M40" s="140">
        <f>650/70372</f>
        <v>9.2366282043994767E-3</v>
      </c>
      <c r="N40" s="140"/>
      <c r="O40" s="140"/>
      <c r="P40" s="91" t="s">
        <v>111</v>
      </c>
      <c r="Q40" s="91"/>
      <c r="R40" s="12"/>
      <c r="S40" s="142">
        <f>628/67161</f>
        <v>9.350664820357053E-3</v>
      </c>
      <c r="T40" s="142"/>
      <c r="U40" s="142"/>
    </row>
    <row r="41" spans="1:21" ht="31.5" customHeight="1" x14ac:dyDescent="0.25">
      <c r="A41" s="120" t="s">
        <v>112</v>
      </c>
      <c r="B41" s="120"/>
      <c r="C41" s="120"/>
      <c r="D41" s="80" t="s">
        <v>113</v>
      </c>
      <c r="E41" s="80"/>
      <c r="F41" s="11"/>
      <c r="G41" s="139">
        <f>155/79474</f>
        <v>1.9503233761985052E-3</v>
      </c>
      <c r="H41" s="139"/>
      <c r="I41" s="139"/>
      <c r="J41" s="82" t="s">
        <v>114</v>
      </c>
      <c r="K41" s="82"/>
      <c r="L41" s="11"/>
      <c r="M41" s="141">
        <f>7/70372</f>
        <v>9.9471380662763596E-5</v>
      </c>
      <c r="N41" s="141"/>
      <c r="O41" s="141"/>
      <c r="P41" s="82">
        <v>-90</v>
      </c>
      <c r="Q41" s="82"/>
      <c r="R41" s="11"/>
      <c r="S41" s="144">
        <f>90/67161</f>
        <v>1.3400634296690044E-3</v>
      </c>
      <c r="T41" s="144"/>
      <c r="U41" s="144"/>
    </row>
    <row r="42" spans="1:21" ht="31.5" customHeight="1" x14ac:dyDescent="0.25">
      <c r="A42" s="119" t="s">
        <v>115</v>
      </c>
      <c r="B42" s="119"/>
      <c r="C42" s="119"/>
      <c r="D42" s="95" t="s">
        <v>116</v>
      </c>
      <c r="E42" s="95"/>
      <c r="F42" s="12"/>
      <c r="G42" s="138">
        <f>770/79474</f>
        <v>9.6887032236957996E-3</v>
      </c>
      <c r="H42" s="138"/>
      <c r="I42" s="138"/>
      <c r="J42" s="91">
        <v>-532</v>
      </c>
      <c r="K42" s="91"/>
      <c r="L42" s="12"/>
      <c r="M42" s="140">
        <f>532/7072</f>
        <v>7.5226244343891399E-2</v>
      </c>
      <c r="N42" s="140"/>
      <c r="O42" s="140"/>
      <c r="P42" s="91" t="s">
        <v>117</v>
      </c>
      <c r="Q42" s="91"/>
      <c r="R42" s="12"/>
      <c r="S42" s="142">
        <f>283/67161</f>
        <v>4.2137550066258696E-3</v>
      </c>
      <c r="T42" s="142"/>
      <c r="U42" s="142"/>
    </row>
    <row r="43" spans="1:21" ht="16.5" thickBot="1" x14ac:dyDescent="0.3">
      <c r="A43" s="120" t="s">
        <v>118</v>
      </c>
      <c r="B43" s="120"/>
      <c r="C43" s="120"/>
      <c r="D43" s="81" t="s">
        <v>119</v>
      </c>
      <c r="E43" s="81"/>
      <c r="F43" s="11"/>
      <c r="G43" s="139">
        <f>22/79474</f>
        <v>2.7682009210559431E-4</v>
      </c>
      <c r="H43" s="139"/>
      <c r="I43" s="139"/>
      <c r="J43" s="83">
        <v>-1</v>
      </c>
      <c r="K43" s="83"/>
      <c r="L43" s="11"/>
      <c r="M43" s="141">
        <f>1/70372</f>
        <v>1.4210197237537657E-5</v>
      </c>
      <c r="N43" s="141"/>
      <c r="O43" s="141"/>
      <c r="P43" s="83">
        <v>-2</v>
      </c>
      <c r="Q43" s="83"/>
      <c r="R43" s="11"/>
      <c r="S43" s="144">
        <f>2/67161</f>
        <v>2.9779187325977874E-5</v>
      </c>
      <c r="T43" s="144"/>
      <c r="U43" s="144"/>
    </row>
    <row r="44" spans="1:21" ht="16.5" thickBot="1" x14ac:dyDescent="0.3">
      <c r="A44" s="116"/>
      <c r="B44" s="116"/>
      <c r="C44" s="116"/>
      <c r="D44" s="121" t="s">
        <v>120</v>
      </c>
      <c r="E44" s="121"/>
      <c r="F44" s="8"/>
      <c r="G44" s="138">
        <f>578/79474</f>
        <v>7.2728187835015227E-3</v>
      </c>
      <c r="H44" s="138"/>
      <c r="I44" s="138"/>
      <c r="J44" s="122">
        <v>-1176</v>
      </c>
      <c r="K44" s="122"/>
      <c r="L44" s="8"/>
      <c r="M44" s="140">
        <f>1176/70372</f>
        <v>1.6711191951344285E-2</v>
      </c>
      <c r="N44" s="140"/>
      <c r="O44" s="140"/>
      <c r="P44" s="123" t="s">
        <v>121</v>
      </c>
      <c r="Q44" s="123"/>
      <c r="R44" s="8"/>
      <c r="S44" s="142">
        <f>819/67161</f>
        <v>1.219457720998794E-2</v>
      </c>
      <c r="T44" s="142"/>
      <c r="U44" s="142"/>
    </row>
    <row r="45" spans="1:21" ht="15.75" customHeight="1" x14ac:dyDescent="0.25">
      <c r="A45" s="120" t="s">
        <v>122</v>
      </c>
      <c r="B45" s="120"/>
      <c r="C45" s="120"/>
      <c r="D45" s="93" t="s">
        <v>123</v>
      </c>
      <c r="E45" s="93"/>
      <c r="F45" s="69"/>
      <c r="G45" s="139">
        <f>8257/79474</f>
        <v>0.10389561365981327</v>
      </c>
      <c r="H45" s="139"/>
      <c r="I45" s="139"/>
      <c r="J45" s="94" t="s">
        <v>124</v>
      </c>
      <c r="K45" s="94"/>
      <c r="L45" s="69"/>
      <c r="M45" s="141">
        <f>5999/70372</f>
        <v>8.524697322798841E-2</v>
      </c>
      <c r="N45" s="141"/>
      <c r="O45" s="141"/>
      <c r="P45" s="94" t="s">
        <v>125</v>
      </c>
      <c r="Q45" s="94"/>
      <c r="R45" s="69"/>
      <c r="S45" s="144">
        <f>8172/67161</f>
        <v>0.1216777594139456</v>
      </c>
      <c r="T45" s="144"/>
      <c r="U45" s="144"/>
    </row>
    <row r="46" spans="1:21" ht="47.25" customHeight="1" thickBot="1" x14ac:dyDescent="0.3">
      <c r="A46" s="119" t="s">
        <v>126</v>
      </c>
      <c r="B46" s="119"/>
      <c r="C46" s="119"/>
      <c r="D46" s="96" t="s">
        <v>83</v>
      </c>
      <c r="E46" s="96"/>
      <c r="F46" s="12"/>
      <c r="G46" s="138">
        <f>61/79474</f>
        <v>7.6754661902005692E-4</v>
      </c>
      <c r="H46" s="138"/>
      <c r="I46" s="138"/>
      <c r="J46" s="92" t="s">
        <v>84</v>
      </c>
      <c r="K46" s="92"/>
      <c r="L46" s="12"/>
      <c r="M46" s="140">
        <f>55/70372</f>
        <v>7.8156084806457109E-4</v>
      </c>
      <c r="N46" s="140"/>
      <c r="O46" s="140"/>
      <c r="P46" s="92" t="s">
        <v>85</v>
      </c>
      <c r="Q46" s="92"/>
      <c r="R46" s="12"/>
      <c r="S46" s="142">
        <f>39/67161</f>
        <v>5.8069415285656853E-4</v>
      </c>
      <c r="T46" s="142"/>
      <c r="U46" s="142"/>
    </row>
    <row r="47" spans="1:21" ht="31.5" customHeight="1" thickBot="1" x14ac:dyDescent="0.35">
      <c r="A47" s="124" t="s">
        <v>127</v>
      </c>
      <c r="B47" s="124"/>
      <c r="C47" s="124"/>
      <c r="D47" s="109" t="s">
        <v>5</v>
      </c>
      <c r="E47" s="110" t="s">
        <v>128</v>
      </c>
      <c r="F47" s="111"/>
      <c r="G47" s="131">
        <f>8196/79474</f>
        <v>0.10312806704079322</v>
      </c>
      <c r="H47" s="131"/>
      <c r="I47" s="131"/>
      <c r="J47" s="112" t="s">
        <v>5</v>
      </c>
      <c r="K47" s="113" t="s">
        <v>129</v>
      </c>
      <c r="L47" s="111"/>
      <c r="M47" s="131">
        <f>5944/70372</f>
        <v>8.4465412379923832E-2</v>
      </c>
      <c r="N47" s="131"/>
      <c r="O47" s="131"/>
      <c r="P47" s="112" t="s">
        <v>5</v>
      </c>
      <c r="Q47" s="113" t="s">
        <v>130</v>
      </c>
      <c r="S47" s="145">
        <f>8133/67161</f>
        <v>0.12109706526108903</v>
      </c>
      <c r="T47" s="145"/>
      <c r="U47" s="145"/>
    </row>
    <row r="48" spans="1:21" ht="15.75" thickTop="1" x14ac:dyDescent="0.25"/>
  </sheetData>
  <mergeCells count="200">
    <mergeCell ref="S47:U47"/>
    <mergeCell ref="S41:U41"/>
    <mergeCell ref="S42:U42"/>
    <mergeCell ref="S43:U43"/>
    <mergeCell ref="S44:U44"/>
    <mergeCell ref="S45:U45"/>
    <mergeCell ref="S46:U46"/>
    <mergeCell ref="S25:U25"/>
    <mergeCell ref="S26:U26"/>
    <mergeCell ref="S37:U37"/>
    <mergeCell ref="S38:U38"/>
    <mergeCell ref="S40:U40"/>
    <mergeCell ref="S19:U19"/>
    <mergeCell ref="S20:U20"/>
    <mergeCell ref="S21:U21"/>
    <mergeCell ref="S22:U22"/>
    <mergeCell ref="S23:U23"/>
    <mergeCell ref="S24:U24"/>
    <mergeCell ref="S13:U13"/>
    <mergeCell ref="S14:U14"/>
    <mergeCell ref="S15:U15"/>
    <mergeCell ref="S16:U16"/>
    <mergeCell ref="S17:U17"/>
    <mergeCell ref="S18:U18"/>
    <mergeCell ref="S7:U7"/>
    <mergeCell ref="S8:U8"/>
    <mergeCell ref="S9:U9"/>
    <mergeCell ref="S10:U10"/>
    <mergeCell ref="S11:U11"/>
    <mergeCell ref="A47:C47"/>
    <mergeCell ref="G47:I47"/>
    <mergeCell ref="M47:O47"/>
    <mergeCell ref="A32:P32"/>
    <mergeCell ref="A33:P33"/>
    <mergeCell ref="A34:P34"/>
    <mergeCell ref="A35:P35"/>
    <mergeCell ref="A46:C46"/>
    <mergeCell ref="D46:E46"/>
    <mergeCell ref="G46:I46"/>
    <mergeCell ref="J46:K46"/>
    <mergeCell ref="M46:O46"/>
    <mergeCell ref="P46:Q46"/>
    <mergeCell ref="A45:C45"/>
    <mergeCell ref="D45:E45"/>
    <mergeCell ref="G45:I45"/>
    <mergeCell ref="J45:K45"/>
    <mergeCell ref="M45:O45"/>
    <mergeCell ref="P45:Q45"/>
    <mergeCell ref="A44:C44"/>
    <mergeCell ref="D44:E44"/>
    <mergeCell ref="G44:I44"/>
    <mergeCell ref="J44:K44"/>
    <mergeCell ref="M44:O44"/>
    <mergeCell ref="P44:Q44"/>
    <mergeCell ref="A43:C43"/>
    <mergeCell ref="D43:E43"/>
    <mergeCell ref="G43:I43"/>
    <mergeCell ref="J43:K43"/>
    <mergeCell ref="M43:O43"/>
    <mergeCell ref="P43:Q43"/>
    <mergeCell ref="A42:C42"/>
    <mergeCell ref="D42:E42"/>
    <mergeCell ref="G42:I42"/>
    <mergeCell ref="J42:K42"/>
    <mergeCell ref="M42:O42"/>
    <mergeCell ref="P42:Q42"/>
    <mergeCell ref="A41:C41"/>
    <mergeCell ref="D41:E41"/>
    <mergeCell ref="G41:I41"/>
    <mergeCell ref="J41:K41"/>
    <mergeCell ref="M41:O41"/>
    <mergeCell ref="P41:Q41"/>
    <mergeCell ref="P39:R39"/>
    <mergeCell ref="A40:C40"/>
    <mergeCell ref="D40:E40"/>
    <mergeCell ref="G40:I40"/>
    <mergeCell ref="J40:K40"/>
    <mergeCell ref="M40:O40"/>
    <mergeCell ref="P40:Q40"/>
    <mergeCell ref="A38:C38"/>
    <mergeCell ref="G38:I38"/>
    <mergeCell ref="M38:O38"/>
    <mergeCell ref="A39:C39"/>
    <mergeCell ref="D39:F39"/>
    <mergeCell ref="G39:I39"/>
    <mergeCell ref="J39:L39"/>
    <mergeCell ref="M39:O39"/>
    <mergeCell ref="A37:C37"/>
    <mergeCell ref="D37:F37"/>
    <mergeCell ref="G37:I37"/>
    <mergeCell ref="J37:L37"/>
    <mergeCell ref="M37:O37"/>
    <mergeCell ref="P37:R37"/>
    <mergeCell ref="A28:C28"/>
    <mergeCell ref="A1:P1"/>
    <mergeCell ref="A2:P2"/>
    <mergeCell ref="A3:P3"/>
    <mergeCell ref="A4:P4"/>
    <mergeCell ref="A29:R29"/>
    <mergeCell ref="A26:C26"/>
    <mergeCell ref="D26:E26"/>
    <mergeCell ref="G26:I26"/>
    <mergeCell ref="J26:K26"/>
    <mergeCell ref="M26:O26"/>
    <mergeCell ref="P26:Q26"/>
    <mergeCell ref="A25:C25"/>
    <mergeCell ref="D25:E25"/>
    <mergeCell ref="G25:I25"/>
    <mergeCell ref="J25:K25"/>
    <mergeCell ref="M25:O25"/>
    <mergeCell ref="P25:Q25"/>
    <mergeCell ref="A24:C24"/>
    <mergeCell ref="D24:F24"/>
    <mergeCell ref="G24:I24"/>
    <mergeCell ref="J24:L24"/>
    <mergeCell ref="M24:O24"/>
    <mergeCell ref="P24:R24"/>
    <mergeCell ref="P21:R21"/>
    <mergeCell ref="A22:C22"/>
    <mergeCell ref="G22:I22"/>
    <mergeCell ref="M22:O22"/>
    <mergeCell ref="A23:C23"/>
    <mergeCell ref="G23:I23"/>
    <mergeCell ref="M23:O23"/>
    <mergeCell ref="A20:C20"/>
    <mergeCell ref="G20:I20"/>
    <mergeCell ref="M20:O20"/>
    <mergeCell ref="A21:C21"/>
    <mergeCell ref="D21:F21"/>
    <mergeCell ref="G21:I21"/>
    <mergeCell ref="J21:L21"/>
    <mergeCell ref="M21:O21"/>
    <mergeCell ref="A19:C19"/>
    <mergeCell ref="D19:E19"/>
    <mergeCell ref="G19:I19"/>
    <mergeCell ref="J19:K19"/>
    <mergeCell ref="M19:O19"/>
    <mergeCell ref="P19:Q19"/>
    <mergeCell ref="A18:C18"/>
    <mergeCell ref="D18:E18"/>
    <mergeCell ref="G18:I18"/>
    <mergeCell ref="J18:K18"/>
    <mergeCell ref="M18:O18"/>
    <mergeCell ref="P18:Q18"/>
    <mergeCell ref="A17:C17"/>
    <mergeCell ref="D17:E17"/>
    <mergeCell ref="G17:I17"/>
    <mergeCell ref="J17:K17"/>
    <mergeCell ref="M17:O17"/>
    <mergeCell ref="P17:Q17"/>
    <mergeCell ref="A16:C16"/>
    <mergeCell ref="D16:E16"/>
    <mergeCell ref="G16:I16"/>
    <mergeCell ref="J16:K16"/>
    <mergeCell ref="M16:O16"/>
    <mergeCell ref="P16:Q16"/>
    <mergeCell ref="A15:C15"/>
    <mergeCell ref="D15:E15"/>
    <mergeCell ref="G15:I15"/>
    <mergeCell ref="J15:K15"/>
    <mergeCell ref="M15:O15"/>
    <mergeCell ref="P15:Q15"/>
    <mergeCell ref="A14:C14"/>
    <mergeCell ref="D14:E14"/>
    <mergeCell ref="G14:I14"/>
    <mergeCell ref="J14:K14"/>
    <mergeCell ref="M14:O14"/>
    <mergeCell ref="P14:Q14"/>
    <mergeCell ref="A13:C13"/>
    <mergeCell ref="D13:E13"/>
    <mergeCell ref="G13:I13"/>
    <mergeCell ref="J13:K13"/>
    <mergeCell ref="M13:O13"/>
    <mergeCell ref="P13:Q13"/>
    <mergeCell ref="A11:C11"/>
    <mergeCell ref="D11:E11"/>
    <mergeCell ref="G11:I11"/>
    <mergeCell ref="J11:K11"/>
    <mergeCell ref="M11:O11"/>
    <mergeCell ref="P11:Q11"/>
    <mergeCell ref="P9:Q9"/>
    <mergeCell ref="A10:C10"/>
    <mergeCell ref="G10:I10"/>
    <mergeCell ref="J10:K10"/>
    <mergeCell ref="M10:O10"/>
    <mergeCell ref="P10:Q10"/>
    <mergeCell ref="A8:C8"/>
    <mergeCell ref="G8:I8"/>
    <mergeCell ref="M8:O8"/>
    <mergeCell ref="A9:C9"/>
    <mergeCell ref="D9:E9"/>
    <mergeCell ref="G9:I9"/>
    <mergeCell ref="J9:K9"/>
    <mergeCell ref="M9:O9"/>
    <mergeCell ref="A7:C7"/>
    <mergeCell ref="D7:F7"/>
    <mergeCell ref="G7:I7"/>
    <mergeCell ref="J7:L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Loza</dc:creator>
  <cp:lastModifiedBy>John Loza</cp:lastModifiedBy>
  <dcterms:created xsi:type="dcterms:W3CDTF">2023-01-29T18:56:02Z</dcterms:created>
  <dcterms:modified xsi:type="dcterms:W3CDTF">2023-01-29T21:09:55Z</dcterms:modified>
</cp:coreProperties>
</file>