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500" tabRatio="500" activeTab="1"/>
  </bookViews>
  <sheets>
    <sheet name="Section Properties" sheetId="2" r:id="rId1"/>
    <sheet name="Post-Tensioning" sheetId="1" r:id="rId2"/>
    <sheet name="Deck Design" sheetId="3" r:id="rId3"/>
    <sheet name="Overhang Design" sheetId="4" r:id="rId4"/>
    <sheet name="Shear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" l="1"/>
  <c r="F49" i="2"/>
  <c r="B53" i="2"/>
  <c r="B51" i="2"/>
  <c r="F6" i="5"/>
  <c r="F7" i="5"/>
  <c r="F8" i="5"/>
  <c r="B3" i="5"/>
  <c r="B5" i="5"/>
  <c r="B27" i="5"/>
  <c r="F5" i="5"/>
  <c r="F9" i="5"/>
  <c r="B29" i="5"/>
  <c r="B31" i="5"/>
  <c r="B30" i="5"/>
  <c r="B32" i="5"/>
  <c r="B33" i="5"/>
  <c r="B28" i="5"/>
  <c r="B34" i="5"/>
  <c r="F12" i="1"/>
  <c r="J43" i="1"/>
  <c r="J44" i="1"/>
  <c r="J46" i="1"/>
  <c r="J45" i="1"/>
  <c r="J47" i="1"/>
  <c r="G22" i="3"/>
  <c r="G45" i="3"/>
  <c r="H45" i="3"/>
  <c r="G46" i="3"/>
  <c r="G47" i="3"/>
  <c r="F4" i="5"/>
  <c r="F3" i="5"/>
  <c r="F14" i="2"/>
  <c r="B21" i="5"/>
  <c r="A24" i="5"/>
  <c r="B23" i="5"/>
  <c r="B22" i="5"/>
  <c r="B18" i="5"/>
  <c r="B14" i="5"/>
  <c r="B13" i="5"/>
  <c r="B12" i="5"/>
  <c r="B11" i="5"/>
  <c r="B10" i="5"/>
  <c r="B9" i="5"/>
  <c r="B8" i="5"/>
  <c r="B4" i="5"/>
  <c r="G61" i="3"/>
  <c r="G65" i="3"/>
  <c r="G62" i="3"/>
  <c r="G64" i="3"/>
  <c r="G58" i="3"/>
  <c r="G59" i="3"/>
  <c r="G57" i="3"/>
  <c r="F8" i="3"/>
  <c r="F7" i="3"/>
  <c r="B13" i="2"/>
  <c r="C65" i="3"/>
  <c r="B69" i="3"/>
  <c r="C72" i="3"/>
  <c r="B76" i="3"/>
  <c r="C75" i="3"/>
  <c r="C74" i="3"/>
  <c r="C73" i="3"/>
  <c r="C68" i="3"/>
  <c r="C66" i="3"/>
  <c r="C67" i="3"/>
  <c r="G21" i="3"/>
  <c r="F3" i="4"/>
  <c r="F46" i="4"/>
  <c r="F4" i="4"/>
  <c r="F2" i="4"/>
  <c r="F47" i="4"/>
  <c r="F49" i="4"/>
  <c r="G49" i="4"/>
  <c r="F50" i="4"/>
  <c r="F48" i="4"/>
  <c r="F51" i="4"/>
  <c r="I57" i="4"/>
  <c r="I56" i="4"/>
  <c r="J55" i="4"/>
  <c r="J54" i="4"/>
  <c r="J53" i="4"/>
  <c r="J46" i="4"/>
  <c r="J47" i="4"/>
  <c r="J48" i="4"/>
  <c r="J49" i="4"/>
  <c r="J50" i="4"/>
  <c r="I51" i="4"/>
  <c r="F5" i="4"/>
  <c r="J45" i="4"/>
  <c r="F24" i="4"/>
  <c r="F36" i="4"/>
  <c r="E37" i="4"/>
  <c r="B5" i="4"/>
  <c r="J44" i="4"/>
  <c r="J43" i="4"/>
  <c r="J42" i="4"/>
  <c r="J41" i="4"/>
  <c r="B59" i="4"/>
  <c r="B58" i="4"/>
  <c r="B57" i="4"/>
  <c r="B56" i="4"/>
  <c r="B55" i="4"/>
  <c r="B54" i="4"/>
  <c r="B53" i="4"/>
  <c r="B52" i="4"/>
  <c r="E57" i="4"/>
  <c r="F56" i="4"/>
  <c r="F55" i="4"/>
  <c r="F54" i="4"/>
  <c r="E52" i="4"/>
  <c r="F44" i="4"/>
  <c r="F43" i="4"/>
  <c r="F42" i="4"/>
  <c r="F41" i="4"/>
  <c r="B46" i="4"/>
  <c r="B47" i="4"/>
  <c r="B45" i="4"/>
  <c r="B43" i="4"/>
  <c r="B44" i="4"/>
  <c r="L12" i="4"/>
  <c r="L18" i="4"/>
  <c r="L19" i="4"/>
  <c r="L20" i="4"/>
  <c r="C5" i="3"/>
  <c r="C14" i="3"/>
  <c r="L14" i="4"/>
  <c r="C15" i="3"/>
  <c r="L15" i="4"/>
  <c r="L17" i="4"/>
  <c r="K21" i="4"/>
  <c r="L16" i="4"/>
  <c r="I12" i="4"/>
  <c r="F11" i="4"/>
  <c r="L11" i="4"/>
  <c r="L10" i="4"/>
  <c r="L9" i="4"/>
  <c r="I21" i="4"/>
  <c r="I22" i="4"/>
  <c r="I23" i="4"/>
  <c r="H24" i="4"/>
  <c r="I20" i="4"/>
  <c r="I19" i="4"/>
  <c r="I18" i="4"/>
  <c r="I17" i="4"/>
  <c r="I16" i="4"/>
  <c r="I15" i="4"/>
  <c r="I14" i="4"/>
  <c r="I11" i="4"/>
  <c r="I10" i="4"/>
  <c r="I9" i="4"/>
  <c r="F35" i="4"/>
  <c r="B2" i="4"/>
  <c r="F34" i="4"/>
  <c r="F33" i="4"/>
  <c r="F31" i="4"/>
  <c r="F30" i="4"/>
  <c r="F29" i="4"/>
  <c r="B39" i="4"/>
  <c r="F28" i="4"/>
  <c r="F27" i="4"/>
  <c r="F26" i="4"/>
  <c r="B7" i="4"/>
  <c r="F23" i="4"/>
  <c r="F22" i="4"/>
  <c r="F21" i="4"/>
  <c r="F20" i="4"/>
  <c r="F19" i="4"/>
  <c r="F18" i="4"/>
  <c r="F17" i="4"/>
  <c r="F16" i="4"/>
  <c r="F15" i="4"/>
  <c r="F14" i="4"/>
  <c r="F13" i="4"/>
  <c r="F12" i="4"/>
  <c r="B14" i="4"/>
  <c r="B12" i="4"/>
  <c r="F10" i="4"/>
  <c r="F9" i="4"/>
  <c r="B38" i="4"/>
  <c r="B37" i="4"/>
  <c r="B36" i="4"/>
  <c r="B35" i="4"/>
  <c r="B33" i="4"/>
  <c r="B32" i="4"/>
  <c r="B31" i="4"/>
  <c r="B30" i="4"/>
  <c r="B28" i="4"/>
  <c r="B27" i="4"/>
  <c r="B26" i="4"/>
  <c r="B25" i="4"/>
  <c r="B24" i="4"/>
  <c r="B23" i="4"/>
  <c r="B21" i="4"/>
  <c r="B20" i="4"/>
  <c r="B19" i="4"/>
  <c r="B18" i="4"/>
  <c r="B17" i="4"/>
  <c r="B10" i="4"/>
  <c r="B9" i="4"/>
  <c r="B8" i="4"/>
  <c r="B16" i="4"/>
  <c r="C57" i="3"/>
  <c r="C58" i="3"/>
  <c r="C25" i="3"/>
  <c r="C59" i="3"/>
  <c r="B62" i="3"/>
  <c r="C61" i="3"/>
  <c r="C56" i="3"/>
  <c r="G25" i="3"/>
  <c r="G43" i="3"/>
  <c r="G19" i="3"/>
  <c r="G44" i="3"/>
  <c r="G50" i="3"/>
  <c r="G52" i="3"/>
  <c r="F53" i="3"/>
  <c r="G51" i="3"/>
  <c r="C51" i="3"/>
  <c r="G14" i="3"/>
  <c r="G15" i="3"/>
  <c r="G16" i="3"/>
  <c r="G42" i="3"/>
  <c r="F48" i="3"/>
  <c r="G26" i="3"/>
  <c r="G27" i="3"/>
  <c r="G28" i="3"/>
  <c r="G29" i="3"/>
  <c r="G18" i="3"/>
  <c r="G30" i="3"/>
  <c r="G35" i="3"/>
  <c r="G36" i="3"/>
  <c r="G37" i="3"/>
  <c r="G38" i="3"/>
  <c r="G39" i="3"/>
  <c r="F40" i="3"/>
  <c r="C35" i="3"/>
  <c r="C19" i="3"/>
  <c r="C21" i="3"/>
  <c r="C36" i="3"/>
  <c r="C37" i="3"/>
  <c r="C38" i="3"/>
  <c r="C16" i="3"/>
  <c r="C18" i="3"/>
  <c r="C22" i="3"/>
  <c r="C26" i="3"/>
  <c r="C27" i="3"/>
  <c r="C28" i="3"/>
  <c r="C29" i="3"/>
  <c r="C30" i="3"/>
  <c r="C39" i="3"/>
  <c r="C33" i="3"/>
  <c r="C34" i="3"/>
  <c r="C32" i="3"/>
  <c r="D34" i="3"/>
  <c r="G33" i="3"/>
  <c r="G34" i="3"/>
  <c r="G32" i="3"/>
  <c r="H34" i="3"/>
  <c r="H30" i="3"/>
  <c r="F31" i="3"/>
  <c r="G23" i="3"/>
  <c r="H25" i="3"/>
  <c r="C43" i="3"/>
  <c r="C45" i="3"/>
  <c r="D45" i="3"/>
  <c r="C46" i="3"/>
  <c r="C44" i="3"/>
  <c r="C47" i="3"/>
  <c r="C50" i="3"/>
  <c r="C52" i="3"/>
  <c r="B53" i="3"/>
  <c r="B48" i="3"/>
  <c r="F5" i="3"/>
  <c r="F4" i="3"/>
  <c r="F3" i="3"/>
  <c r="C42" i="3"/>
  <c r="B40" i="3"/>
  <c r="C24" i="3"/>
  <c r="F2" i="3"/>
  <c r="D30" i="3"/>
  <c r="B31" i="3"/>
  <c r="C4" i="3"/>
  <c r="C23" i="3"/>
  <c r="D25" i="3"/>
  <c r="C11" i="3"/>
  <c r="C10" i="3"/>
  <c r="I72" i="1"/>
  <c r="B10" i="1"/>
  <c r="F13" i="1"/>
  <c r="J57" i="1"/>
  <c r="J58" i="1"/>
  <c r="J62" i="1"/>
  <c r="K62" i="1"/>
  <c r="J63" i="1"/>
  <c r="J60" i="1"/>
  <c r="J59" i="1"/>
  <c r="J61" i="1"/>
  <c r="J64" i="1"/>
  <c r="B11" i="1"/>
  <c r="F8" i="1"/>
  <c r="F18" i="1"/>
  <c r="F38" i="1"/>
  <c r="F5" i="1"/>
  <c r="F4" i="1"/>
  <c r="J67" i="1"/>
  <c r="J66" i="1"/>
  <c r="J68" i="1"/>
  <c r="L68" i="1"/>
  <c r="H70" i="1"/>
  <c r="I75" i="1"/>
  <c r="I76" i="1"/>
  <c r="I77" i="1"/>
  <c r="I73" i="1"/>
  <c r="I81" i="1"/>
  <c r="J81" i="1"/>
  <c r="I82" i="1"/>
  <c r="I79" i="1"/>
  <c r="I78" i="1"/>
  <c r="I80" i="1"/>
  <c r="I83" i="1"/>
  <c r="J65" i="1"/>
  <c r="I85" i="1"/>
  <c r="I84" i="1"/>
  <c r="B18" i="2"/>
  <c r="G28" i="2"/>
  <c r="C30" i="2"/>
  <c r="C29" i="2"/>
  <c r="B22" i="2"/>
  <c r="D22" i="2"/>
  <c r="F7" i="1"/>
  <c r="D19" i="2"/>
  <c r="D20" i="2"/>
  <c r="D21" i="2"/>
  <c r="J39" i="1"/>
  <c r="B18" i="1"/>
  <c r="B38" i="1"/>
  <c r="J38" i="1"/>
  <c r="J34" i="1"/>
  <c r="J33" i="1"/>
  <c r="J29" i="1"/>
  <c r="J28" i="1"/>
  <c r="L28" i="1"/>
  <c r="J20" i="1"/>
  <c r="L20" i="1"/>
  <c r="J24" i="1"/>
  <c r="J26" i="1"/>
  <c r="J16" i="1"/>
  <c r="J18" i="1"/>
  <c r="J12" i="1"/>
  <c r="J11" i="1"/>
  <c r="J8" i="1"/>
  <c r="J7" i="1"/>
  <c r="F31" i="1"/>
  <c r="F6" i="1"/>
  <c r="F19" i="1"/>
  <c r="F20" i="1"/>
  <c r="F22" i="1"/>
  <c r="F25" i="1"/>
  <c r="B31" i="1"/>
  <c r="B19" i="1"/>
  <c r="B20" i="1"/>
  <c r="B22" i="1"/>
  <c r="B25" i="1"/>
  <c r="F23" i="1"/>
  <c r="B23" i="1"/>
  <c r="J50" i="1"/>
  <c r="J53" i="1"/>
  <c r="J52" i="1"/>
  <c r="J54" i="1"/>
  <c r="L54" i="1"/>
  <c r="B54" i="2"/>
  <c r="L64" i="1"/>
  <c r="J51" i="1"/>
  <c r="L50" i="1"/>
  <c r="J48" i="1"/>
  <c r="K48" i="1"/>
  <c r="J49" i="1"/>
  <c r="K58" i="1"/>
  <c r="K44" i="1"/>
  <c r="J56" i="1"/>
  <c r="J42" i="1"/>
  <c r="C31" i="2"/>
  <c r="B17" i="2"/>
  <c r="B4" i="2"/>
  <c r="B5" i="2"/>
  <c r="F9" i="1"/>
  <c r="G8" i="2"/>
  <c r="G9" i="2"/>
  <c r="G10" i="2"/>
  <c r="F43" i="2"/>
  <c r="F42" i="2"/>
  <c r="G39" i="2"/>
  <c r="G38" i="2"/>
  <c r="G37" i="2"/>
  <c r="G36" i="2"/>
  <c r="G35" i="2"/>
  <c r="G34" i="2"/>
  <c r="G33" i="2"/>
  <c r="G32" i="2"/>
  <c r="G31" i="2"/>
  <c r="G30" i="2"/>
  <c r="G29" i="2"/>
  <c r="G27" i="2"/>
  <c r="G26" i="2"/>
  <c r="B15" i="2"/>
  <c r="G4" i="2"/>
  <c r="G5" i="2"/>
  <c r="G6" i="2"/>
  <c r="B49" i="2"/>
  <c r="B55" i="2"/>
  <c r="B50" i="2"/>
  <c r="B14" i="2"/>
  <c r="B16" i="2"/>
  <c r="C44" i="2"/>
  <c r="C46" i="2"/>
  <c r="C45" i="2"/>
  <c r="C41" i="2"/>
  <c r="C43" i="2"/>
  <c r="C42" i="2"/>
  <c r="C38" i="2"/>
  <c r="C40" i="2"/>
  <c r="C39" i="2"/>
  <c r="C35" i="2"/>
  <c r="C37" i="2"/>
  <c r="C36" i="2"/>
  <c r="C33" i="2"/>
  <c r="C34" i="2"/>
  <c r="C32" i="2"/>
  <c r="C28" i="2"/>
  <c r="C26" i="2"/>
  <c r="B7" i="2"/>
  <c r="B6" i="2"/>
  <c r="B1" i="2"/>
  <c r="B2" i="2"/>
  <c r="B3" i="2"/>
  <c r="F26" i="1"/>
  <c r="F32" i="1"/>
  <c r="F35" i="1"/>
  <c r="F37" i="1"/>
  <c r="B26" i="1"/>
  <c r="B32" i="1"/>
  <c r="B35" i="1"/>
  <c r="B37" i="1"/>
  <c r="F29" i="1"/>
  <c r="F17" i="1"/>
  <c r="L33" i="1"/>
  <c r="L34" i="1"/>
  <c r="L39" i="1"/>
  <c r="L38" i="1"/>
  <c r="B4" i="1"/>
  <c r="B7" i="1"/>
  <c r="J32" i="1"/>
  <c r="J27" i="1"/>
  <c r="L29" i="1"/>
  <c r="J21" i="1"/>
  <c r="J25" i="1"/>
  <c r="L26" i="1"/>
  <c r="J23" i="1"/>
  <c r="L24" i="1"/>
  <c r="J19" i="1"/>
  <c r="L21" i="1"/>
  <c r="J17" i="1"/>
  <c r="L18" i="1"/>
  <c r="J15" i="1"/>
  <c r="L16" i="1"/>
  <c r="F11" i="1"/>
  <c r="J4" i="1"/>
  <c r="L12" i="1"/>
  <c r="L11" i="1"/>
  <c r="L8" i="1"/>
  <c r="L7" i="1"/>
  <c r="B6" i="1"/>
  <c r="B17" i="1"/>
  <c r="B29" i="1"/>
  <c r="B13" i="1"/>
  <c r="B12" i="1"/>
  <c r="B5" i="1"/>
</calcChain>
</file>

<file path=xl/sharedStrings.xml><?xml version="1.0" encoding="utf-8"?>
<sst xmlns="http://schemas.openxmlformats.org/spreadsheetml/2006/main" count="992" uniqueCount="358">
  <si>
    <t>f_pj</t>
  </si>
  <si>
    <t># Strands</t>
  </si>
  <si>
    <t>0.6" Strand</t>
  </si>
  <si>
    <t>A_ps</t>
  </si>
  <si>
    <t>P_j</t>
  </si>
  <si>
    <t>Type</t>
  </si>
  <si>
    <t>f_pu</t>
  </si>
  <si>
    <t>f_py</t>
  </si>
  <si>
    <t>E_p</t>
  </si>
  <si>
    <t>ksi</t>
  </si>
  <si>
    <t>in^2</t>
  </si>
  <si>
    <t>kips</t>
  </si>
  <si>
    <t>k</t>
  </si>
  <si>
    <t>mu</t>
  </si>
  <si>
    <t>Girder Properties</t>
  </si>
  <si>
    <t>I</t>
  </si>
  <si>
    <t>A</t>
  </si>
  <si>
    <t>r^2</t>
  </si>
  <si>
    <t>in^4</t>
  </si>
  <si>
    <t>in</t>
  </si>
  <si>
    <t>Vol/Area</t>
  </si>
  <si>
    <t>N</t>
  </si>
  <si>
    <t>e</t>
  </si>
  <si>
    <t>A_ps(r^2+e^2)</t>
  </si>
  <si>
    <t>(I*E_ci*2N)/E_p*(N-1)</t>
  </si>
  <si>
    <t>E_ci</t>
  </si>
  <si>
    <t>Elastic Short., delta_f_pes</t>
  </si>
  <si>
    <t>FC_es</t>
  </si>
  <si>
    <t>f_cgy</t>
  </si>
  <si>
    <t>delta_f_pes</t>
  </si>
  <si>
    <t>Shrinkage (40% hum)</t>
  </si>
  <si>
    <t>delta_psr</t>
  </si>
  <si>
    <t>delta_f_cgp</t>
  </si>
  <si>
    <t>delta_f_pcr</t>
  </si>
  <si>
    <t>Relaxation</t>
  </si>
  <si>
    <t>delta_f_pr2</t>
  </si>
  <si>
    <t>Final Loss</t>
  </si>
  <si>
    <t>FC_f</t>
  </si>
  <si>
    <t>Verfiy Initial Conc. Strength</t>
  </si>
  <si>
    <t>f_ci</t>
  </si>
  <si>
    <t>y_b</t>
  </si>
  <si>
    <t>Allow. Comp.</t>
  </si>
  <si>
    <t>Bot. Fiber</t>
  </si>
  <si>
    <t>Top Fiber</t>
  </si>
  <si>
    <t>y_t</t>
  </si>
  <si>
    <t>Stress in Conc. (Over Pier)</t>
  </si>
  <si>
    <t>Prestress Loss (Over Pier)</t>
  </si>
  <si>
    <t>Determine Final Conc. Strength</t>
  </si>
  <si>
    <t>Case II - 0.5*Case I Loads plus LL+IM</t>
  </si>
  <si>
    <t>Allow. Comp. - Case I</t>
  </si>
  <si>
    <t>Allow. Comp. - Case II</t>
  </si>
  <si>
    <t>Allow. Comp. - Case III</t>
  </si>
  <si>
    <t>Wall Slenderness (5.7.4.7.1)</t>
  </si>
  <si>
    <t>Case I - Perm. Loads + Eff. PS</t>
  </si>
  <si>
    <t>Case III - Eff. PS + Perm. Loads + Trans. Loads</t>
  </si>
  <si>
    <t>Over Pier</t>
  </si>
  <si>
    <t>Allow. Tens.</t>
  </si>
  <si>
    <t>Bot. Fiber (0.4 Span 1 &amp; 0.6 Span 2)</t>
  </si>
  <si>
    <t>0.4 Span 1 &amp; 0.6 Span 2</t>
  </si>
  <si>
    <t>Stress in Conc. (0.4 Span 1 &amp; 0.6 Span 2)</t>
  </si>
  <si>
    <t>Prestress Loss (0.4 Span 1 &amp; 0.6 Span 2)</t>
  </si>
  <si>
    <t>Determine Final Conc. Tension - Service III</t>
  </si>
  <si>
    <t>Top Fiber (Over Pier)</t>
  </si>
  <si>
    <t>Check No Tension Under Dead Load &amp; Eff. PS</t>
  </si>
  <si>
    <t>Flexural Resistance (5.7.3)</t>
  </si>
  <si>
    <t>k'</t>
  </si>
  <si>
    <t>d_p</t>
  </si>
  <si>
    <t>c</t>
  </si>
  <si>
    <t>b_top</t>
  </si>
  <si>
    <t>a</t>
  </si>
  <si>
    <t>f_ps</t>
  </si>
  <si>
    <t>M_n</t>
  </si>
  <si>
    <t>phi_M_n</t>
  </si>
  <si>
    <t>ft-k</t>
  </si>
  <si>
    <t>M_u</t>
  </si>
  <si>
    <t>Tensile Strain</t>
  </si>
  <si>
    <t>phi</t>
  </si>
  <si>
    <t>S_c</t>
  </si>
  <si>
    <t>f_cpe</t>
  </si>
  <si>
    <t>1.2M_cr</t>
  </si>
  <si>
    <t>Lane Width</t>
  </si>
  <si>
    <t>Shoulder Width</t>
  </si>
  <si>
    <t>Barrier Width</t>
  </si>
  <si>
    <t>Roadway Width</t>
  </si>
  <si>
    <t>Total Bridge Width</t>
  </si>
  <si>
    <t>t_c</t>
  </si>
  <si>
    <t>L_c</t>
  </si>
  <si>
    <t>ft</t>
  </si>
  <si>
    <t>Web</t>
  </si>
  <si>
    <t>Web Spacing</t>
  </si>
  <si>
    <t>t_slab (top)</t>
  </si>
  <si>
    <t>t_slab (bot)</t>
  </si>
  <si>
    <t>ft^4</t>
  </si>
  <si>
    <t>ft^2</t>
  </si>
  <si>
    <t>Depth</t>
  </si>
  <si>
    <t>Unfactored Moments</t>
  </si>
  <si>
    <t>0.4 Span 1</t>
  </si>
  <si>
    <t>DW</t>
  </si>
  <si>
    <t>Pier</t>
  </si>
  <si>
    <t>0.6 Span 2</t>
  </si>
  <si>
    <t>Superstructure</t>
  </si>
  <si>
    <t>Barrier</t>
  </si>
  <si>
    <t>HL-93 Design Truck</t>
  </si>
  <si>
    <t>HL-93 Design Tandem</t>
  </si>
  <si>
    <t>HL-93 Dual Truck</t>
  </si>
  <si>
    <t>HL-93 Design Lane</t>
  </si>
  <si>
    <t>Distribution Factors</t>
  </si>
  <si>
    <t>Moment</t>
  </si>
  <si>
    <t>One Lane Loaded</t>
  </si>
  <si>
    <t>Two or More</t>
  </si>
  <si>
    <t>Shear</t>
  </si>
  <si>
    <t>N_c</t>
  </si>
  <si>
    <t>Span</t>
  </si>
  <si>
    <t>No. of Design Lanes</t>
  </si>
  <si>
    <t>N_w</t>
  </si>
  <si>
    <t>Factored Moments - Strength I</t>
  </si>
  <si>
    <t>Moment - LL+IM</t>
  </si>
  <si>
    <t>Unfactored Shear</t>
  </si>
  <si>
    <t>1.0 Span 1</t>
  </si>
  <si>
    <t>0.0 Span 2</t>
  </si>
  <si>
    <t>Shear - LL+IM</t>
  </si>
  <si>
    <t>b_bot</t>
  </si>
  <si>
    <t>Bottom Slab Width</t>
  </si>
  <si>
    <t>in^3</t>
  </si>
  <si>
    <t>Try #5 @ 12 in</t>
  </si>
  <si>
    <t>A_s</t>
  </si>
  <si>
    <t>f_y</t>
  </si>
  <si>
    <t>Fillet</t>
  </si>
  <si>
    <t>b</t>
  </si>
  <si>
    <t>b_w</t>
  </si>
  <si>
    <t>d_s</t>
  </si>
  <si>
    <t>Check M_u</t>
  </si>
  <si>
    <t>Check M_cr</t>
  </si>
  <si>
    <t>k-ft</t>
  </si>
  <si>
    <t>Use Strip Method</t>
  </si>
  <si>
    <t>Table A4-1</t>
  </si>
  <si>
    <t>M+</t>
  </si>
  <si>
    <t>M-</t>
  </si>
  <si>
    <t>Positive Moment Design</t>
  </si>
  <si>
    <t>Deck</t>
  </si>
  <si>
    <t>S, eff.</t>
  </si>
  <si>
    <t>Conc. Weight</t>
  </si>
  <si>
    <t>kcf</t>
  </si>
  <si>
    <t>FWS</t>
  </si>
  <si>
    <t>ksf</t>
  </si>
  <si>
    <t>DC Loads, Deck</t>
  </si>
  <si>
    <t>DW Loads, FWS</t>
  </si>
  <si>
    <t>LL+IM</t>
  </si>
  <si>
    <t>ft-k/ft</t>
  </si>
  <si>
    <t>Check Service Limit State</t>
  </si>
  <si>
    <t>M_s</t>
  </si>
  <si>
    <t>Cover</t>
  </si>
  <si>
    <t>d_bar</t>
  </si>
  <si>
    <t>f_s</t>
  </si>
  <si>
    <t>FWS, t</t>
  </si>
  <si>
    <t>p</t>
  </si>
  <si>
    <t>n</t>
  </si>
  <si>
    <t>np</t>
  </si>
  <si>
    <t>j</t>
  </si>
  <si>
    <t>f_sa</t>
  </si>
  <si>
    <t>f'c</t>
  </si>
  <si>
    <t>S_cr</t>
  </si>
  <si>
    <t>y_c</t>
  </si>
  <si>
    <t>d_c</t>
  </si>
  <si>
    <t>Class II Exposure</t>
  </si>
  <si>
    <t>h_net</t>
  </si>
  <si>
    <t>B_s</t>
  </si>
  <si>
    <t>s</t>
  </si>
  <si>
    <t>s_max</t>
  </si>
  <si>
    <t>Check Flexural Resistance</t>
  </si>
  <si>
    <t>B_1</t>
  </si>
  <si>
    <t>Tens. Strain</t>
  </si>
  <si>
    <t>M_r</t>
  </si>
  <si>
    <t>Check Minimum Reinforcing</t>
  </si>
  <si>
    <t>f_r</t>
  </si>
  <si>
    <t>Section Properties</t>
  </si>
  <si>
    <t>Negative Moment Design</t>
  </si>
  <si>
    <t>Try #6 Bars @ 8" C/C</t>
  </si>
  <si>
    <t>Try #6 Bars @ 6" C/C</t>
  </si>
  <si>
    <t>A_s, Approx.</t>
  </si>
  <si>
    <t>f_s, ksi</t>
  </si>
  <si>
    <t>A_s, in^2</t>
  </si>
  <si>
    <t>Distribution Reinforcement</t>
  </si>
  <si>
    <t>A=220/(sqrt(S)) Max</t>
  </si>
  <si>
    <t>220/(sqrt(S))</t>
  </si>
  <si>
    <t>%</t>
  </si>
  <si>
    <t>% Use</t>
  </si>
  <si>
    <t>Use #6 Bars @ 10" C/C</t>
  </si>
  <si>
    <t>Case I Dimensions and Properties</t>
  </si>
  <si>
    <t>Distances</t>
  </si>
  <si>
    <t>Tip Thickness, t_tip</t>
  </si>
  <si>
    <t>Root Thickness, t_c</t>
  </si>
  <si>
    <t>Top Slab Thickness, t_s</t>
  </si>
  <si>
    <t>Edge of Bridge to Location 1</t>
  </si>
  <si>
    <t>Edge of Bridge to Location 2</t>
  </si>
  <si>
    <t>Location 1 to Location 2</t>
  </si>
  <si>
    <t>Location 2 to Location 3</t>
  </si>
  <si>
    <t>R_w to Top of Slab</t>
  </si>
  <si>
    <t>Barrier Load to Face of Barrier</t>
  </si>
  <si>
    <t>TL-5 Rail with 42-in. Height</t>
  </si>
  <si>
    <t>F_r, longitudinal</t>
  </si>
  <si>
    <t>F_t, transverse</t>
  </si>
  <si>
    <t>F_v, vertical down</t>
  </si>
  <si>
    <t>L_t &amp; L_l</t>
  </si>
  <si>
    <t>L_v</t>
  </si>
  <si>
    <t>H_e, min.</t>
  </si>
  <si>
    <t>Barrier Reinforcing</t>
  </si>
  <si>
    <t>A_s (#5 Bar)</t>
  </si>
  <si>
    <t>Rebar Angle</t>
  </si>
  <si>
    <t>degrees</t>
  </si>
  <si>
    <t>Barrier Test Forces (from ADOT)</t>
  </si>
  <si>
    <t>M_b</t>
  </si>
  <si>
    <t>M_c</t>
  </si>
  <si>
    <t>M_w</t>
  </si>
  <si>
    <t>R_w</t>
  </si>
  <si>
    <t>Check R_w</t>
  </si>
  <si>
    <t>B_1 (Barrier)</t>
  </si>
  <si>
    <t>f'c (Barrier)</t>
  </si>
  <si>
    <t>phi*M_n</t>
  </si>
  <si>
    <t>phi*P_u</t>
  </si>
  <si>
    <t>k/ft</t>
  </si>
  <si>
    <t>R_n, Shear</t>
  </si>
  <si>
    <t>Design is Governed by</t>
  </si>
  <si>
    <t>L_b</t>
  </si>
  <si>
    <t>P_u</t>
  </si>
  <si>
    <t>h</t>
  </si>
  <si>
    <t>Moment at Face of Barrier</t>
  </si>
  <si>
    <t>Weight of Superstructure Conc.</t>
  </si>
  <si>
    <t>Deck Sum</t>
  </si>
  <si>
    <t>Barrier Weight</t>
  </si>
  <si>
    <t>Collision</t>
  </si>
  <si>
    <t>d_1</t>
  </si>
  <si>
    <t>Deck Cover</t>
  </si>
  <si>
    <t>T_1 (Force in #6 Bars @ 6" C/C)</t>
  </si>
  <si>
    <t>phi (Axial Tension)</t>
  </si>
  <si>
    <t>Superstructure Conc. Strength, f'c</t>
  </si>
  <si>
    <t>B_1 (Deck)</t>
  </si>
  <si>
    <t>Face of Barrier (Location 1)</t>
  </si>
  <si>
    <t>Exterior Support (Location 2)</t>
  </si>
  <si>
    <t>L_s1</t>
  </si>
  <si>
    <t>Moment at Exterior Support</t>
  </si>
  <si>
    <t>DC, Deck</t>
  </si>
  <si>
    <t>DC, Barrier</t>
  </si>
  <si>
    <t>DC, Sum</t>
  </si>
  <si>
    <t>DC Deck</t>
  </si>
  <si>
    <t>DW, FWS</t>
  </si>
  <si>
    <t>Weight of FWS</t>
  </si>
  <si>
    <t>T_1</t>
  </si>
  <si>
    <t>A_s #6 Bars @ 6" C/C</t>
  </si>
  <si>
    <t>Interior Support (Location 3)</t>
  </si>
  <si>
    <t>L_s2</t>
  </si>
  <si>
    <t>d_#6</t>
  </si>
  <si>
    <t>Moment at Interior Support</t>
  </si>
  <si>
    <t>DC</t>
  </si>
  <si>
    <t>Mild Steel Reinforcement Properties</t>
  </si>
  <si>
    <t>Case II Dimensions and Properties</t>
  </si>
  <si>
    <t>Edge to Far Edge</t>
  </si>
  <si>
    <t>From Collision Load to Outer Edge</t>
  </si>
  <si>
    <t>From Collision Load to Inner Edge</t>
  </si>
  <si>
    <t>Vehicle Collision Load</t>
  </si>
  <si>
    <t>Distribution of Load</t>
  </si>
  <si>
    <t>Moment at Face of Exterior Support</t>
  </si>
  <si>
    <t>Try #6 Bars at 5.5" C/C (Same as Case I)</t>
  </si>
  <si>
    <t>Check Case II - Extreme Event Limit State</t>
  </si>
  <si>
    <t>Check Case I - Service Limit State</t>
  </si>
  <si>
    <t>Check Case III - Strength Limit State</t>
  </si>
  <si>
    <t>Case III Dimensions and Properties</t>
  </si>
  <si>
    <t>From Location 1 to Live Load</t>
  </si>
  <si>
    <t>From Live Load to Location 2</t>
  </si>
  <si>
    <t>From Edge of Bridge to Location 2</t>
  </si>
  <si>
    <t>LL Axle Load</t>
  </si>
  <si>
    <t>Multiple Presence Factor</t>
  </si>
  <si>
    <t>Width of Primary Strip</t>
  </si>
  <si>
    <t>X, Dist. From Location 2 to Live Load</t>
  </si>
  <si>
    <t>M_u - Strength</t>
  </si>
  <si>
    <t>M_u - Service</t>
  </si>
  <si>
    <t>Check Maximum Spacing</t>
  </si>
  <si>
    <t>A_s #6 Bar</t>
  </si>
  <si>
    <t>A_s Provided</t>
  </si>
  <si>
    <t>A_s, Required</t>
  </si>
  <si>
    <t>Spacing</t>
  </si>
  <si>
    <t>Bottom Slab Reinforcement - Longitudinal Direction</t>
  </si>
  <si>
    <t xml:space="preserve">Bottom Slab Reinforcement - Transverse Direction </t>
  </si>
  <si>
    <t>A_s Required</t>
  </si>
  <si>
    <t>Temperature and Shrinkage Reinforcement</t>
  </si>
  <si>
    <t>Exterior Web</t>
  </si>
  <si>
    <t>Angle</t>
  </si>
  <si>
    <t>Dist. from Bot. Slab to OH</t>
  </si>
  <si>
    <t>A_s, Min</t>
  </si>
  <si>
    <t>in^2/ft</t>
  </si>
  <si>
    <t>Top Slab</t>
  </si>
  <si>
    <t>Bottom Slab</t>
  </si>
  <si>
    <t>Use #5 Bars @ 12 in^2/ft</t>
  </si>
  <si>
    <t>d_v</t>
  </si>
  <si>
    <t>Pier Width</t>
  </si>
  <si>
    <t>Critical Shear Location</t>
  </si>
  <si>
    <t>Critical (Measured from Pier)</t>
  </si>
  <si>
    <t>DC, Superstructure</t>
  </si>
  <si>
    <t>Unfactored LEAP Output, Shear at Critical</t>
  </si>
  <si>
    <t>Factored Shear</t>
  </si>
  <si>
    <t>V_u</t>
  </si>
  <si>
    <t>Step 1 - Determine Shear at Critical V_u</t>
  </si>
  <si>
    <t>Step 2 - Determine Analysis Model</t>
  </si>
  <si>
    <t>2*Depth</t>
  </si>
  <si>
    <t>Point of Zero Shear to Face of Support</t>
  </si>
  <si>
    <t>Point of Zero Shear</t>
  </si>
  <si>
    <t>Step 3 - Determine Shear Depth, Max d_v</t>
  </si>
  <si>
    <t>d_v=0.9*d_p when A_s=0 --&gt;</t>
  </si>
  <si>
    <t>Span Length</t>
  </si>
  <si>
    <t>d_v=0.72*h</t>
  </si>
  <si>
    <t>h_s</t>
  </si>
  <si>
    <t>USE MAX d_v</t>
  </si>
  <si>
    <t>** NOTE: Since the cable path was not designed, assume PS provides sufficient longitudinal reinforcement</t>
  </si>
  <si>
    <t>** NOTE: Provide shear stirrups of #5 at 6" C/C</t>
  </si>
  <si>
    <t>Properties Needed</t>
  </si>
  <si>
    <t>Material Properties</t>
  </si>
  <si>
    <t>Reinforcing Steel</t>
  </si>
  <si>
    <t>Yield Strength</t>
  </si>
  <si>
    <t>Modulus of Elasticity</t>
  </si>
  <si>
    <t>Prestressing Strand</t>
  </si>
  <si>
    <t>Low Relaxation Prestressing Strand</t>
  </si>
  <si>
    <t>0.6" Diameter Strand</t>
  </si>
  <si>
    <t>Tensile Strength</t>
  </si>
  <si>
    <t>Concrete</t>
  </si>
  <si>
    <t>f'ci</t>
  </si>
  <si>
    <t>Unit Weight for E_c</t>
  </si>
  <si>
    <t>Unit Weight for DL Calculation</t>
  </si>
  <si>
    <t>E_c</t>
  </si>
  <si>
    <t>β_1</t>
  </si>
  <si>
    <t>Ductility</t>
  </si>
  <si>
    <t>Redundancy</t>
  </si>
  <si>
    <t>Operational Importance</t>
  </si>
  <si>
    <t>Modification Factors</t>
  </si>
  <si>
    <t>Reinforcement Summary</t>
  </si>
  <si>
    <t>Negative Moment Region</t>
  </si>
  <si>
    <t>Positive Moment Region</t>
  </si>
  <si>
    <t>Bottom Slab Reinforcement</t>
  </si>
  <si>
    <t>Longitudinal</t>
  </si>
  <si>
    <t>Transverse</t>
  </si>
  <si>
    <t>Temperature and Shrinkage</t>
  </si>
  <si>
    <t>#6 Bars</t>
  </si>
  <si>
    <t>Bar No.</t>
  </si>
  <si>
    <t>8 in.</t>
  </si>
  <si>
    <t>6 in.</t>
  </si>
  <si>
    <t>10 in.</t>
  </si>
  <si>
    <t>12 in.</t>
  </si>
  <si>
    <t>#5 Bars</t>
  </si>
  <si>
    <t>Additional Reinforcement</t>
  </si>
  <si>
    <t>Mild Steel Over Pier</t>
  </si>
  <si>
    <t>M+ (0.4 Span 1)</t>
  </si>
  <si>
    <t>M- (Pier)</t>
  </si>
  <si>
    <t>M+ (0.6 Span 2)</t>
  </si>
  <si>
    <t>Factored Shear - Strength I</t>
  </si>
  <si>
    <t>V+ (Pier)</t>
  </si>
  <si>
    <t>V- (Pier)</t>
  </si>
  <si>
    <t>V_+ (Pier)</t>
  </si>
  <si>
    <t>Low Lax, Rigid Galvanzied Metal Duct</t>
  </si>
  <si>
    <t>Post-Tension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</si>
</sst>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35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4" applyNumberFormat="0" applyAlignment="0" applyProtection="0"/>
    <xf numFmtId="0" fontId="6" fillId="4" borderId="5" applyNumberFormat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3" borderId="4" xfId="4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" borderId="1" xfId="4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3" borderId="4" xfId="4" applyAlignment="1">
      <alignment horizontal="center"/>
    </xf>
    <xf numFmtId="165" fontId="5" fillId="3" borderId="1" xfId="4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6" applyBorder="1" applyAlignment="1">
      <alignment horizontal="center"/>
    </xf>
    <xf numFmtId="0" fontId="8" fillId="5" borderId="1" xfId="35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3" borderId="1" xfId="4" applyBorder="1" applyAlignment="1">
      <alignment horizontal="center"/>
    </xf>
    <xf numFmtId="0" fontId="0" fillId="0" borderId="0" xfId="0" applyAlignment="1"/>
    <xf numFmtId="0" fontId="1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7" fillId="0" borderId="1" xfId="6" applyBorder="1" applyAlignment="1">
      <alignment horizontal="center" vertical="center" wrapText="1"/>
    </xf>
    <xf numFmtId="0" fontId="6" fillId="4" borderId="1" xfId="5" applyBorder="1" applyAlignment="1">
      <alignment horizontal="center"/>
    </xf>
    <xf numFmtId="0" fontId="7" fillId="0" borderId="1" xfId="6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3" xfId="6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2" xfId="1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6" borderId="1" xfId="50" applyBorder="1" applyAlignment="1">
      <alignment horizontal="center"/>
    </xf>
    <xf numFmtId="0" fontId="7" fillId="0" borderId="1" xfId="6" applyBorder="1" applyAlignment="1">
      <alignment horizontal="center"/>
    </xf>
    <xf numFmtId="0" fontId="8" fillId="5" borderId="1" xfId="35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5" borderId="1" xfId="35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2" fillId="2" borderId="13" xfId="1" applyBorder="1" applyAlignment="1">
      <alignment horizontal="center"/>
    </xf>
    <xf numFmtId="0" fontId="2" fillId="2" borderId="3" xfId="1" applyBorder="1" applyAlignment="1">
      <alignment horizontal="center"/>
    </xf>
    <xf numFmtId="0" fontId="8" fillId="5" borderId="2" xfId="35" applyBorder="1" applyAlignment="1">
      <alignment horizontal="center"/>
    </xf>
    <xf numFmtId="0" fontId="8" fillId="5" borderId="13" xfId="35" applyBorder="1" applyAlignment="1">
      <alignment horizontal="center"/>
    </xf>
    <xf numFmtId="0" fontId="8" fillId="5" borderId="3" xfId="35" applyBorder="1" applyAlignment="1">
      <alignment horizontal="center"/>
    </xf>
    <xf numFmtId="0" fontId="7" fillId="0" borderId="0" xfId="6" applyFill="1" applyBorder="1" applyAlignment="1">
      <alignment horizontal="center" wrapText="1"/>
    </xf>
    <xf numFmtId="0" fontId="7" fillId="0" borderId="0" xfId="6" applyAlignment="1">
      <alignment horizontal="center"/>
    </xf>
    <xf numFmtId="165" fontId="5" fillId="3" borderId="4" xfId="4" applyNumberFormat="1" applyAlignment="1">
      <alignment horizontal="center"/>
    </xf>
    <xf numFmtId="0" fontId="5" fillId="3" borderId="9" xfId="4" applyBorder="1" applyAlignment="1">
      <alignment horizontal="center" vertical="center"/>
    </xf>
    <xf numFmtId="0" fontId="5" fillId="3" borderId="14" xfId="4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5" fillId="3" borderId="15" xfId="4" applyNumberFormat="1" applyBorder="1" applyAlignment="1">
      <alignment horizontal="center" vertical="center"/>
    </xf>
    <xf numFmtId="2" fontId="5" fillId="3" borderId="1" xfId="4" applyNumberFormat="1" applyBorder="1" applyAlignment="1">
      <alignment horizontal="center" vertical="center"/>
    </xf>
    <xf numFmtId="166" fontId="5" fillId="3" borderId="1" xfId="4" applyNumberFormat="1" applyBorder="1" applyAlignment="1">
      <alignment horizontal="center" vertical="center"/>
    </xf>
    <xf numFmtId="1" fontId="5" fillId="3" borderId="1" xfId="4" applyNumberFormat="1" applyBorder="1" applyAlignment="1">
      <alignment horizontal="center" vertical="center"/>
    </xf>
    <xf numFmtId="164" fontId="5" fillId="3" borderId="1" xfId="4" applyNumberFormat="1" applyBorder="1" applyAlignment="1">
      <alignment horizontal="center" vertical="center"/>
    </xf>
    <xf numFmtId="165" fontId="5" fillId="3" borderId="1" xfId="4" applyNumberFormat="1" applyBorder="1" applyAlignment="1">
      <alignment horizontal="center" vertical="center"/>
    </xf>
  </cellXfs>
  <cellStyles count="135">
    <cellStyle name="20% - Accent1" xfId="50" builtinId="30"/>
    <cellStyle name="Check Cell" xfId="5" builtinId="23"/>
    <cellStyle name="Explanatory Text" xfId="6" builtinId="53"/>
    <cellStyle name="Followed Hyperlink" xfId="3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Good" xfId="35" builtinId="26"/>
    <cellStyle name="Hyperlink" xfId="2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Input" xfId="4" builtinId="20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G50" sqref="E48:G50"/>
    </sheetView>
  </sheetViews>
  <sheetFormatPr baseColWidth="10" defaultRowHeight="15" x14ac:dyDescent="0"/>
  <cols>
    <col min="1" max="1" width="22.1640625" bestFit="1" customWidth="1"/>
    <col min="2" max="2" width="19" bestFit="1" customWidth="1"/>
    <col min="3" max="3" width="9.83203125" bestFit="1" customWidth="1"/>
    <col min="4" max="4" width="10.83203125" bestFit="1" customWidth="1"/>
    <col min="5" max="5" width="9.6640625" bestFit="1" customWidth="1"/>
    <col min="6" max="6" width="19" bestFit="1" customWidth="1"/>
    <col min="7" max="7" width="7.83203125" bestFit="1" customWidth="1"/>
    <col min="8" max="8" width="2.1640625" bestFit="1" customWidth="1"/>
    <col min="13" max="13" width="27" bestFit="1" customWidth="1"/>
    <col min="14" max="14" width="9.1640625" bestFit="1" customWidth="1"/>
    <col min="15" max="15" width="4.5" bestFit="1" customWidth="1"/>
    <col min="16" max="16" width="11.1640625" bestFit="1" customWidth="1"/>
    <col min="17" max="17" width="4.83203125" bestFit="1" customWidth="1"/>
  </cols>
  <sheetData>
    <row r="1" spans="1:15">
      <c r="A1" s="42" t="s">
        <v>80</v>
      </c>
      <c r="B1" s="22">
        <f>12</f>
        <v>12</v>
      </c>
      <c r="C1" s="42" t="s">
        <v>87</v>
      </c>
    </row>
    <row r="2" spans="1:15">
      <c r="A2" s="42" t="s">
        <v>81</v>
      </c>
      <c r="B2" s="22">
        <f>10</f>
        <v>10</v>
      </c>
      <c r="C2" s="42" t="s">
        <v>87</v>
      </c>
      <c r="F2" s="51" t="s">
        <v>106</v>
      </c>
      <c r="G2" s="51"/>
    </row>
    <row r="3" spans="1:15">
      <c r="A3" s="42" t="s">
        <v>82</v>
      </c>
      <c r="B3" s="31">
        <f>1+(7/12)</f>
        <v>1.5833333333333335</v>
      </c>
      <c r="C3" s="42" t="s">
        <v>87</v>
      </c>
      <c r="F3" s="56" t="s">
        <v>107</v>
      </c>
      <c r="G3" s="56"/>
    </row>
    <row r="4" spans="1:15">
      <c r="A4" s="42" t="s">
        <v>83</v>
      </c>
      <c r="B4" s="22">
        <f>(2*B1)+(2*B2)</f>
        <v>44</v>
      </c>
      <c r="C4" s="42" t="s">
        <v>87</v>
      </c>
      <c r="F4" s="6" t="s">
        <v>108</v>
      </c>
      <c r="G4" s="11">
        <f>(1.75+(B9/3.6))*((1/B16)^0.35)*((1/B15)^0.45)</f>
        <v>0.47670042582940481</v>
      </c>
    </row>
    <row r="5" spans="1:15">
      <c r="A5" s="42" t="s">
        <v>84</v>
      </c>
      <c r="B5" s="31">
        <f>B4+(2*B3)</f>
        <v>47.166666666666664</v>
      </c>
      <c r="C5" s="42" t="s">
        <v>87</v>
      </c>
      <c r="F5" s="6" t="s">
        <v>109</v>
      </c>
      <c r="G5" s="11">
        <f>((13/B15)^0.3)*(B9/5.8)*((1/B16)^0.25)</f>
        <v>0.75707975067411892</v>
      </c>
    </row>
    <row r="6" spans="1:15">
      <c r="A6" s="42" t="s">
        <v>85</v>
      </c>
      <c r="B6" s="22">
        <f>12</f>
        <v>12</v>
      </c>
      <c r="C6" s="42" t="s">
        <v>19</v>
      </c>
      <c r="F6" s="6" t="s">
        <v>113</v>
      </c>
      <c r="G6" s="11">
        <f>B14*(MAX(G4:G5))</f>
        <v>3.7853987533705946</v>
      </c>
    </row>
    <row r="7" spans="1:15">
      <c r="A7" s="42" t="s">
        <v>86</v>
      </c>
      <c r="B7" s="22">
        <f>3.75</f>
        <v>3.75</v>
      </c>
      <c r="C7" s="42" t="s">
        <v>87</v>
      </c>
      <c r="F7" s="56" t="s">
        <v>110</v>
      </c>
      <c r="G7" s="56"/>
    </row>
    <row r="8" spans="1:15">
      <c r="A8" s="42" t="s">
        <v>88</v>
      </c>
      <c r="B8" s="22">
        <v>12</v>
      </c>
      <c r="C8" s="42" t="s">
        <v>19</v>
      </c>
      <c r="F8" s="6" t="s">
        <v>108</v>
      </c>
      <c r="G8" s="11">
        <f>((B9/9.5)^0.6)*(((B12*12)/(12*B16))^0.1)</f>
        <v>0.76337053134019206</v>
      </c>
      <c r="M8" s="51" t="s">
        <v>315</v>
      </c>
      <c r="N8" s="51"/>
      <c r="O8" s="51"/>
    </row>
    <row r="9" spans="1:15">
      <c r="A9" s="42" t="s">
        <v>89</v>
      </c>
      <c r="B9" s="22">
        <v>9.75</v>
      </c>
      <c r="C9" s="42" t="s">
        <v>87</v>
      </c>
      <c r="F9" s="6" t="s">
        <v>109</v>
      </c>
      <c r="G9" s="11">
        <f>((B9/7.3)^0.9)*(((B12*12)/(12*B16))^0.1)</f>
        <v>0.97517007241678644</v>
      </c>
      <c r="M9" s="52" t="s">
        <v>316</v>
      </c>
      <c r="N9" s="52"/>
      <c r="O9" s="52"/>
    </row>
    <row r="10" spans="1:15">
      <c r="A10" s="42" t="s">
        <v>90</v>
      </c>
      <c r="B10" s="22">
        <v>8</v>
      </c>
      <c r="C10" s="42" t="s">
        <v>19</v>
      </c>
      <c r="F10" s="6" t="s">
        <v>113</v>
      </c>
      <c r="G10" s="11">
        <f>B14*(MAX(G8:G9))</f>
        <v>4.8758503620839324</v>
      </c>
      <c r="M10" s="41" t="s">
        <v>317</v>
      </c>
      <c r="N10" s="41">
        <v>60</v>
      </c>
      <c r="O10" s="41" t="s">
        <v>9</v>
      </c>
    </row>
    <row r="11" spans="1:15">
      <c r="A11" s="42" t="s">
        <v>91</v>
      </c>
      <c r="B11" s="22">
        <v>7</v>
      </c>
      <c r="C11" s="42" t="s">
        <v>19</v>
      </c>
      <c r="M11" s="41" t="s">
        <v>318</v>
      </c>
      <c r="N11" s="41">
        <v>29000</v>
      </c>
      <c r="O11" s="41" t="s">
        <v>9</v>
      </c>
    </row>
    <row r="12" spans="1:15">
      <c r="A12" s="42" t="s">
        <v>94</v>
      </c>
      <c r="B12" s="22">
        <v>5.75</v>
      </c>
      <c r="C12" s="42" t="s">
        <v>87</v>
      </c>
      <c r="M12" s="52" t="s">
        <v>319</v>
      </c>
      <c r="N12" s="52"/>
      <c r="O12" s="52"/>
    </row>
    <row r="13" spans="1:15">
      <c r="A13" s="42" t="s">
        <v>287</v>
      </c>
      <c r="B13" s="22">
        <f>1.75</f>
        <v>1.75</v>
      </c>
      <c r="C13" s="42" t="s">
        <v>87</v>
      </c>
      <c r="F13" s="51" t="s">
        <v>308</v>
      </c>
      <c r="G13" s="51"/>
      <c r="M13" s="53" t="s">
        <v>320</v>
      </c>
      <c r="N13" s="53"/>
      <c r="O13" s="53"/>
    </row>
    <row r="14" spans="1:15">
      <c r="A14" s="42" t="s">
        <v>114</v>
      </c>
      <c r="B14" s="22">
        <f>5</f>
        <v>5</v>
      </c>
      <c r="C14" s="42"/>
      <c r="F14" s="36">
        <f>100</f>
        <v>100</v>
      </c>
      <c r="G14" s="36" t="s">
        <v>87</v>
      </c>
      <c r="M14" s="53" t="s">
        <v>321</v>
      </c>
      <c r="N14" s="53"/>
      <c r="O14" s="53"/>
    </row>
    <row r="15" spans="1:15">
      <c r="A15" s="42" t="s">
        <v>111</v>
      </c>
      <c r="B15" s="22">
        <f>B14-1</f>
        <v>4</v>
      </c>
      <c r="C15" s="42"/>
      <c r="M15" s="41" t="s">
        <v>322</v>
      </c>
      <c r="N15" s="41">
        <v>270</v>
      </c>
      <c r="O15" s="41" t="s">
        <v>9</v>
      </c>
    </row>
    <row r="16" spans="1:15">
      <c r="A16" s="42" t="s">
        <v>112</v>
      </c>
      <c r="B16" s="22">
        <f>100</f>
        <v>100</v>
      </c>
      <c r="C16" s="42" t="s">
        <v>87</v>
      </c>
      <c r="M16" s="41" t="s">
        <v>317</v>
      </c>
      <c r="N16" s="41">
        <v>243</v>
      </c>
      <c r="O16" s="41" t="s">
        <v>9</v>
      </c>
    </row>
    <row r="17" spans="1:17">
      <c r="A17" s="42" t="s">
        <v>122</v>
      </c>
      <c r="B17" s="31">
        <f>(34+(2/12))</f>
        <v>34.166666666666664</v>
      </c>
      <c r="C17" s="42" t="s">
        <v>87</v>
      </c>
      <c r="M17" s="41" t="s">
        <v>318</v>
      </c>
      <c r="N17" s="41">
        <v>28500</v>
      </c>
      <c r="O17" s="41" t="s">
        <v>9</v>
      </c>
    </row>
    <row r="18" spans="1:17">
      <c r="A18" s="20" t="s">
        <v>127</v>
      </c>
      <c r="B18" s="47">
        <f>4</f>
        <v>4</v>
      </c>
      <c r="C18" s="20" t="s">
        <v>19</v>
      </c>
      <c r="M18" s="54" t="s">
        <v>323</v>
      </c>
      <c r="N18" s="54"/>
      <c r="O18" s="54"/>
      <c r="P18" s="48"/>
      <c r="Q18" s="48"/>
    </row>
    <row r="19" spans="1:17">
      <c r="A19" s="6" t="s">
        <v>16</v>
      </c>
      <c r="B19" s="13">
        <v>78.155600000000007</v>
      </c>
      <c r="C19" s="6" t="s">
        <v>93</v>
      </c>
      <c r="D19" s="13">
        <f>B19*(12^2)</f>
        <v>11254.406400000002</v>
      </c>
      <c r="E19" s="6" t="s">
        <v>10</v>
      </c>
      <c r="M19" s="43" t="s">
        <v>160</v>
      </c>
      <c r="N19" s="43">
        <v>4.5</v>
      </c>
      <c r="O19" s="43" t="s">
        <v>9</v>
      </c>
    </row>
    <row r="20" spans="1:17">
      <c r="A20" s="6" t="s">
        <v>15</v>
      </c>
      <c r="B20" s="13">
        <v>386.62889999999999</v>
      </c>
      <c r="C20" s="6" t="s">
        <v>92</v>
      </c>
      <c r="D20" s="13">
        <f>B20*(12^4)</f>
        <v>8017136.8703999994</v>
      </c>
      <c r="E20" s="6" t="s">
        <v>18</v>
      </c>
      <c r="M20" s="43" t="s">
        <v>324</v>
      </c>
      <c r="N20" s="43">
        <v>3.5</v>
      </c>
      <c r="O20" s="43" t="s">
        <v>9</v>
      </c>
    </row>
    <row r="21" spans="1:17">
      <c r="A21" s="6" t="s">
        <v>44</v>
      </c>
      <c r="B21" s="13">
        <v>2.5257999999999998</v>
      </c>
      <c r="C21" s="6" t="s">
        <v>87</v>
      </c>
      <c r="D21" s="13">
        <f>B21*12</f>
        <v>30.309599999999996</v>
      </c>
      <c r="E21" s="6" t="s">
        <v>19</v>
      </c>
      <c r="M21" s="43" t="s">
        <v>325</v>
      </c>
      <c r="N21" s="43">
        <v>0.14499999999999999</v>
      </c>
      <c r="O21" s="43" t="s">
        <v>142</v>
      </c>
    </row>
    <row r="22" spans="1:17">
      <c r="A22" s="6" t="s">
        <v>40</v>
      </c>
      <c r="B22" s="13">
        <f>B12-B21</f>
        <v>3.2242000000000002</v>
      </c>
      <c r="C22" s="6" t="s">
        <v>87</v>
      </c>
      <c r="D22" s="13">
        <f>B22*12</f>
        <v>38.690400000000004</v>
      </c>
      <c r="E22" s="6" t="s">
        <v>19</v>
      </c>
      <c r="M22" s="43" t="s">
        <v>326</v>
      </c>
      <c r="N22" s="43">
        <v>0.15</v>
      </c>
      <c r="O22" s="43" t="s">
        <v>142</v>
      </c>
    </row>
    <row r="23" spans="1:17">
      <c r="A23" s="6" t="s">
        <v>20</v>
      </c>
      <c r="B23" s="13">
        <v>4.6288999999999998</v>
      </c>
      <c r="C23" s="6" t="s">
        <v>19</v>
      </c>
      <c r="D23" s="1"/>
      <c r="E23" s="1"/>
      <c r="M23" s="43" t="s">
        <v>327</v>
      </c>
      <c r="N23" s="41">
        <v>3681</v>
      </c>
      <c r="O23" s="43" t="s">
        <v>9</v>
      </c>
      <c r="P23" s="48"/>
      <c r="Q23" s="48"/>
    </row>
    <row r="24" spans="1:17">
      <c r="M24" s="43" t="s">
        <v>25</v>
      </c>
      <c r="N24" s="43">
        <v>3405</v>
      </c>
      <c r="O24" s="43" t="s">
        <v>9</v>
      </c>
    </row>
    <row r="25" spans="1:17">
      <c r="A25" s="51" t="s">
        <v>95</v>
      </c>
      <c r="B25" s="51"/>
      <c r="C25" s="51"/>
      <c r="D25" s="51"/>
      <c r="E25" s="51" t="s">
        <v>117</v>
      </c>
      <c r="F25" s="51"/>
      <c r="G25" s="51"/>
      <c r="H25" s="51"/>
      <c r="M25" s="43" t="s">
        <v>156</v>
      </c>
      <c r="N25" s="50">
        <v>8</v>
      </c>
      <c r="O25" s="50"/>
    </row>
    <row r="26" spans="1:17">
      <c r="A26" s="6" t="s">
        <v>96</v>
      </c>
      <c r="B26" s="57" t="s">
        <v>97</v>
      </c>
      <c r="C26" s="6">
        <f>193.74</f>
        <v>193.74</v>
      </c>
      <c r="D26" s="6" t="s">
        <v>73</v>
      </c>
      <c r="E26" s="6" t="s">
        <v>118</v>
      </c>
      <c r="F26" s="57" t="s">
        <v>97</v>
      </c>
      <c r="G26" s="6">
        <f>17.3</f>
        <v>17.3</v>
      </c>
      <c r="H26" s="6" t="s">
        <v>12</v>
      </c>
      <c r="M26" s="43" t="s">
        <v>328</v>
      </c>
      <c r="N26" s="50">
        <v>0.82499999999999996</v>
      </c>
      <c r="O26" s="50"/>
    </row>
    <row r="27" spans="1:17">
      <c r="A27" s="6" t="s">
        <v>98</v>
      </c>
      <c r="B27" s="57"/>
      <c r="C27" s="6">
        <v>-345.96</v>
      </c>
      <c r="D27" s="6" t="s">
        <v>73</v>
      </c>
      <c r="E27" s="6" t="s">
        <v>119</v>
      </c>
      <c r="F27" s="57"/>
      <c r="G27" s="6">
        <f>-G26</f>
        <v>-17.3</v>
      </c>
      <c r="H27" s="6" t="s">
        <v>12</v>
      </c>
    </row>
    <row r="28" spans="1:17">
      <c r="A28" s="6" t="s">
        <v>99</v>
      </c>
      <c r="B28" s="57"/>
      <c r="C28" s="6">
        <f>193.74</f>
        <v>193.74</v>
      </c>
      <c r="D28" s="6" t="s">
        <v>73</v>
      </c>
      <c r="E28" s="6" t="s">
        <v>118</v>
      </c>
      <c r="F28" s="57" t="s">
        <v>100</v>
      </c>
      <c r="G28" s="6">
        <f>708.28</f>
        <v>708.28</v>
      </c>
      <c r="H28" s="6" t="s">
        <v>12</v>
      </c>
      <c r="M28" s="51" t="s">
        <v>332</v>
      </c>
      <c r="N28" s="51"/>
    </row>
    <row r="29" spans="1:17">
      <c r="A29" s="6" t="s">
        <v>96</v>
      </c>
      <c r="B29" s="57" t="s">
        <v>100</v>
      </c>
      <c r="C29" s="6">
        <f>7932.79</f>
        <v>7932.79</v>
      </c>
      <c r="D29" s="6" t="s">
        <v>73</v>
      </c>
      <c r="E29" s="6" t="s">
        <v>119</v>
      </c>
      <c r="F29" s="57"/>
      <c r="G29" s="6">
        <f>-G28</f>
        <v>-708.28</v>
      </c>
      <c r="H29" s="6" t="s">
        <v>12</v>
      </c>
      <c r="M29" s="43" t="s">
        <v>329</v>
      </c>
      <c r="N29" s="45">
        <v>1</v>
      </c>
    </row>
    <row r="30" spans="1:17">
      <c r="A30" s="6" t="s">
        <v>98</v>
      </c>
      <c r="B30" s="57"/>
      <c r="C30" s="6">
        <f>-14165.69</f>
        <v>-14165.69</v>
      </c>
      <c r="D30" s="6" t="s">
        <v>73</v>
      </c>
      <c r="E30" s="6" t="s">
        <v>118</v>
      </c>
      <c r="F30" s="57" t="s">
        <v>101</v>
      </c>
      <c r="G30" s="6">
        <f>60.18</f>
        <v>60.18</v>
      </c>
      <c r="H30" s="6" t="s">
        <v>12</v>
      </c>
      <c r="M30" s="43" t="s">
        <v>330</v>
      </c>
      <c r="N30" s="45">
        <v>1</v>
      </c>
    </row>
    <row r="31" spans="1:17">
      <c r="A31" s="6" t="s">
        <v>99</v>
      </c>
      <c r="B31" s="57"/>
      <c r="C31" s="6">
        <f>C29</f>
        <v>7932.79</v>
      </c>
      <c r="D31" s="6" t="s">
        <v>73</v>
      </c>
      <c r="E31" s="6" t="s">
        <v>119</v>
      </c>
      <c r="F31" s="57"/>
      <c r="G31" s="6">
        <f>-G30</f>
        <v>-60.18</v>
      </c>
      <c r="H31" s="6" t="s">
        <v>12</v>
      </c>
      <c r="M31" s="41" t="s">
        <v>331</v>
      </c>
      <c r="N31" s="45">
        <v>1</v>
      </c>
    </row>
    <row r="32" spans="1:17" ht="15" customHeight="1">
      <c r="A32" s="6" t="s">
        <v>96</v>
      </c>
      <c r="B32" s="57" t="s">
        <v>101</v>
      </c>
      <c r="C32" s="6">
        <f>674.07</f>
        <v>674.07</v>
      </c>
      <c r="D32" s="6" t="s">
        <v>73</v>
      </c>
      <c r="E32" s="6" t="s">
        <v>118</v>
      </c>
      <c r="F32" s="55" t="s">
        <v>102</v>
      </c>
      <c r="G32" s="6">
        <f>67.71</f>
        <v>67.709999999999994</v>
      </c>
      <c r="H32" s="6" t="s">
        <v>12</v>
      </c>
    </row>
    <row r="33" spans="1:8">
      <c r="A33" s="6" t="s">
        <v>98</v>
      </c>
      <c r="B33" s="57"/>
      <c r="C33" s="6">
        <f>-1203.69</f>
        <v>-1203.69</v>
      </c>
      <c r="D33" s="6" t="s">
        <v>73</v>
      </c>
      <c r="E33" s="6" t="s">
        <v>119</v>
      </c>
      <c r="F33" s="55"/>
      <c r="G33" s="6">
        <f>-G32</f>
        <v>-67.709999999999994</v>
      </c>
      <c r="H33" s="6" t="s">
        <v>12</v>
      </c>
    </row>
    <row r="34" spans="1:8">
      <c r="A34" s="6" t="s">
        <v>99</v>
      </c>
      <c r="B34" s="57"/>
      <c r="C34" s="6">
        <f>647.07</f>
        <v>647.07000000000005</v>
      </c>
      <c r="D34" s="6" t="s">
        <v>73</v>
      </c>
      <c r="E34" s="6" t="s">
        <v>118</v>
      </c>
      <c r="F34" s="55" t="s">
        <v>103</v>
      </c>
      <c r="G34" s="6">
        <f>49.97</f>
        <v>49.97</v>
      </c>
      <c r="H34" s="6" t="s">
        <v>12</v>
      </c>
    </row>
    <row r="35" spans="1:8" ht="15" customHeight="1">
      <c r="A35" s="6" t="s">
        <v>96</v>
      </c>
      <c r="B35" s="55" t="s">
        <v>102</v>
      </c>
      <c r="C35" s="6">
        <f>1233.68</f>
        <v>1233.68</v>
      </c>
      <c r="D35" s="6" t="s">
        <v>73</v>
      </c>
      <c r="E35" s="6" t="s">
        <v>119</v>
      </c>
      <c r="F35" s="55"/>
      <c r="G35" s="6">
        <f>-G34</f>
        <v>-49.97</v>
      </c>
      <c r="H35" s="6" t="s">
        <v>12</v>
      </c>
    </row>
    <row r="36" spans="1:8">
      <c r="A36" s="6" t="s">
        <v>98</v>
      </c>
      <c r="B36" s="55"/>
      <c r="C36" s="6">
        <f>-660.72</f>
        <v>-660.72</v>
      </c>
      <c r="D36" s="6" t="s">
        <v>73</v>
      </c>
      <c r="E36" s="6" t="s">
        <v>118</v>
      </c>
      <c r="F36" s="55" t="s">
        <v>104</v>
      </c>
      <c r="G36" s="6">
        <f>79.61</f>
        <v>79.61</v>
      </c>
      <c r="H36" s="6" t="s">
        <v>12</v>
      </c>
    </row>
    <row r="37" spans="1:8">
      <c r="A37" s="6" t="s">
        <v>99</v>
      </c>
      <c r="B37" s="55"/>
      <c r="C37" s="6">
        <f>C35</f>
        <v>1233.68</v>
      </c>
      <c r="D37" s="6" t="s">
        <v>73</v>
      </c>
      <c r="E37" s="6" t="s">
        <v>119</v>
      </c>
      <c r="F37" s="55"/>
      <c r="G37" s="6">
        <f>-G36</f>
        <v>-79.61</v>
      </c>
      <c r="H37" s="6" t="s">
        <v>12</v>
      </c>
    </row>
    <row r="38" spans="1:8" ht="15" customHeight="1">
      <c r="A38" s="6" t="s">
        <v>96</v>
      </c>
      <c r="B38" s="55" t="s">
        <v>103</v>
      </c>
      <c r="C38" s="6">
        <f>988.1</f>
        <v>988.1</v>
      </c>
      <c r="D38" s="6" t="s">
        <v>73</v>
      </c>
      <c r="E38" s="6" t="s">
        <v>118</v>
      </c>
      <c r="F38" s="55" t="s">
        <v>105</v>
      </c>
      <c r="G38" s="6">
        <f>39.93</f>
        <v>39.93</v>
      </c>
      <c r="H38" s="6" t="s">
        <v>12</v>
      </c>
    </row>
    <row r="39" spans="1:8">
      <c r="A39" s="6" t="s">
        <v>98</v>
      </c>
      <c r="B39" s="55"/>
      <c r="C39" s="6">
        <f>-477.75</f>
        <v>-477.75</v>
      </c>
      <c r="D39" s="6" t="s">
        <v>73</v>
      </c>
      <c r="E39" s="6" t="s">
        <v>119</v>
      </c>
      <c r="F39" s="55"/>
      <c r="G39" s="6">
        <f>-G38</f>
        <v>-39.93</v>
      </c>
      <c r="H39" s="6" t="s">
        <v>12</v>
      </c>
    </row>
    <row r="40" spans="1:8">
      <c r="A40" s="6" t="s">
        <v>99</v>
      </c>
      <c r="B40" s="55"/>
      <c r="C40" s="6">
        <f>C38</f>
        <v>988.1</v>
      </c>
      <c r="D40" s="6" t="s">
        <v>73</v>
      </c>
      <c r="E40" s="1"/>
      <c r="F40" s="21"/>
      <c r="G40" s="1"/>
      <c r="H40" s="1"/>
    </row>
    <row r="41" spans="1:8" ht="15" customHeight="1">
      <c r="A41" s="6" t="s">
        <v>96</v>
      </c>
      <c r="B41" s="55" t="s">
        <v>104</v>
      </c>
      <c r="C41" s="6">
        <f>1233.68</f>
        <v>1233.68</v>
      </c>
      <c r="D41" s="6" t="s">
        <v>73</v>
      </c>
      <c r="E41" s="51" t="s">
        <v>120</v>
      </c>
      <c r="F41" s="51"/>
      <c r="G41" s="51"/>
      <c r="H41" s="1"/>
    </row>
    <row r="42" spans="1:8">
      <c r="A42" s="6" t="s">
        <v>98</v>
      </c>
      <c r="B42" s="55"/>
      <c r="C42" s="6">
        <f>-1321.32</f>
        <v>-1321.32</v>
      </c>
      <c r="D42" s="6" t="s">
        <v>73</v>
      </c>
      <c r="E42" s="6" t="s">
        <v>355</v>
      </c>
      <c r="F42" s="32">
        <f>G10*((1.33*(MAX(G32,G34,G36)))+G38)</f>
        <v>710.95407990092895</v>
      </c>
      <c r="G42" s="6" t="s">
        <v>12</v>
      </c>
      <c r="H42" s="1"/>
    </row>
    <row r="43" spans="1:8">
      <c r="A43" s="6" t="s">
        <v>99</v>
      </c>
      <c r="B43" s="55"/>
      <c r="C43" s="6">
        <f>C41</f>
        <v>1233.68</v>
      </c>
      <c r="D43" s="6" t="s">
        <v>73</v>
      </c>
      <c r="E43" s="6" t="s">
        <v>354</v>
      </c>
      <c r="F43" s="32">
        <f>G10*((1.33*(MIN(G33,G35,G37)))+G39)</f>
        <v>-710.95407990092895</v>
      </c>
      <c r="G43" s="6" t="s">
        <v>12</v>
      </c>
      <c r="H43" s="1"/>
    </row>
    <row r="44" spans="1:8" ht="30" customHeight="1">
      <c r="A44" s="6" t="s">
        <v>96</v>
      </c>
      <c r="B44" s="55" t="s">
        <v>105</v>
      </c>
      <c r="C44" s="6">
        <f>609.36</f>
        <v>609.36</v>
      </c>
      <c r="D44" s="6" t="s">
        <v>73</v>
      </c>
      <c r="E44" s="1"/>
      <c r="F44" s="1"/>
      <c r="G44" s="1"/>
      <c r="H44" s="1"/>
    </row>
    <row r="45" spans="1:8">
      <c r="A45" s="6" t="s">
        <v>98</v>
      </c>
      <c r="B45" s="55"/>
      <c r="C45" s="6">
        <f>-793.18</f>
        <v>-793.18</v>
      </c>
      <c r="D45" s="6" t="s">
        <v>73</v>
      </c>
      <c r="E45" s="1"/>
      <c r="F45" s="21"/>
      <c r="G45" s="1"/>
      <c r="H45" s="1"/>
    </row>
    <row r="46" spans="1:8">
      <c r="A46" s="6" t="s">
        <v>99</v>
      </c>
      <c r="B46" s="55"/>
      <c r="C46" s="6">
        <f>C44</f>
        <v>609.36</v>
      </c>
      <c r="D46" s="6" t="s">
        <v>73</v>
      </c>
      <c r="E46" s="1"/>
      <c r="F46" s="2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51" t="s">
        <v>116</v>
      </c>
      <c r="B48" s="51"/>
      <c r="C48" s="51"/>
      <c r="D48" s="1"/>
      <c r="E48" s="51" t="s">
        <v>352</v>
      </c>
      <c r="F48" s="51"/>
      <c r="G48" s="51"/>
      <c r="H48" s="1"/>
    </row>
    <row r="49" spans="1:8">
      <c r="A49" s="41" t="s">
        <v>349</v>
      </c>
      <c r="B49" s="13">
        <f>G6*((1.33*(MAX(C41,C35,C38)))+C44)</f>
        <v>8517.7316606513596</v>
      </c>
      <c r="C49" s="41" t="s">
        <v>73</v>
      </c>
      <c r="D49" s="1"/>
      <c r="E49" s="41" t="s">
        <v>353</v>
      </c>
      <c r="F49" s="13">
        <f>(1.25*(G28+G30))+(1.5*G26)+(1.75*F42)</f>
        <v>2230.6946398266255</v>
      </c>
      <c r="G49" s="41" t="s">
        <v>12</v>
      </c>
      <c r="H49" s="1"/>
    </row>
    <row r="50" spans="1:8">
      <c r="A50" s="41" t="s">
        <v>350</v>
      </c>
      <c r="B50" s="13">
        <f>G6*((1.33*(MIN(C42,C36,C39)))+C45)</f>
        <v>-9654.7942806673218</v>
      </c>
      <c r="C50" s="41" t="s">
        <v>73</v>
      </c>
      <c r="D50" s="1"/>
      <c r="E50" s="41" t="s">
        <v>354</v>
      </c>
      <c r="F50" s="13">
        <f>-F49</f>
        <v>-2230.6946398266255</v>
      </c>
      <c r="G50" s="41" t="s">
        <v>12</v>
      </c>
      <c r="H50" s="1"/>
    </row>
    <row r="51" spans="1:8">
      <c r="A51" s="41" t="s">
        <v>351</v>
      </c>
      <c r="B51" s="13">
        <f>B49</f>
        <v>8517.7316606513596</v>
      </c>
      <c r="C51" s="41" t="s">
        <v>73</v>
      </c>
      <c r="D51" s="1"/>
      <c r="E51" s="1"/>
      <c r="F51" s="1"/>
      <c r="G51" s="1"/>
      <c r="H51" s="1"/>
    </row>
    <row r="52" spans="1:8">
      <c r="A52" s="51" t="s">
        <v>115</v>
      </c>
      <c r="B52" s="51"/>
      <c r="C52" s="51"/>
      <c r="D52" s="1"/>
      <c r="E52" s="1"/>
      <c r="F52" s="1"/>
      <c r="G52" s="1"/>
      <c r="H52" s="1"/>
    </row>
    <row r="53" spans="1:8">
      <c r="A53" s="41" t="s">
        <v>349</v>
      </c>
      <c r="B53" s="13">
        <f>(1.25*(C29+C32))+(1.5*C26)+(1.75*B49)</f>
        <v>25955.21540613988</v>
      </c>
      <c r="C53" s="6" t="s">
        <v>73</v>
      </c>
      <c r="D53" s="1"/>
      <c r="E53" s="1"/>
      <c r="F53" s="1"/>
      <c r="G53" s="1"/>
      <c r="H53" s="1"/>
    </row>
    <row r="54" spans="1:8">
      <c r="A54" s="41" t="s">
        <v>350</v>
      </c>
      <c r="B54" s="13">
        <f>(1.25*(C30+C33))+(1.5*C27)+(1.75*B50)</f>
        <v>-36626.55499116781</v>
      </c>
      <c r="C54" s="6" t="s">
        <v>73</v>
      </c>
      <c r="D54" s="1"/>
      <c r="E54" s="1"/>
      <c r="F54" s="1"/>
      <c r="G54" s="1"/>
      <c r="H54" s="1"/>
    </row>
    <row r="55" spans="1:8">
      <c r="A55" s="41" t="s">
        <v>351</v>
      </c>
      <c r="B55" s="13">
        <f>B53</f>
        <v>25955.21540613988</v>
      </c>
      <c r="C55" s="6" t="s">
        <v>73</v>
      </c>
      <c r="D55" s="1"/>
      <c r="E55" s="1"/>
      <c r="F55" s="1"/>
      <c r="G55" s="1"/>
      <c r="H55" s="1"/>
    </row>
  </sheetData>
  <mergeCells count="33">
    <mergeCell ref="A25:D25"/>
    <mergeCell ref="E41:G41"/>
    <mergeCell ref="E25:H25"/>
    <mergeCell ref="A48:C48"/>
    <mergeCell ref="F34:F35"/>
    <mergeCell ref="F36:F37"/>
    <mergeCell ref="A52:C52"/>
    <mergeCell ref="F38:F39"/>
    <mergeCell ref="F2:G2"/>
    <mergeCell ref="F3:G3"/>
    <mergeCell ref="F7:G7"/>
    <mergeCell ref="B44:B46"/>
    <mergeCell ref="B41:B43"/>
    <mergeCell ref="B38:B40"/>
    <mergeCell ref="B35:B37"/>
    <mergeCell ref="B32:B34"/>
    <mergeCell ref="B29:B31"/>
    <mergeCell ref="B26:B28"/>
    <mergeCell ref="F26:F27"/>
    <mergeCell ref="F28:F29"/>
    <mergeCell ref="F30:F31"/>
    <mergeCell ref="F32:F33"/>
    <mergeCell ref="N26:O26"/>
    <mergeCell ref="N25:O25"/>
    <mergeCell ref="M28:N28"/>
    <mergeCell ref="E48:G48"/>
    <mergeCell ref="M8:O8"/>
    <mergeCell ref="M12:O12"/>
    <mergeCell ref="M13:O13"/>
    <mergeCell ref="M14:O14"/>
    <mergeCell ref="M18:O18"/>
    <mergeCell ref="M9:O9"/>
    <mergeCell ref="F13:G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5"/>
  <sheetViews>
    <sheetView tabSelected="1" workbookViewId="0">
      <selection activeCell="A2" sqref="A2:C13"/>
    </sheetView>
  </sheetViews>
  <sheetFormatPr baseColWidth="10" defaultRowHeight="15" x14ac:dyDescent="0"/>
  <cols>
    <col min="1" max="1" width="22.33203125" bestFit="1" customWidth="1"/>
    <col min="2" max="2" width="10.83203125" bestFit="1" customWidth="1"/>
    <col min="3" max="3" width="24.1640625" bestFit="1" customWidth="1"/>
    <col min="4" max="4" width="7.6640625" bestFit="1" customWidth="1"/>
    <col min="5" max="5" width="22.33203125" bestFit="1" customWidth="1"/>
    <col min="6" max="6" width="10.83203125" bestFit="1" customWidth="1"/>
    <col min="7" max="7" width="4.83203125" bestFit="1" customWidth="1"/>
    <col min="8" max="8" width="20.33203125" bestFit="1" customWidth="1"/>
    <col min="9" max="9" width="37.5" bestFit="1" customWidth="1"/>
    <col min="10" max="10" width="16.6640625" bestFit="1" customWidth="1"/>
    <col min="11" max="11" width="17.33203125" bestFit="1" customWidth="1"/>
    <col min="12" max="12" width="7.6640625" bestFit="1" customWidth="1"/>
    <col min="13" max="13" width="20.33203125" bestFit="1" customWidth="1"/>
  </cols>
  <sheetData>
    <row r="2" spans="1:13">
      <c r="A2" s="63" t="s">
        <v>357</v>
      </c>
      <c r="B2" s="63"/>
      <c r="C2" s="63"/>
    </row>
    <row r="3" spans="1:13">
      <c r="A3" s="2" t="s">
        <v>5</v>
      </c>
      <c r="B3" s="89" t="s">
        <v>356</v>
      </c>
      <c r="C3" s="90"/>
      <c r="E3" s="63" t="s">
        <v>14</v>
      </c>
      <c r="F3" s="63"/>
      <c r="G3" s="63"/>
      <c r="I3" s="63" t="s">
        <v>38</v>
      </c>
      <c r="J3" s="63"/>
      <c r="K3" s="1"/>
      <c r="L3" s="1"/>
    </row>
    <row r="4" spans="1:13">
      <c r="A4" s="91" t="s">
        <v>6</v>
      </c>
      <c r="B4" s="92">
        <f>270</f>
        <v>270</v>
      </c>
      <c r="C4" s="91" t="s">
        <v>9</v>
      </c>
      <c r="E4" s="3" t="s">
        <v>15</v>
      </c>
      <c r="F4" s="5">
        <f>'Section Properties'!D20</f>
        <v>8017136.8703999994</v>
      </c>
      <c r="G4" s="6" t="s">
        <v>18</v>
      </c>
      <c r="I4" s="6" t="s">
        <v>41</v>
      </c>
      <c r="J4" s="27">
        <f>0.6*F11</f>
        <v>2.1</v>
      </c>
      <c r="K4" s="6" t="s">
        <v>9</v>
      </c>
      <c r="L4" s="1"/>
    </row>
    <row r="5" spans="1:13">
      <c r="A5" s="46" t="s">
        <v>7</v>
      </c>
      <c r="B5" s="93">
        <f>243</f>
        <v>243</v>
      </c>
      <c r="C5" s="46" t="s">
        <v>9</v>
      </c>
      <c r="E5" s="3" t="s">
        <v>16</v>
      </c>
      <c r="F5" s="5">
        <f>'Section Properties'!D19</f>
        <v>11254.406400000002</v>
      </c>
      <c r="G5" s="6" t="s">
        <v>10</v>
      </c>
      <c r="I5" s="68"/>
      <c r="J5" s="69"/>
      <c r="K5" s="7"/>
      <c r="L5" s="1"/>
    </row>
    <row r="6" spans="1:13">
      <c r="A6" s="46" t="s">
        <v>8</v>
      </c>
      <c r="B6" s="94">
        <f>28500</f>
        <v>28500</v>
      </c>
      <c r="C6" s="46" t="s">
        <v>9</v>
      </c>
      <c r="E6" s="3" t="s">
        <v>17</v>
      </c>
      <c r="F6" s="5">
        <f>F4/F5</f>
        <v>712.35537312745328</v>
      </c>
      <c r="G6" s="6" t="s">
        <v>10</v>
      </c>
      <c r="I6" s="67" t="s">
        <v>59</v>
      </c>
      <c r="J6" s="67"/>
      <c r="K6" s="7"/>
      <c r="L6" s="1"/>
    </row>
    <row r="7" spans="1:13">
      <c r="A7" s="46" t="s">
        <v>0</v>
      </c>
      <c r="B7" s="93">
        <f>0.77*B4</f>
        <v>207.9</v>
      </c>
      <c r="C7" s="46" t="s">
        <v>9</v>
      </c>
      <c r="E7" s="3" t="s">
        <v>40</v>
      </c>
      <c r="F7" s="15">
        <f>'Section Properties'!D22</f>
        <v>38.690400000000004</v>
      </c>
      <c r="G7" s="6" t="s">
        <v>19</v>
      </c>
      <c r="I7" s="6" t="s">
        <v>42</v>
      </c>
      <c r="J7" s="27">
        <f>((B11*B38)/F5)+((B11*B38*B18*F7)/F4)-(('Section Properties'!C29*12*F7)/F4)</f>
        <v>0.55387725942752719</v>
      </c>
      <c r="K7" s="6" t="s">
        <v>9</v>
      </c>
      <c r="L7" s="6" t="str">
        <f>IF(J7&lt;J$4,"OK","NOT OK")</f>
        <v>OK</v>
      </c>
    </row>
    <row r="8" spans="1:13">
      <c r="A8" s="46" t="s">
        <v>1</v>
      </c>
      <c r="B8" s="95">
        <v>150</v>
      </c>
      <c r="C8" s="46" t="s">
        <v>9</v>
      </c>
      <c r="E8" s="3" t="s">
        <v>44</v>
      </c>
      <c r="F8" s="15">
        <f>'Section Properties'!D21</f>
        <v>30.309599999999996</v>
      </c>
      <c r="G8" s="6" t="s">
        <v>19</v>
      </c>
      <c r="I8" s="6" t="s">
        <v>43</v>
      </c>
      <c r="J8" s="27">
        <f>((B11*B38)/F5)+((B11*B38*B18*F8)/F4)-(('Section Properties'!C29*12*F8)/F4)</f>
        <v>0.54394990798808585</v>
      </c>
      <c r="K8" s="6" t="s">
        <v>9</v>
      </c>
      <c r="L8" s="6" t="str">
        <f>IF(J8&lt;J$4,"OK","NOT OK")</f>
        <v>OK</v>
      </c>
    </row>
    <row r="9" spans="1:13">
      <c r="A9" s="46" t="s">
        <v>2</v>
      </c>
      <c r="B9" s="31">
        <v>0.217</v>
      </c>
      <c r="C9" s="46" t="s">
        <v>10</v>
      </c>
      <c r="E9" s="3" t="s">
        <v>20</v>
      </c>
      <c r="F9" s="15">
        <f>'Section Properties'!B23</f>
        <v>4.6288999999999998</v>
      </c>
      <c r="G9" s="6" t="s">
        <v>19</v>
      </c>
      <c r="I9" s="53"/>
      <c r="J9" s="53"/>
      <c r="K9" s="7"/>
      <c r="L9" s="1"/>
    </row>
    <row r="10" spans="1:13">
      <c r="A10" s="46" t="s">
        <v>3</v>
      </c>
      <c r="B10" s="31">
        <f>B9*B8</f>
        <v>32.549999999999997</v>
      </c>
      <c r="C10" s="46" t="s">
        <v>10</v>
      </c>
      <c r="E10" s="3" t="s">
        <v>25</v>
      </c>
      <c r="F10" s="16">
        <v>3405</v>
      </c>
      <c r="G10" s="6" t="s">
        <v>9</v>
      </c>
      <c r="I10" s="53" t="s">
        <v>45</v>
      </c>
      <c r="J10" s="53"/>
      <c r="K10" s="7"/>
      <c r="L10" s="1"/>
    </row>
    <row r="11" spans="1:13">
      <c r="A11" s="46" t="s">
        <v>4</v>
      </c>
      <c r="B11" s="93">
        <f>0.77*B4*B10</f>
        <v>6767.1449999999995</v>
      </c>
      <c r="C11" s="46" t="s">
        <v>11</v>
      </c>
      <c r="E11" s="3" t="s">
        <v>39</v>
      </c>
      <c r="F11" s="15">
        <f>3.5</f>
        <v>3.5</v>
      </c>
      <c r="G11" s="6" t="s">
        <v>9</v>
      </c>
      <c r="I11" s="6" t="s">
        <v>42</v>
      </c>
      <c r="J11" s="27">
        <f>((B11*F38)/F5)+((B11*F38*F18*F7)/F4)-(((ABS('Section Properties'!C30))*12*F7)/F4)</f>
        <v>0.36480113635566047</v>
      </c>
      <c r="K11" s="6" t="s">
        <v>9</v>
      </c>
      <c r="L11" s="6" t="str">
        <f>IF(J11&lt;J$4,"OK","NOT OK")</f>
        <v>OK</v>
      </c>
    </row>
    <row r="12" spans="1:13">
      <c r="A12" s="46" t="s">
        <v>12</v>
      </c>
      <c r="B12" s="96">
        <f>0.0002</f>
        <v>2.0000000000000001E-4</v>
      </c>
      <c r="C12" s="96"/>
      <c r="E12" s="20" t="s">
        <v>68</v>
      </c>
      <c r="F12" s="6">
        <f>('Section Properties'!B5)*12</f>
        <v>566</v>
      </c>
      <c r="G12" s="6" t="s">
        <v>19</v>
      </c>
      <c r="I12" s="6" t="s">
        <v>43</v>
      </c>
      <c r="J12" s="27">
        <f>((B11*F38)/F5)+((B11*F38*F18*F8)/F4)-(((ABS('Section Properties'!C30))*12*F8)/F4)</f>
        <v>0.39057947278279248</v>
      </c>
      <c r="K12" s="6" t="s">
        <v>9</v>
      </c>
      <c r="L12" s="6" t="str">
        <f>IF(J12&lt;J$4,"OK","NOT OK")</f>
        <v>OK</v>
      </c>
    </row>
    <row r="13" spans="1:13">
      <c r="A13" s="46" t="s">
        <v>13</v>
      </c>
      <c r="B13" s="97">
        <f>0.25</f>
        <v>0.25</v>
      </c>
      <c r="C13" s="97"/>
      <c r="E13" s="20" t="s">
        <v>121</v>
      </c>
      <c r="F13" s="6">
        <f>('Section Properties'!B17)*12</f>
        <v>410</v>
      </c>
      <c r="G13" s="17" t="s">
        <v>19</v>
      </c>
      <c r="I13" s="7"/>
      <c r="J13" s="7"/>
      <c r="K13" s="7"/>
      <c r="L13" s="1"/>
    </row>
    <row r="14" spans="1:13">
      <c r="I14" s="51" t="s">
        <v>47</v>
      </c>
      <c r="J14" s="51"/>
      <c r="K14" s="7"/>
      <c r="L14" s="1"/>
    </row>
    <row r="15" spans="1:13">
      <c r="I15" s="6" t="s">
        <v>49</v>
      </c>
      <c r="J15" s="27">
        <f>0.45*4.5</f>
        <v>2.0249999999999999</v>
      </c>
      <c r="K15" s="6" t="s">
        <v>9</v>
      </c>
      <c r="L15" s="1"/>
      <c r="M15" s="55" t="s">
        <v>58</v>
      </c>
    </row>
    <row r="16" spans="1:13">
      <c r="A16" s="63" t="s">
        <v>60</v>
      </c>
      <c r="B16" s="63"/>
      <c r="E16" s="63" t="s">
        <v>46</v>
      </c>
      <c r="F16" s="63"/>
      <c r="I16" s="17" t="s">
        <v>53</v>
      </c>
      <c r="J16" s="27">
        <f>((B11*B38)/F5)-(((B11*B38*B18)*F8)/F4)+((('Section Properties'!C26+'Section Properties'!C29+'Section Properties'!C32)*12*F8)/F4)</f>
        <v>0.51151446608769191</v>
      </c>
      <c r="K16" s="17" t="s">
        <v>9</v>
      </c>
      <c r="L16" s="6" t="str">
        <f>IF(J16&lt;J15,"OK","NOT OK")</f>
        <v>OK</v>
      </c>
      <c r="M16" s="66"/>
    </row>
    <row r="17" spans="1:13">
      <c r="A17" s="2" t="s">
        <v>21</v>
      </c>
      <c r="B17" s="33">
        <f>12</f>
        <v>12</v>
      </c>
      <c r="E17" s="2" t="s">
        <v>21</v>
      </c>
      <c r="F17" s="33">
        <f>12</f>
        <v>12</v>
      </c>
      <c r="I17" s="17" t="s">
        <v>50</v>
      </c>
      <c r="J17" s="27">
        <f>0.4*4.5</f>
        <v>1.8</v>
      </c>
      <c r="K17" s="17" t="s">
        <v>9</v>
      </c>
      <c r="L17" s="1"/>
      <c r="M17" s="55"/>
    </row>
    <row r="18" spans="1:13">
      <c r="A18" s="2" t="s">
        <v>22</v>
      </c>
      <c r="B18" s="15">
        <f>F8-12</f>
        <v>18.309599999999996</v>
      </c>
      <c r="C18" s="6" t="s">
        <v>19</v>
      </c>
      <c r="E18" s="2" t="s">
        <v>22</v>
      </c>
      <c r="F18" s="15">
        <f>57-F8</f>
        <v>26.690400000000004</v>
      </c>
      <c r="G18" s="6" t="s">
        <v>19</v>
      </c>
      <c r="I18" s="17" t="s">
        <v>48</v>
      </c>
      <c r="J18" s="27">
        <f>(0.5*J16)+(('Section Properties'!B49*12*F8)/(F4))</f>
        <v>0.64218302626415946</v>
      </c>
      <c r="K18" s="17" t="s">
        <v>9</v>
      </c>
      <c r="L18" s="6" t="str">
        <f>IF(J18&lt;J17,"OK","NOT OK")</f>
        <v>OK</v>
      </c>
      <c r="M18" s="66"/>
    </row>
    <row r="19" spans="1:13">
      <c r="A19" s="2" t="s">
        <v>23</v>
      </c>
      <c r="B19" s="34">
        <f>B10*(F6+(B18^2))</f>
        <v>34099.276663106597</v>
      </c>
      <c r="E19" s="2" t="s">
        <v>23</v>
      </c>
      <c r="F19" s="34">
        <f>B10*(F6+(F18^2))</f>
        <v>46375.053463106611</v>
      </c>
      <c r="I19" s="17" t="s">
        <v>51</v>
      </c>
      <c r="J19" s="27">
        <f>0.6*4.5</f>
        <v>2.6999999999999997</v>
      </c>
      <c r="K19" s="17" t="s">
        <v>9</v>
      </c>
      <c r="L19" s="1"/>
      <c r="M19" s="55"/>
    </row>
    <row r="20" spans="1:13">
      <c r="A20" s="2" t="s">
        <v>24</v>
      </c>
      <c r="B20" s="5">
        <f>((F4*F10)/B6)*((2*B17)/(B17-1))</f>
        <v>2089825.9172219709</v>
      </c>
      <c r="E20" s="2" t="s">
        <v>24</v>
      </c>
      <c r="F20" s="5">
        <f>((F4*F10)/B6)*((2*F17)/(F17-1))</f>
        <v>2089825.9172219709</v>
      </c>
      <c r="I20" s="17" t="s">
        <v>52</v>
      </c>
      <c r="J20" s="12">
        <f>('Section Properties'!B9-1)/('Section Properties'!B11/12)</f>
        <v>14.999999999999998</v>
      </c>
      <c r="K20" s="1"/>
      <c r="L20" s="6" t="str">
        <f>IF(J20&lt;=15,"OK","NOT OK")</f>
        <v>OK</v>
      </c>
      <c r="M20" s="66"/>
    </row>
    <row r="21" spans="1:13">
      <c r="A21" s="60"/>
      <c r="B21" s="62"/>
      <c r="E21" s="60"/>
      <c r="F21" s="61"/>
      <c r="I21" s="17" t="s">
        <v>54</v>
      </c>
      <c r="J21" s="27">
        <f>((B11*B38)/F5)-((B11*B38*B18*F8)/F4)+((16790*12*F8)/F4)</f>
        <v>0.87397132142824652</v>
      </c>
      <c r="K21" s="17" t="s">
        <v>9</v>
      </c>
      <c r="L21" s="6" t="str">
        <f>IF(J21&lt;J19,"OK","NOT OK")</f>
        <v>OK</v>
      </c>
      <c r="M21" s="66"/>
    </row>
    <row r="22" spans="1:13">
      <c r="A22" s="2" t="s">
        <v>26</v>
      </c>
      <c r="B22" s="15">
        <f>((B19*0.933*B7)-(B18*('Section Properties'!C29)*12))/(B19+B20)</f>
        <v>2.2935393564958257</v>
      </c>
      <c r="C22" s="6" t="s">
        <v>9</v>
      </c>
      <c r="E22" s="2" t="s">
        <v>26</v>
      </c>
      <c r="F22" s="15">
        <f>((F19*0.933*B7)-(F18*(ABS('Section Properties'!C30))*12))/(F19+F20)</f>
        <v>2.087044456699422</v>
      </c>
      <c r="G22" s="6" t="s">
        <v>9</v>
      </c>
      <c r="I22" s="68"/>
      <c r="J22" s="69"/>
      <c r="K22" s="1"/>
      <c r="L22" s="1"/>
    </row>
    <row r="23" spans="1:13">
      <c r="A23" s="2" t="s">
        <v>27</v>
      </c>
      <c r="B23" s="26">
        <f>0.933-(B22/B7)</f>
        <v>0.92196806466331982</v>
      </c>
      <c r="E23" s="2" t="s">
        <v>27</v>
      </c>
      <c r="F23" s="15">
        <f>0.933-(F22/B7)</f>
        <v>0.92296130612458194</v>
      </c>
      <c r="I23" s="6" t="s">
        <v>49</v>
      </c>
      <c r="J23" s="27">
        <f>0.45*4.5</f>
        <v>2.0249999999999999</v>
      </c>
      <c r="K23" s="17" t="s">
        <v>9</v>
      </c>
      <c r="L23" s="1"/>
      <c r="M23" s="55" t="s">
        <v>55</v>
      </c>
    </row>
    <row r="24" spans="1:13">
      <c r="A24" s="58"/>
      <c r="B24" s="62"/>
      <c r="E24" s="60"/>
      <c r="F24" s="61"/>
      <c r="I24" s="6" t="s">
        <v>53</v>
      </c>
      <c r="J24" s="27">
        <f>((B11*F38)/F5)-(((B11*B38*F18)*F8)/F4)+((ABS(('Section Properties'!C27+'Section Properties'!C30+'Section Properties'!C33)))*12*F8)/F4</f>
        <v>0.61981358452999302</v>
      </c>
      <c r="K24" s="6" t="s">
        <v>9</v>
      </c>
      <c r="L24" s="6" t="str">
        <f>IF(J24&lt;J23,"OK","NOT OK")</f>
        <v>OK</v>
      </c>
      <c r="M24" s="66"/>
    </row>
    <row r="25" spans="1:13">
      <c r="A25" s="3" t="s">
        <v>28</v>
      </c>
      <c r="B25" s="15">
        <f>((B10*((0.933*B7)-B22))*((1/F5)+((B18^2)/F4)))-((('Section Properties'!C29)*12*B18)/F4)</f>
        <v>0.59785657484159127</v>
      </c>
      <c r="C25" s="6" t="s">
        <v>9</v>
      </c>
      <c r="E25" s="2" t="s">
        <v>28</v>
      </c>
      <c r="F25" s="15">
        <f>((B10*((0.933*B7)-F22))*((1/F5)+((F18^2)/F4)))-(((ABS('Section Properties'!C30))*12*F18)/F4)</f>
        <v>0.54402957895207837</v>
      </c>
      <c r="G25" s="6" t="s">
        <v>9</v>
      </c>
      <c r="I25" s="6" t="s">
        <v>50</v>
      </c>
      <c r="J25" s="27">
        <f>0.4*4.5</f>
        <v>1.8</v>
      </c>
      <c r="K25" s="17" t="s">
        <v>9</v>
      </c>
      <c r="L25" s="1"/>
      <c r="M25" s="55"/>
    </row>
    <row r="26" spans="1:13">
      <c r="A26" s="3" t="s">
        <v>29</v>
      </c>
      <c r="B26" s="15">
        <f>((B17-1)/(2*B17))*(B6/F10)*B25</f>
        <v>2.2935393564958253</v>
      </c>
      <c r="C26" s="6" t="s">
        <v>9</v>
      </c>
      <c r="E26" s="2" t="s">
        <v>29</v>
      </c>
      <c r="F26" s="15">
        <f>((F17-1)/(2*F17))*(B6/F10)*F25</f>
        <v>2.0870444566994193</v>
      </c>
      <c r="G26" s="6" t="s">
        <v>9</v>
      </c>
      <c r="I26" s="6" t="s">
        <v>48</v>
      </c>
      <c r="J26" s="27">
        <f>(0.5*J24)+(((ABS('Section Properties'!B50))*12*F8)/(F4))</f>
        <v>0.74791795379535553</v>
      </c>
      <c r="K26" s="6" t="s">
        <v>9</v>
      </c>
      <c r="L26" s="6" t="str">
        <f>IF(J26&lt;J25,"OK","NOT OK")</f>
        <v>OK</v>
      </c>
      <c r="M26" s="66"/>
    </row>
    <row r="27" spans="1:13">
      <c r="A27" s="64"/>
      <c r="B27" s="59"/>
      <c r="E27" s="58"/>
      <c r="F27" s="62"/>
      <c r="I27" s="6" t="s">
        <v>51</v>
      </c>
      <c r="J27" s="27">
        <f>0.6*4.5</f>
        <v>2.6999999999999997</v>
      </c>
      <c r="K27" s="17" t="s">
        <v>9</v>
      </c>
      <c r="L27" s="1"/>
      <c r="M27" s="55"/>
    </row>
    <row r="28" spans="1:13">
      <c r="A28" s="63" t="s">
        <v>30</v>
      </c>
      <c r="B28" s="63"/>
      <c r="C28" s="63"/>
      <c r="E28" s="63" t="s">
        <v>30</v>
      </c>
      <c r="F28" s="63"/>
      <c r="G28" s="63"/>
      <c r="I28" s="6" t="s">
        <v>52</v>
      </c>
      <c r="J28" s="12">
        <f>('Section Properties'!B9-1)/('Section Properties'!B11/12)</f>
        <v>14.999999999999998</v>
      </c>
      <c r="K28" s="1"/>
      <c r="L28" s="1" t="str">
        <f>IF(J28&lt;=15,"OK","NOT OK")</f>
        <v>OK</v>
      </c>
      <c r="M28" s="55"/>
    </row>
    <row r="29" spans="1:13">
      <c r="A29" s="3" t="s">
        <v>31</v>
      </c>
      <c r="B29" s="15">
        <f>(13.5-(0.123*40))</f>
        <v>8.58</v>
      </c>
      <c r="C29" s="6" t="s">
        <v>9</v>
      </c>
      <c r="E29" s="2" t="s">
        <v>31</v>
      </c>
      <c r="F29" s="15">
        <f>(13.5-(0.123*40))</f>
        <v>8.58</v>
      </c>
      <c r="G29" s="6" t="s">
        <v>9</v>
      </c>
      <c r="I29" s="6" t="s">
        <v>54</v>
      </c>
      <c r="J29" s="27">
        <f>((B11*F38)/F5)-((B11*F38*F18*F8)/F4)+(((ABS('Section Properties'!C27+'Section Properties'!C30+'Section Properties'!C33+'Section Properties'!B50))*12*F8)/F4)</f>
        <v>1.0853513389002241</v>
      </c>
      <c r="K29" s="17" t="s">
        <v>9</v>
      </c>
      <c r="L29" s="6" t="str">
        <f>IF(J29&lt;J27,"OK","NOT OK")</f>
        <v>OK</v>
      </c>
      <c r="M29" s="66"/>
    </row>
    <row r="30" spans="1:13">
      <c r="A30" s="65"/>
      <c r="B30" s="59"/>
      <c r="E30" s="60"/>
      <c r="F30" s="61"/>
      <c r="K30" s="1"/>
      <c r="L30" s="1"/>
    </row>
    <row r="31" spans="1:13">
      <c r="A31" s="2" t="s">
        <v>32</v>
      </c>
      <c r="B31" s="15">
        <f>(('Section Properties'!C26+'Section Properties'!C32)*(12*B18))/F4</f>
        <v>2.3782935328942042E-2</v>
      </c>
      <c r="C31" s="6" t="s">
        <v>9</v>
      </c>
      <c r="E31" s="2" t="s">
        <v>32</v>
      </c>
      <c r="F31" s="15">
        <f>(((ABS('Section Properties'!C27+'Section Properties'!C33)))*(12*F18))/F4</f>
        <v>6.1908552684499282E-2</v>
      </c>
      <c r="G31" s="6" t="s">
        <v>9</v>
      </c>
      <c r="I31" s="63" t="s">
        <v>61</v>
      </c>
      <c r="J31" s="63"/>
      <c r="K31" s="1"/>
      <c r="L31" s="1"/>
    </row>
    <row r="32" spans="1:13">
      <c r="A32" s="2" t="s">
        <v>33</v>
      </c>
      <c r="B32" s="15">
        <f>(12*B25)-(7*B31)</f>
        <v>7.0077983507965005</v>
      </c>
      <c r="C32" s="6" t="s">
        <v>9</v>
      </c>
      <c r="E32" s="2" t="s">
        <v>33</v>
      </c>
      <c r="F32" s="15">
        <f>(12*F25)-(7*F31)</f>
        <v>6.0949950786334455</v>
      </c>
      <c r="G32" s="6" t="s">
        <v>9</v>
      </c>
      <c r="I32" s="20" t="s">
        <v>56</v>
      </c>
      <c r="J32" s="44">
        <f>0.0948*SQRT(4.5)</f>
        <v>0.20110116856945409</v>
      </c>
      <c r="K32" s="6" t="s">
        <v>9</v>
      </c>
      <c r="L32" s="1"/>
    </row>
    <row r="33" spans="1:12">
      <c r="A33" s="58"/>
      <c r="B33" s="59"/>
      <c r="E33" s="60"/>
      <c r="F33" s="61"/>
      <c r="I33" s="20" t="s">
        <v>57</v>
      </c>
      <c r="J33" s="44">
        <f>((B11*B38)/F5)+((B11*B38*B18*F8)/(F4))-((('Section Properties'!C26+'Section Properties'!C29+'Section Properties'!C32+(0.8*'Section Properties'!B49))*12*F8)/F4)</f>
        <v>0.19543914754092029</v>
      </c>
      <c r="K33" s="6" t="s">
        <v>9</v>
      </c>
      <c r="L33" s="6" t="str">
        <f>IF(ABS(J33)&lt;ABS(J32),"OK","NOT OK")</f>
        <v>OK</v>
      </c>
    </row>
    <row r="34" spans="1:12">
      <c r="A34" s="63" t="s">
        <v>34</v>
      </c>
      <c r="B34" s="63"/>
      <c r="C34" s="63"/>
      <c r="E34" s="70" t="s">
        <v>34</v>
      </c>
      <c r="F34" s="71"/>
      <c r="G34" s="71"/>
      <c r="I34" s="20" t="s">
        <v>62</v>
      </c>
      <c r="J34" s="44">
        <f>((B11*F38)/F5)+((B11*F38*F18*F7)/(F4))-(((ABS('Section Properties'!C27+'Section Properties'!C30+'Section Properties'!C33+(0.8*'Section Properties'!B50)))*12*F7)/F4)</f>
        <v>-0.17224075219298807</v>
      </c>
      <c r="K34" s="6" t="s">
        <v>9</v>
      </c>
      <c r="L34" s="6" t="str">
        <f>IF(ABS(J34)&lt;ABS(J32),"OK","NOT OK")</f>
        <v>OK</v>
      </c>
    </row>
    <row r="35" spans="1:12">
      <c r="A35" s="2" t="s">
        <v>35</v>
      </c>
      <c r="B35" s="15">
        <f>(0.3)*(20-(0.3*0)-(0.4*B26)-(0.2*(B29+B32)))</f>
        <v>4.7895073761727112</v>
      </c>
      <c r="C35" s="6" t="s">
        <v>9</v>
      </c>
      <c r="E35" s="2" t="s">
        <v>35</v>
      </c>
      <c r="F35" s="15">
        <f>(0.3)*(20-(0.3*0)-(0.4*F26)-(0.2*(F29+F32)))</f>
        <v>4.8690549604780626</v>
      </c>
      <c r="G35" s="6" t="s">
        <v>9</v>
      </c>
      <c r="K35" s="1"/>
      <c r="L35" s="1"/>
    </row>
    <row r="36" spans="1:12">
      <c r="A36" s="58"/>
      <c r="B36" s="59"/>
      <c r="E36" s="60"/>
      <c r="F36" s="61"/>
      <c r="I36" s="51" t="s">
        <v>63</v>
      </c>
      <c r="J36" s="51"/>
      <c r="K36" s="1"/>
      <c r="L36" s="1"/>
    </row>
    <row r="37" spans="1:12">
      <c r="A37" s="3" t="s">
        <v>36</v>
      </c>
      <c r="B37" s="15">
        <f>B26+B29+B32+B35</f>
        <v>22.670845083465036</v>
      </c>
      <c r="C37" s="6" t="s">
        <v>9</v>
      </c>
      <c r="E37" s="2" t="s">
        <v>36</v>
      </c>
      <c r="F37" s="15">
        <f>F26+F29+F32+F35</f>
        <v>21.631094495810927</v>
      </c>
      <c r="G37" s="6" t="s">
        <v>9</v>
      </c>
      <c r="I37" s="17" t="s">
        <v>56</v>
      </c>
      <c r="J37" s="8">
        <v>0</v>
      </c>
      <c r="K37" s="6" t="s">
        <v>9</v>
      </c>
      <c r="L37" s="1"/>
    </row>
    <row r="38" spans="1:12">
      <c r="A38" s="23" t="s">
        <v>37</v>
      </c>
      <c r="B38" s="26">
        <f>0.933-(B18/B7)</f>
        <v>0.84493073593073598</v>
      </c>
      <c r="E38" s="2" t="s">
        <v>37</v>
      </c>
      <c r="F38" s="15">
        <f>0.933-(F18/B7)</f>
        <v>0.80461904761904768</v>
      </c>
      <c r="I38" s="17" t="s">
        <v>57</v>
      </c>
      <c r="J38" s="27">
        <f>((B11*B38)/F5)+((B11*B38*B18*F8)/(F4))-((('Section Properties'!C26+'Section Properties'!C29+'Section Properties'!C32)*12*F8)/F4)</f>
        <v>0.50457978211717103</v>
      </c>
      <c r="K38" s="6" t="s">
        <v>9</v>
      </c>
      <c r="L38" s="6" t="str">
        <f>IF(J38&gt;=J37,"OK","NOT OK")</f>
        <v>OK</v>
      </c>
    </row>
    <row r="39" spans="1:12">
      <c r="I39" s="17" t="s">
        <v>62</v>
      </c>
      <c r="J39" s="27">
        <f>((B11*F38)/F5)+((B11*F38*F18*F7)/(F4))-(((ABS('Section Properties'!C27+'Section Properties'!C30+'Section Properties'!C33))*12*F7)/F4)</f>
        <v>0.2750585072911147</v>
      </c>
      <c r="K39" s="6" t="s">
        <v>9</v>
      </c>
      <c r="L39" s="6" t="str">
        <f>IF(J39&gt;=J37,"OK","NOT OK")</f>
        <v>OK</v>
      </c>
    </row>
    <row r="41" spans="1:12">
      <c r="I41" s="51" t="s">
        <v>64</v>
      </c>
      <c r="J41" s="51"/>
      <c r="K41" s="51"/>
      <c r="L41" s="51"/>
    </row>
    <row r="42" spans="1:12" ht="15" customHeight="1">
      <c r="H42" s="72" t="s">
        <v>58</v>
      </c>
      <c r="I42" s="28" t="s">
        <v>65</v>
      </c>
      <c r="J42" s="29">
        <f>2*(1.04-(B5/B4))</f>
        <v>0.28000000000000003</v>
      </c>
      <c r="K42" s="1"/>
      <c r="L42" s="1"/>
    </row>
    <row r="43" spans="1:12">
      <c r="H43" s="72"/>
      <c r="I43" s="17" t="s">
        <v>66</v>
      </c>
      <c r="J43" s="6">
        <f>('Section Properties'!B$12*12)-12</f>
        <v>57</v>
      </c>
      <c r="K43" s="6" t="s">
        <v>19</v>
      </c>
      <c r="L43" s="1"/>
    </row>
    <row r="44" spans="1:12">
      <c r="H44" s="72"/>
      <c r="I44" s="17" t="s">
        <v>67</v>
      </c>
      <c r="J44" s="12">
        <f>(B10*B4)/((0.85*4.5*0.825*F12)+(J42*B10*(B4/J43)))</f>
        <v>4.8044140481237676</v>
      </c>
      <c r="K44" s="6" t="str">
        <f>IF(J44&lt;'Section Properties'!B10,"Rectangular Section","T-Section")</f>
        <v>Rectangular Section</v>
      </c>
      <c r="L44" s="1"/>
    </row>
    <row r="45" spans="1:12">
      <c r="H45" s="72"/>
      <c r="I45" s="17" t="s">
        <v>69</v>
      </c>
      <c r="J45" s="12">
        <f>0.825*J44</f>
        <v>3.963641589702108</v>
      </c>
      <c r="K45" s="6" t="s">
        <v>19</v>
      </c>
      <c r="L45" s="1"/>
    </row>
    <row r="46" spans="1:12">
      <c r="H46" s="72"/>
      <c r="I46" s="17" t="s">
        <v>70</v>
      </c>
      <c r="J46" s="12">
        <f>B4*(1-((J42*J44)/J43))</f>
        <v>263.62782978880426</v>
      </c>
      <c r="K46" s="6" t="s">
        <v>9</v>
      </c>
      <c r="L46" s="1"/>
    </row>
    <row r="47" spans="1:12">
      <c r="H47" s="72"/>
      <c r="I47" s="17" t="s">
        <v>71</v>
      </c>
      <c r="J47" s="13">
        <f>(B10*J46)*(J43-(J45/2))*(1/12)</f>
        <v>39342.976633304133</v>
      </c>
      <c r="K47" s="6" t="s">
        <v>73</v>
      </c>
      <c r="L47" s="1"/>
    </row>
    <row r="48" spans="1:12">
      <c r="H48" s="72"/>
      <c r="I48" s="17" t="s">
        <v>75</v>
      </c>
      <c r="J48" s="11">
        <f>0.003*((J43/J44)-1)</f>
        <v>3.2592269585253457E-2</v>
      </c>
      <c r="K48" s="6" t="str">
        <f>IF(J48&gt;0.005,"Tension Controlled","--")</f>
        <v>Tension Controlled</v>
      </c>
      <c r="L48" s="1"/>
    </row>
    <row r="49" spans="8:12">
      <c r="H49" s="72"/>
      <c r="I49" s="17" t="s">
        <v>76</v>
      </c>
      <c r="J49" s="6">
        <f>IF(K48="Tension Controlled",0.95,0.9)</f>
        <v>0.95</v>
      </c>
      <c r="K49" s="1"/>
      <c r="L49" s="1"/>
    </row>
    <row r="50" spans="8:12">
      <c r="H50" s="72"/>
      <c r="I50" s="17" t="s">
        <v>72</v>
      </c>
      <c r="J50" s="13">
        <f>0.95*J47</f>
        <v>37375.827801638923</v>
      </c>
      <c r="K50" s="6" t="s">
        <v>73</v>
      </c>
      <c r="L50" s="6" t="str">
        <f>IF(J50&gt;J51,"OK","NOT OK")</f>
        <v>OK</v>
      </c>
    </row>
    <row r="51" spans="8:12">
      <c r="H51" s="72"/>
      <c r="I51" s="17" t="s">
        <v>74</v>
      </c>
      <c r="J51" s="13">
        <f>'Section Properties'!B53</f>
        <v>25955.21540613988</v>
      </c>
      <c r="K51" s="6" t="s">
        <v>73</v>
      </c>
      <c r="L51" s="1"/>
    </row>
    <row r="52" spans="8:12">
      <c r="H52" s="72"/>
      <c r="I52" s="17" t="s">
        <v>77</v>
      </c>
      <c r="J52" s="13">
        <f>F4/F7</f>
        <v>207212.56100738165</v>
      </c>
      <c r="K52" s="6" t="s">
        <v>123</v>
      </c>
      <c r="L52" s="1"/>
    </row>
    <row r="53" spans="8:12">
      <c r="H53" s="72"/>
      <c r="I53" s="17" t="s">
        <v>78</v>
      </c>
      <c r="J53" s="12">
        <f>((B11*B38)/F5)+((B11*B38*B18*F7)/F4)</f>
        <v>1.0132774016641211</v>
      </c>
      <c r="K53" s="6" t="s">
        <v>9</v>
      </c>
      <c r="L53" s="1"/>
    </row>
    <row r="54" spans="8:12">
      <c r="H54" s="72"/>
      <c r="I54" s="17" t="s">
        <v>79</v>
      </c>
      <c r="J54" s="13">
        <f>(1.2*J52*(0.785+J53))*(1/12)</f>
        <v>37262.56658005224</v>
      </c>
      <c r="K54" s="6" t="s">
        <v>73</v>
      </c>
      <c r="L54" s="6" t="str">
        <f>IF(J50&gt;J54,"OK","NOT OK")</f>
        <v>OK</v>
      </c>
    </row>
    <row r="56" spans="8:12">
      <c r="H56" s="67" t="s">
        <v>55</v>
      </c>
      <c r="I56" s="17" t="s">
        <v>65</v>
      </c>
      <c r="J56" s="6">
        <f>2*(1.04-(B5/B4))</f>
        <v>0.28000000000000003</v>
      </c>
      <c r="K56" s="1"/>
    </row>
    <row r="57" spans="8:12">
      <c r="H57" s="67"/>
      <c r="I57" s="17" t="s">
        <v>66</v>
      </c>
      <c r="J57" s="6">
        <f>('Section Properties'!B$12*12)-15</f>
        <v>54</v>
      </c>
      <c r="K57" s="17" t="s">
        <v>19</v>
      </c>
    </row>
    <row r="58" spans="8:12">
      <c r="H58" s="67"/>
      <c r="I58" s="17" t="s">
        <v>67</v>
      </c>
      <c r="J58" s="12">
        <f>(B10*B4)/((0.85*4.5*0.825*F13)+(J42*B10*(B4/J57)))</f>
        <v>6.5616364333771049</v>
      </c>
      <c r="K58" s="6" t="str">
        <f>IF(J58&lt;'Section Properties'!B10,"Rectangular Section","T-Section")</f>
        <v>Rectangular Section</v>
      </c>
    </row>
    <row r="59" spans="8:12">
      <c r="H59" s="67"/>
      <c r="I59" s="17" t="s">
        <v>69</v>
      </c>
      <c r="J59" s="12">
        <f>0.825*J58</f>
        <v>5.4133500575361113</v>
      </c>
      <c r="K59" s="6" t="s">
        <v>19</v>
      </c>
    </row>
    <row r="60" spans="8:12">
      <c r="H60" s="67"/>
      <c r="I60" s="17" t="s">
        <v>70</v>
      </c>
      <c r="J60" s="12">
        <f>B4*(1-((J56*J58)/J57))</f>
        <v>260.81370899327203</v>
      </c>
      <c r="K60" s="6" t="s">
        <v>9</v>
      </c>
    </row>
    <row r="61" spans="8:12">
      <c r="H61" s="67"/>
      <c r="I61" s="17" t="s">
        <v>71</v>
      </c>
      <c r="J61" s="13">
        <f>(B10*J60)*(J57-(J59/2))*(1/12)</f>
        <v>36287.831326483698</v>
      </c>
      <c r="K61" s="6" t="s">
        <v>73</v>
      </c>
    </row>
    <row r="62" spans="8:12">
      <c r="H62" s="67"/>
      <c r="I62" s="17" t="s">
        <v>75</v>
      </c>
      <c r="J62" s="11">
        <f>0.003*((J57/J58)-1)</f>
        <v>2.1688963133640549E-2</v>
      </c>
      <c r="K62" s="6" t="str">
        <f>IF(J62&gt;0.005,"Tension Controlled","--")</f>
        <v>Tension Controlled</v>
      </c>
    </row>
    <row r="63" spans="8:12">
      <c r="H63" s="67"/>
      <c r="I63" s="17" t="s">
        <v>76</v>
      </c>
      <c r="J63" s="6">
        <f>IF(K62="Tension Controlled",0.95,0.9)</f>
        <v>0.95</v>
      </c>
      <c r="K63" s="1"/>
    </row>
    <row r="64" spans="8:12">
      <c r="H64" s="67"/>
      <c r="I64" s="17" t="s">
        <v>72</v>
      </c>
      <c r="J64" s="13">
        <f>J63*J61</f>
        <v>34473.439760159512</v>
      </c>
      <c r="K64" s="6" t="s">
        <v>73</v>
      </c>
      <c r="L64" s="19" t="str">
        <f>IF(J64&gt;ABS(J65),"OK","NOT OK")</f>
        <v>NOT OK</v>
      </c>
    </row>
    <row r="65" spans="8:12">
      <c r="H65" s="67"/>
      <c r="I65" s="17" t="s">
        <v>74</v>
      </c>
      <c r="J65" s="13">
        <f>'Section Properties'!B54</f>
        <v>-36626.55499116781</v>
      </c>
      <c r="K65" s="6" t="s">
        <v>73</v>
      </c>
    </row>
    <row r="66" spans="8:12">
      <c r="H66" s="67"/>
      <c r="I66" s="17" t="s">
        <v>77</v>
      </c>
      <c r="J66" s="13">
        <f>F4/F8</f>
        <v>264508.17135165096</v>
      </c>
      <c r="K66" s="6" t="s">
        <v>123</v>
      </c>
    </row>
    <row r="67" spans="8:12">
      <c r="H67" s="67"/>
      <c r="I67" s="17" t="s">
        <v>78</v>
      </c>
      <c r="J67" s="12">
        <f>((B11*F38)/F5)+((B11*F38*F18*F8)/F4)</f>
        <v>1.0332374259618975</v>
      </c>
      <c r="K67" s="6" t="s">
        <v>9</v>
      </c>
    </row>
    <row r="68" spans="8:12">
      <c r="H68" s="67"/>
      <c r="I68" s="17" t="s">
        <v>79</v>
      </c>
      <c r="J68" s="13">
        <f>(1.2*J66*(0.785+J67))*(1/12)</f>
        <v>48093.865662431439</v>
      </c>
      <c r="K68" s="6" t="s">
        <v>73</v>
      </c>
      <c r="L68" s="19" t="str">
        <f>IF(J64&gt;J68,"OK","NOT OK")</f>
        <v>NOT OK</v>
      </c>
    </row>
    <row r="70" spans="8:12">
      <c r="H70" s="51" t="str">
        <f>IF(L68="NOT OK","Add Mild Steel Over Pier","DO NOTHING")</f>
        <v>Add Mild Steel Over Pier</v>
      </c>
      <c r="I70" s="51"/>
      <c r="J70" s="51"/>
    </row>
    <row r="71" spans="8:12">
      <c r="H71" s="53" t="s">
        <v>124</v>
      </c>
      <c r="I71" s="53"/>
      <c r="J71" s="53"/>
    </row>
    <row r="72" spans="8:12">
      <c r="H72" s="3" t="s">
        <v>125</v>
      </c>
      <c r="I72" s="15">
        <f>0.2*47</f>
        <v>9.4</v>
      </c>
      <c r="J72" s="3" t="s">
        <v>10</v>
      </c>
    </row>
    <row r="73" spans="8:12">
      <c r="H73" s="3" t="s">
        <v>130</v>
      </c>
      <c r="I73" s="15">
        <f>('Section Properties'!B12*12)-2.5-(0.625)-(0.625/2)</f>
        <v>65.5625</v>
      </c>
      <c r="J73" s="3" t="s">
        <v>19</v>
      </c>
    </row>
    <row r="74" spans="8:12">
      <c r="H74" s="3" t="s">
        <v>126</v>
      </c>
      <c r="I74" s="5">
        <v>60</v>
      </c>
      <c r="J74" s="3" t="s">
        <v>9</v>
      </c>
    </row>
    <row r="75" spans="8:12">
      <c r="H75" s="3" t="s">
        <v>128</v>
      </c>
      <c r="I75" s="5">
        <f>'Section Properties'!B17*12</f>
        <v>410</v>
      </c>
      <c r="J75" s="3" t="s">
        <v>19</v>
      </c>
    </row>
    <row r="76" spans="8:12">
      <c r="H76" s="3" t="s">
        <v>129</v>
      </c>
      <c r="I76" s="35">
        <f>('Section Properties'!B9*12)-'Section Properties'!B8-'Section Properties'!B18</f>
        <v>101</v>
      </c>
      <c r="J76" s="3" t="s">
        <v>19</v>
      </c>
    </row>
    <row r="77" spans="8:12">
      <c r="H77" s="3" t="s">
        <v>67</v>
      </c>
      <c r="I77" s="15">
        <f>(((B10*B4)+(I72*I74))-(0.85*4.5*(I75-I76)*'Section Properties'!B11))/((0.85*4.5*0.825*I76)+(J56*B10*(B4/J57)))</f>
        <v>2.9620098102291963</v>
      </c>
      <c r="J77" s="4" t="s">
        <v>19</v>
      </c>
    </row>
    <row r="78" spans="8:12">
      <c r="H78" s="3" t="s">
        <v>69</v>
      </c>
      <c r="I78" s="15">
        <f>I77*0.825</f>
        <v>2.4436580934390868</v>
      </c>
      <c r="J78" s="4" t="s">
        <v>19</v>
      </c>
    </row>
    <row r="79" spans="8:12">
      <c r="H79" s="3" t="s">
        <v>70</v>
      </c>
      <c r="I79" s="15">
        <f>B4*(1-(J56*(I77/J57)))</f>
        <v>265.85318626567914</v>
      </c>
      <c r="J79" s="4" t="s">
        <v>9</v>
      </c>
    </row>
    <row r="80" spans="8:12">
      <c r="H80" s="3" t="s">
        <v>71</v>
      </c>
      <c r="I80" s="5">
        <f>(1/12)*((B10*I79)*(J57-(I78/2)))+((I72*I74)*(I73-(I78/2)))+(0.85*4.5*(I75-I76)*'Section Properties'!B11*((I78/2)-('Section Properties'!B11/2)))</f>
        <v>55499.499817024873</v>
      </c>
      <c r="J80" s="25" t="s">
        <v>133</v>
      </c>
    </row>
    <row r="81" spans="8:10">
      <c r="H81" s="3" t="s">
        <v>75</v>
      </c>
      <c r="I81" s="14">
        <f>0.003*((I73/I77)-1)</f>
        <v>6.3403392494091909E-2</v>
      </c>
      <c r="J81" s="3" t="str">
        <f>IF(I81&gt;0.005,"Tension Controlled","--")</f>
        <v>Tension Controlled</v>
      </c>
    </row>
    <row r="82" spans="8:10">
      <c r="H82" s="3" t="s">
        <v>76</v>
      </c>
      <c r="I82" s="3">
        <f>IF(J81="Tension Controlled",0.95,0.9)</f>
        <v>0.95</v>
      </c>
      <c r="J82" s="24"/>
    </row>
    <row r="83" spans="8:10">
      <c r="H83" s="3" t="s">
        <v>72</v>
      </c>
      <c r="I83" s="5">
        <f>I82*I80</f>
        <v>52724.524826173627</v>
      </c>
      <c r="J83" s="3" t="s">
        <v>133</v>
      </c>
    </row>
    <row r="84" spans="8:10">
      <c r="H84" s="3" t="s">
        <v>132</v>
      </c>
      <c r="I84" s="3" t="str">
        <f>IF(I83&gt;J68,"OK","NOT OK")</f>
        <v>OK</v>
      </c>
      <c r="J84" s="24"/>
    </row>
    <row r="85" spans="8:10">
      <c r="H85" s="3" t="s">
        <v>131</v>
      </c>
      <c r="I85" s="3" t="str">
        <f>IF(I83&gt;ABS(J65),"OK","NOT OK")</f>
        <v>OK</v>
      </c>
      <c r="J85" s="24"/>
    </row>
  </sheetData>
  <mergeCells count="39">
    <mergeCell ref="H71:J71"/>
    <mergeCell ref="E34:G34"/>
    <mergeCell ref="E28:G28"/>
    <mergeCell ref="H42:H54"/>
    <mergeCell ref="I41:L41"/>
    <mergeCell ref="H56:H68"/>
    <mergeCell ref="M23:M29"/>
    <mergeCell ref="I22:J22"/>
    <mergeCell ref="I31:J31"/>
    <mergeCell ref="I36:J36"/>
    <mergeCell ref="H70:J70"/>
    <mergeCell ref="I10:J10"/>
    <mergeCell ref="I9:J9"/>
    <mergeCell ref="I3:J3"/>
    <mergeCell ref="M15:M21"/>
    <mergeCell ref="E3:G3"/>
    <mergeCell ref="I6:J6"/>
    <mergeCell ref="I5:J5"/>
    <mergeCell ref="I14:J14"/>
    <mergeCell ref="E16:F16"/>
    <mergeCell ref="A2:C2"/>
    <mergeCell ref="A21:B21"/>
    <mergeCell ref="A24:B24"/>
    <mergeCell ref="A27:B27"/>
    <mergeCell ref="A30:B30"/>
    <mergeCell ref="A16:B16"/>
    <mergeCell ref="A28:C28"/>
    <mergeCell ref="B12:C12"/>
    <mergeCell ref="B13:C13"/>
    <mergeCell ref="B3:C3"/>
    <mergeCell ref="A36:B36"/>
    <mergeCell ref="E21:F21"/>
    <mergeCell ref="E24:F24"/>
    <mergeCell ref="E27:F27"/>
    <mergeCell ref="E30:F30"/>
    <mergeCell ref="E33:F33"/>
    <mergeCell ref="E36:F36"/>
    <mergeCell ref="A33:B33"/>
    <mergeCell ref="A34:C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workbookViewId="0">
      <selection activeCell="K13" sqref="K13:L35"/>
    </sheetView>
  </sheetViews>
  <sheetFormatPr baseColWidth="10" defaultRowHeight="15" x14ac:dyDescent="0"/>
  <cols>
    <col min="2" max="2" width="17.83203125" bestFit="1" customWidth="1"/>
    <col min="3" max="3" width="6.83203125" bestFit="1" customWidth="1"/>
    <col min="4" max="4" width="22.6640625" bestFit="1" customWidth="1"/>
    <col min="5" max="5" width="22.1640625" bestFit="1" customWidth="1"/>
    <col min="6" max="6" width="14" bestFit="1" customWidth="1"/>
    <col min="7" max="7" width="6.83203125" bestFit="1" customWidth="1"/>
    <col min="8" max="8" width="22.6640625" bestFit="1" customWidth="1"/>
    <col min="11" max="11" width="7.33203125" bestFit="1" customWidth="1"/>
    <col min="12" max="12" width="17.5" customWidth="1"/>
  </cols>
  <sheetData>
    <row r="1" spans="2:12">
      <c r="B1" s="51" t="s">
        <v>175</v>
      </c>
      <c r="C1" s="51"/>
      <c r="D1" s="51"/>
      <c r="E1" s="51"/>
      <c r="F1" s="51"/>
      <c r="G1" s="51"/>
    </row>
    <row r="2" spans="2:12">
      <c r="B2" s="53" t="s">
        <v>134</v>
      </c>
      <c r="C2" s="53"/>
      <c r="D2" s="53"/>
      <c r="E2" s="10" t="s">
        <v>160</v>
      </c>
      <c r="F2" s="30">
        <f>4.5</f>
        <v>4.5</v>
      </c>
      <c r="G2" s="10" t="s">
        <v>9</v>
      </c>
    </row>
    <row r="3" spans="2:12">
      <c r="B3" s="53" t="s">
        <v>135</v>
      </c>
      <c r="C3" s="53"/>
      <c r="D3" s="53"/>
      <c r="E3" s="10" t="s">
        <v>126</v>
      </c>
      <c r="F3" s="30">
        <f>60</f>
        <v>60</v>
      </c>
      <c r="G3" s="10" t="s">
        <v>9</v>
      </c>
    </row>
    <row r="4" spans="2:12">
      <c r="B4" s="10" t="s">
        <v>156</v>
      </c>
      <c r="C4" s="30">
        <f>8</f>
        <v>8</v>
      </c>
      <c r="D4" s="10"/>
      <c r="E4" s="10" t="s">
        <v>170</v>
      </c>
      <c r="F4" s="30">
        <f>0.825</f>
        <v>0.82499999999999996</v>
      </c>
      <c r="G4" s="10"/>
    </row>
    <row r="5" spans="2:12">
      <c r="B5" s="10" t="s">
        <v>140</v>
      </c>
      <c r="C5" s="30">
        <f>'Section Properties'!B9-('Section Properties'!B8/12)</f>
        <v>8.75</v>
      </c>
      <c r="D5" s="10" t="s">
        <v>87</v>
      </c>
      <c r="E5" s="10" t="s">
        <v>128</v>
      </c>
      <c r="F5" s="30">
        <f>12</f>
        <v>12</v>
      </c>
      <c r="G5" s="10" t="s">
        <v>19</v>
      </c>
    </row>
    <row r="6" spans="2:12">
      <c r="B6" s="10" t="s">
        <v>136</v>
      </c>
      <c r="C6" s="30">
        <v>6.14</v>
      </c>
      <c r="D6" s="10" t="s">
        <v>148</v>
      </c>
      <c r="E6" s="9" t="s">
        <v>94</v>
      </c>
      <c r="F6" s="18">
        <v>5.75</v>
      </c>
      <c r="G6" s="9" t="s">
        <v>87</v>
      </c>
    </row>
    <row r="7" spans="2:12">
      <c r="B7" s="10" t="s">
        <v>137</v>
      </c>
      <c r="C7" s="30">
        <v>-6.74</v>
      </c>
      <c r="D7" s="10" t="s">
        <v>148</v>
      </c>
      <c r="E7" s="9" t="s">
        <v>287</v>
      </c>
      <c r="F7" s="18">
        <f>1.75</f>
        <v>1.75</v>
      </c>
      <c r="G7" s="9" t="s">
        <v>87</v>
      </c>
    </row>
    <row r="8" spans="2:12">
      <c r="B8" s="10" t="s">
        <v>141</v>
      </c>
      <c r="C8" s="30">
        <v>0.15</v>
      </c>
      <c r="D8" s="10" t="s">
        <v>142</v>
      </c>
      <c r="E8" s="17" t="s">
        <v>85</v>
      </c>
      <c r="F8" s="30">
        <f>12</f>
        <v>12</v>
      </c>
      <c r="G8" s="17" t="s">
        <v>19</v>
      </c>
    </row>
    <row r="9" spans="2:12">
      <c r="B9" s="10" t="s">
        <v>143</v>
      </c>
      <c r="C9" s="30">
        <v>2.5000000000000001E-2</v>
      </c>
      <c r="D9" s="10" t="s">
        <v>144</v>
      </c>
    </row>
    <row r="10" spans="2:12">
      <c r="B10" s="10" t="s">
        <v>153</v>
      </c>
      <c r="C10" s="30">
        <f>24</f>
        <v>24</v>
      </c>
      <c r="D10" s="10" t="s">
        <v>9</v>
      </c>
    </row>
    <row r="11" spans="2:12">
      <c r="B11" s="10" t="s">
        <v>154</v>
      </c>
      <c r="C11" s="30">
        <f>0.5</f>
        <v>0.5</v>
      </c>
      <c r="D11" s="10" t="s">
        <v>19</v>
      </c>
    </row>
    <row r="13" spans="2:12">
      <c r="B13" s="51" t="s">
        <v>138</v>
      </c>
      <c r="C13" s="51"/>
      <c r="D13" s="51"/>
      <c r="F13" s="51" t="s">
        <v>176</v>
      </c>
      <c r="G13" s="51"/>
      <c r="H13" s="51"/>
      <c r="K13" s="51" t="s">
        <v>333</v>
      </c>
      <c r="L13" s="51"/>
    </row>
    <row r="14" spans="2:12">
      <c r="B14" s="10" t="s">
        <v>145</v>
      </c>
      <c r="C14" s="12">
        <f>C8*('Section Properties'!B10/12)*('Deck Design'!C5^2)/10</f>
        <v>0.76562499999999989</v>
      </c>
      <c r="D14" s="10" t="s">
        <v>73</v>
      </c>
      <c r="F14" s="10" t="s">
        <v>145</v>
      </c>
      <c r="G14" s="12">
        <f>-C14</f>
        <v>-0.76562499999999989</v>
      </c>
      <c r="H14" s="10" t="s">
        <v>73</v>
      </c>
      <c r="K14" s="49" t="s">
        <v>341</v>
      </c>
      <c r="L14" s="49" t="s">
        <v>280</v>
      </c>
    </row>
    <row r="15" spans="2:12">
      <c r="B15" s="10" t="s">
        <v>146</v>
      </c>
      <c r="C15" s="12">
        <f>C9*(C5^2)/10</f>
        <v>0.19140625</v>
      </c>
      <c r="D15" s="10" t="s">
        <v>73</v>
      </c>
      <c r="F15" s="10" t="s">
        <v>146</v>
      </c>
      <c r="G15" s="12">
        <f>-C15</f>
        <v>-0.19140625</v>
      </c>
      <c r="H15" s="10" t="s">
        <v>73</v>
      </c>
      <c r="K15" s="73" t="s">
        <v>335</v>
      </c>
      <c r="L15" s="73"/>
    </row>
    <row r="16" spans="2:12">
      <c r="B16" s="10" t="s">
        <v>147</v>
      </c>
      <c r="C16" s="10">
        <f>C6</f>
        <v>6.14</v>
      </c>
      <c r="D16" s="10" t="s">
        <v>73</v>
      </c>
      <c r="F16" s="10" t="s">
        <v>147</v>
      </c>
      <c r="G16" s="10">
        <f>C7</f>
        <v>-6.74</v>
      </c>
      <c r="H16" s="10" t="s">
        <v>73</v>
      </c>
      <c r="K16" s="41" t="s">
        <v>340</v>
      </c>
      <c r="L16" s="41" t="s">
        <v>342</v>
      </c>
    </row>
    <row r="17" spans="2:12">
      <c r="B17" s="51" t="s">
        <v>149</v>
      </c>
      <c r="C17" s="51"/>
      <c r="D17" s="51"/>
      <c r="F17" s="51" t="s">
        <v>149</v>
      </c>
      <c r="G17" s="51"/>
      <c r="H17" s="51"/>
      <c r="K17" s="73" t="s">
        <v>334</v>
      </c>
      <c r="L17" s="73"/>
    </row>
    <row r="18" spans="2:12">
      <c r="B18" s="10" t="s">
        <v>150</v>
      </c>
      <c r="C18" s="12">
        <f>(1*(C14+C15))+(1*C16)</f>
        <v>7.0970312499999997</v>
      </c>
      <c r="D18" s="10" t="s">
        <v>73</v>
      </c>
      <c r="F18" s="17" t="s">
        <v>150</v>
      </c>
      <c r="G18" s="12">
        <f>ABS((1*(G14+G15))+(1*G16))</f>
        <v>7.6970312500000002</v>
      </c>
      <c r="H18" s="17" t="s">
        <v>73</v>
      </c>
      <c r="K18" s="41" t="s">
        <v>340</v>
      </c>
      <c r="L18" s="41" t="s">
        <v>343</v>
      </c>
    </row>
    <row r="19" spans="2:12">
      <c r="B19" s="10" t="s">
        <v>151</v>
      </c>
      <c r="C19" s="10">
        <f>1</f>
        <v>1</v>
      </c>
      <c r="D19" s="10" t="s">
        <v>19</v>
      </c>
      <c r="F19" s="17" t="s">
        <v>151</v>
      </c>
      <c r="G19" s="10">
        <f>2.5</f>
        <v>2.5</v>
      </c>
      <c r="H19" s="17" t="s">
        <v>19</v>
      </c>
      <c r="K19" s="73" t="s">
        <v>182</v>
      </c>
      <c r="L19" s="73"/>
    </row>
    <row r="20" spans="2:12">
      <c r="B20" s="50" t="s">
        <v>177</v>
      </c>
      <c r="C20" s="50"/>
      <c r="D20" s="50"/>
      <c r="F20" s="76" t="s">
        <v>178</v>
      </c>
      <c r="G20" s="77"/>
      <c r="H20" s="78"/>
      <c r="K20" s="41" t="s">
        <v>340</v>
      </c>
      <c r="L20" s="41" t="s">
        <v>344</v>
      </c>
    </row>
    <row r="21" spans="2:12">
      <c r="B21" s="10" t="s">
        <v>152</v>
      </c>
      <c r="C21" s="10">
        <f>0.75</f>
        <v>0.75</v>
      </c>
      <c r="D21" s="10" t="s">
        <v>19</v>
      </c>
      <c r="F21" s="17" t="s">
        <v>152</v>
      </c>
      <c r="G21" s="10">
        <f>0.75</f>
        <v>0.75</v>
      </c>
      <c r="H21" s="17" t="s">
        <v>19</v>
      </c>
      <c r="K21" s="73" t="s">
        <v>336</v>
      </c>
      <c r="L21" s="73"/>
    </row>
    <row r="22" spans="2:12">
      <c r="B22" s="10" t="s">
        <v>130</v>
      </c>
      <c r="C22" s="10">
        <f>'Section Properties'!B10-C11-C19-(C21/2)</f>
        <v>6.125</v>
      </c>
      <c r="D22" s="10" t="s">
        <v>19</v>
      </c>
      <c r="F22" s="17" t="s">
        <v>130</v>
      </c>
      <c r="G22" s="10">
        <f>'Section Properties'!B10-G19-(G21/2)</f>
        <v>5.125</v>
      </c>
      <c r="H22" s="17" t="s">
        <v>19</v>
      </c>
      <c r="K22" s="74" t="s">
        <v>337</v>
      </c>
      <c r="L22" s="74"/>
    </row>
    <row r="23" spans="2:12">
      <c r="B23" s="10" t="s">
        <v>179</v>
      </c>
      <c r="C23" s="12">
        <f>(C18*12)/(C10*0.9*C22)</f>
        <v>0.6437216553287981</v>
      </c>
      <c r="D23" s="10"/>
      <c r="F23" s="17" t="s">
        <v>179</v>
      </c>
      <c r="G23" s="12">
        <f>(G18*12)/(C10*0.9*G22)</f>
        <v>0.83436653116531156</v>
      </c>
      <c r="H23" s="17" t="s">
        <v>10</v>
      </c>
      <c r="K23" s="41" t="s">
        <v>340</v>
      </c>
      <c r="L23" s="41" t="s">
        <v>345</v>
      </c>
    </row>
    <row r="24" spans="2:12">
      <c r="B24" s="10" t="s">
        <v>167</v>
      </c>
      <c r="C24" s="10">
        <f>8</f>
        <v>8</v>
      </c>
      <c r="D24" s="10" t="s">
        <v>19</v>
      </c>
      <c r="F24" s="17" t="s">
        <v>167</v>
      </c>
      <c r="G24" s="10">
        <v>5.5</v>
      </c>
      <c r="H24" s="17" t="s">
        <v>19</v>
      </c>
      <c r="K24" s="74" t="s">
        <v>338</v>
      </c>
      <c r="L24" s="74"/>
    </row>
    <row r="25" spans="2:12">
      <c r="B25" s="10" t="s">
        <v>181</v>
      </c>
      <c r="C25" s="10">
        <f>0.44*(F5/8)</f>
        <v>0.66</v>
      </c>
      <c r="D25" s="10" t="str">
        <f>IF(C25&gt;C23,"OK","NOT OK")</f>
        <v>OK</v>
      </c>
      <c r="F25" s="17" t="s">
        <v>181</v>
      </c>
      <c r="G25" s="10">
        <f>(0.44*(F5/G24))</f>
        <v>0.96</v>
      </c>
      <c r="H25" s="10" t="str">
        <f>IF(G25&gt;G23,"OK","NOT OK")</f>
        <v>OK</v>
      </c>
      <c r="K25" s="41" t="s">
        <v>340</v>
      </c>
      <c r="L25" s="41" t="s">
        <v>345</v>
      </c>
    </row>
    <row r="26" spans="2:12">
      <c r="B26" s="10" t="s">
        <v>155</v>
      </c>
      <c r="C26" s="11">
        <f>C25/(F5*C22)</f>
        <v>8.979591836734694E-3</v>
      </c>
      <c r="D26" s="10"/>
      <c r="F26" s="17" t="s">
        <v>155</v>
      </c>
      <c r="G26" s="11">
        <f>(G25/(F5*G22))</f>
        <v>1.5609756097560976E-2</v>
      </c>
      <c r="H26" s="10"/>
      <c r="K26" s="73" t="s">
        <v>339</v>
      </c>
      <c r="L26" s="73"/>
    </row>
    <row r="27" spans="2:12">
      <c r="B27" s="10" t="s">
        <v>157</v>
      </c>
      <c r="C27" s="11">
        <f>C4*C26</f>
        <v>7.1836734693877552E-2</v>
      </c>
      <c r="D27" s="10"/>
      <c r="F27" s="17" t="s">
        <v>157</v>
      </c>
      <c r="G27" s="11">
        <f>C4*G26</f>
        <v>0.1248780487804878</v>
      </c>
      <c r="H27" s="10"/>
      <c r="K27" s="74" t="s">
        <v>285</v>
      </c>
      <c r="L27" s="74"/>
    </row>
    <row r="28" spans="2:12">
      <c r="B28" s="10" t="s">
        <v>12</v>
      </c>
      <c r="C28" s="11">
        <f>SQRT((2*C27)+(C27^2))-C27</f>
        <v>0.3139533453227471</v>
      </c>
      <c r="D28" s="10"/>
      <c r="F28" s="17" t="s">
        <v>12</v>
      </c>
      <c r="G28" s="11">
        <f>SQRT((2*G27)+(G27^2))-G27</f>
        <v>0.3902439024390244</v>
      </c>
      <c r="H28" s="10"/>
      <c r="K28" s="41" t="s">
        <v>346</v>
      </c>
      <c r="L28" s="41" t="s">
        <v>345</v>
      </c>
    </row>
    <row r="29" spans="2:12">
      <c r="B29" s="10" t="s">
        <v>158</v>
      </c>
      <c r="C29" s="11">
        <f>1-(C28/3)</f>
        <v>0.8953488848924176</v>
      </c>
      <c r="D29" s="10"/>
      <c r="F29" s="17" t="s">
        <v>158</v>
      </c>
      <c r="G29" s="11">
        <f>1-(G28/3)</f>
        <v>0.86991869918699183</v>
      </c>
      <c r="H29" s="10"/>
      <c r="K29" s="74" t="s">
        <v>290</v>
      </c>
      <c r="L29" s="74"/>
    </row>
    <row r="30" spans="2:12">
      <c r="B30" s="10" t="s">
        <v>180</v>
      </c>
      <c r="C30" s="12">
        <f>(C18*12)/(C25*C29*C22)</f>
        <v>23.529659253362901</v>
      </c>
      <c r="D30" s="10" t="str">
        <f>IF(C30&lt;C10,"OK","NOT OK")</f>
        <v>OK</v>
      </c>
      <c r="F30" s="17" t="s">
        <v>180</v>
      </c>
      <c r="G30" s="12">
        <f>(G18*12)/(G25*G29*G22)</f>
        <v>21.580461448598129</v>
      </c>
      <c r="H30" s="10" t="str">
        <f>IF(G30&lt;C10,"OK","NOT OK")</f>
        <v>OK</v>
      </c>
      <c r="K30" s="41" t="s">
        <v>346</v>
      </c>
      <c r="L30" s="41" t="s">
        <v>345</v>
      </c>
    </row>
    <row r="31" spans="2:12">
      <c r="B31" s="75" t="str">
        <f>IF(D30="OK","Service Limit State Satisfied","NOT OK")</f>
        <v>Service Limit State Satisfied</v>
      </c>
      <c r="C31" s="75"/>
      <c r="D31" s="75"/>
      <c r="F31" s="75" t="str">
        <f>IF(H30="OK","Service Limit State Satisfied","NOT OK")</f>
        <v>Service Limit State Satisfied</v>
      </c>
      <c r="G31" s="75"/>
      <c r="H31" s="75"/>
      <c r="K31" s="74" t="s">
        <v>291</v>
      </c>
      <c r="L31" s="74"/>
    </row>
    <row r="32" spans="2:12">
      <c r="B32" s="10" t="s">
        <v>159</v>
      </c>
      <c r="C32" s="12">
        <f>0.8*(0.24*(SQRT(F2)))</f>
        <v>0.40729350596345137</v>
      </c>
      <c r="D32" s="10" t="s">
        <v>9</v>
      </c>
      <c r="F32" s="17" t="s">
        <v>159</v>
      </c>
      <c r="G32" s="12">
        <f>0.8*(0.24*SQRT(F2))</f>
        <v>0.40729350596345137</v>
      </c>
      <c r="H32" s="10" t="s">
        <v>9</v>
      </c>
      <c r="K32" s="41" t="s">
        <v>346</v>
      </c>
      <c r="L32" s="41" t="s">
        <v>345</v>
      </c>
    </row>
    <row r="33" spans="2:12">
      <c r="B33" s="10" t="s">
        <v>161</v>
      </c>
      <c r="C33" s="10">
        <f>(F5*('Section Properties'!B10)^2)/6</f>
        <v>128</v>
      </c>
      <c r="D33" s="10" t="s">
        <v>123</v>
      </c>
      <c r="F33" s="17" t="s">
        <v>161</v>
      </c>
      <c r="G33" s="10">
        <f>(F5*('Section Properties'!B10)^2)/6</f>
        <v>128</v>
      </c>
      <c r="H33" s="10" t="s">
        <v>123</v>
      </c>
      <c r="K33" s="73" t="s">
        <v>347</v>
      </c>
      <c r="L33" s="73"/>
    </row>
    <row r="34" spans="2:12">
      <c r="B34" s="10" t="s">
        <v>153</v>
      </c>
      <c r="C34" s="12">
        <f>(C18*12)/C33</f>
        <v>0.66534667968749994</v>
      </c>
      <c r="D34" s="10" t="str">
        <f>IF(C34&gt;C32,"Spacing shall satisfy below","OK")</f>
        <v>Spacing shall satisfy below</v>
      </c>
      <c r="F34" s="17" t="s">
        <v>153</v>
      </c>
      <c r="G34" s="12">
        <f>(G18*12)/G33</f>
        <v>0.72159667968749996</v>
      </c>
      <c r="H34" s="10" t="str">
        <f>IF(G34&gt;G32,"Spacing shall satisfy below","OK")</f>
        <v>Spacing shall satisfy below</v>
      </c>
      <c r="K34" s="74" t="s">
        <v>348</v>
      </c>
      <c r="L34" s="74"/>
    </row>
    <row r="35" spans="2:12">
      <c r="B35" s="10" t="s">
        <v>162</v>
      </c>
      <c r="C35" s="10">
        <f>0.75</f>
        <v>0.75</v>
      </c>
      <c r="D35" s="10" t="s">
        <v>164</v>
      </c>
      <c r="F35" s="17" t="s">
        <v>162</v>
      </c>
      <c r="G35" s="10">
        <f>0.75</f>
        <v>0.75</v>
      </c>
      <c r="H35" s="10" t="s">
        <v>164</v>
      </c>
      <c r="K35" s="41" t="s">
        <v>346</v>
      </c>
      <c r="L35" s="41" t="s">
        <v>345</v>
      </c>
    </row>
    <row r="36" spans="2:12">
      <c r="B36" s="10" t="s">
        <v>163</v>
      </c>
      <c r="C36" s="10">
        <f>C19+(C21/2)</f>
        <v>1.375</v>
      </c>
      <c r="D36" s="10" t="s">
        <v>19</v>
      </c>
      <c r="F36" s="17" t="s">
        <v>163</v>
      </c>
      <c r="G36" s="10">
        <f>G19+(G21/2)</f>
        <v>2.875</v>
      </c>
      <c r="H36" s="10" t="s">
        <v>19</v>
      </c>
    </row>
    <row r="37" spans="2:12">
      <c r="B37" s="10" t="s">
        <v>165</v>
      </c>
      <c r="C37" s="10">
        <f>8</f>
        <v>8</v>
      </c>
      <c r="D37" s="10" t="s">
        <v>19</v>
      </c>
      <c r="F37" s="17" t="s">
        <v>165</v>
      </c>
      <c r="G37" s="10">
        <f>8</f>
        <v>8</v>
      </c>
      <c r="H37" s="10" t="s">
        <v>19</v>
      </c>
    </row>
    <row r="38" spans="2:12">
      <c r="B38" s="10" t="s">
        <v>166</v>
      </c>
      <c r="C38" s="13">
        <f>1+((C36/(0.7*(C37-C36))))</f>
        <v>1.2964959568733154</v>
      </c>
      <c r="D38" s="10"/>
      <c r="F38" s="17" t="s">
        <v>166</v>
      </c>
      <c r="G38" s="13">
        <f>1+(G36/(0.7*(G37-G36)))</f>
        <v>1.8013937282229966</v>
      </c>
      <c r="H38" s="10"/>
    </row>
    <row r="39" spans="2:12">
      <c r="B39" s="10" t="s">
        <v>168</v>
      </c>
      <c r="C39" s="13">
        <f>((700*C35)/(C38*C30))-(2*C36)</f>
        <v>14.459668256447678</v>
      </c>
      <c r="D39" s="10" t="s">
        <v>19</v>
      </c>
      <c r="F39" s="17" t="s">
        <v>168</v>
      </c>
      <c r="G39" s="13">
        <f>((700*G35)/(G38*G30))-(2*G36)</f>
        <v>7.7548551439404001</v>
      </c>
      <c r="H39" s="10" t="s">
        <v>19</v>
      </c>
    </row>
    <row r="40" spans="2:12">
      <c r="B40" s="75" t="str">
        <f>IF(C24&lt;C39,"Cracking is Satisfied","NOT OK")</f>
        <v>Cracking is Satisfied</v>
      </c>
      <c r="C40" s="75"/>
      <c r="D40" s="75"/>
      <c r="F40" s="75" t="str">
        <f>IF(G24&lt;G39,"Cracking is Satisfied","NOT OK")</f>
        <v>Cracking is Satisfied</v>
      </c>
      <c r="G40" s="75"/>
      <c r="H40" s="75"/>
    </row>
    <row r="41" spans="2:12">
      <c r="B41" s="51" t="s">
        <v>169</v>
      </c>
      <c r="C41" s="51"/>
      <c r="D41" s="51"/>
      <c r="F41" s="51" t="s">
        <v>169</v>
      </c>
      <c r="G41" s="51"/>
      <c r="H41" s="51"/>
    </row>
    <row r="42" spans="2:12">
      <c r="B42" s="10" t="s">
        <v>74</v>
      </c>
      <c r="C42" s="12">
        <f>(1.25*C14)+(1.5*C15)+(1.75*C16)</f>
        <v>11.989140624999999</v>
      </c>
      <c r="D42" s="10" t="s">
        <v>73</v>
      </c>
      <c r="F42" s="17" t="s">
        <v>74</v>
      </c>
      <c r="G42" s="12">
        <f>ABS((1.25*G14)+(1.5*G15)+(1.75*G16))</f>
        <v>13.039140625</v>
      </c>
      <c r="H42" s="10" t="s">
        <v>73</v>
      </c>
    </row>
    <row r="43" spans="2:12">
      <c r="B43" s="10" t="s">
        <v>67</v>
      </c>
      <c r="C43" s="12">
        <f>(C25*F3)/(0.85*F2*F4*F5)</f>
        <v>1.0457516339869284</v>
      </c>
      <c r="D43" s="10" t="s">
        <v>19</v>
      </c>
      <c r="F43" s="17" t="s">
        <v>67</v>
      </c>
      <c r="G43" s="12">
        <f>(G25*F3)/(0.85*F2*F4*F5)</f>
        <v>1.5210932857991684</v>
      </c>
      <c r="H43" s="10" t="s">
        <v>19</v>
      </c>
    </row>
    <row r="44" spans="2:12">
      <c r="B44" s="10" t="s">
        <v>69</v>
      </c>
      <c r="C44" s="12">
        <f>C43*F4</f>
        <v>0.86274509803921584</v>
      </c>
      <c r="D44" s="10" t="s">
        <v>19</v>
      </c>
      <c r="F44" s="17" t="s">
        <v>69</v>
      </c>
      <c r="G44" s="12">
        <f>G43*F4</f>
        <v>1.2549019607843139</v>
      </c>
      <c r="H44" s="10" t="s">
        <v>19</v>
      </c>
    </row>
    <row r="45" spans="2:12">
      <c r="B45" s="10" t="s">
        <v>171</v>
      </c>
      <c r="C45" s="11">
        <f>0.003*((C22/C43)-1)</f>
        <v>1.4571093749999996E-2</v>
      </c>
      <c r="D45" s="10" t="str">
        <f>IF(C45&gt;0.005,"Tension Controlled","--")</f>
        <v>Tension Controlled</v>
      </c>
      <c r="F45" s="17" t="s">
        <v>171</v>
      </c>
      <c r="G45" s="11">
        <f>0.003*((G22/G43)-1)</f>
        <v>7.1078613281249994E-3</v>
      </c>
      <c r="H45" s="10" t="str">
        <f>IF(G45&gt;0.005,"Tension Controlled","--")</f>
        <v>Tension Controlled</v>
      </c>
    </row>
    <row r="46" spans="2:12">
      <c r="B46" s="10" t="s">
        <v>76</v>
      </c>
      <c r="C46" s="10">
        <f>IF(D45="Tension Controlled",0.9,"--")</f>
        <v>0.9</v>
      </c>
      <c r="D46" s="10"/>
      <c r="F46" s="17" t="s">
        <v>76</v>
      </c>
      <c r="G46" s="10">
        <f>IF(H45="Tension Controlled",0.9,"--")</f>
        <v>0.9</v>
      </c>
      <c r="H46" s="10"/>
    </row>
    <row r="47" spans="2:12">
      <c r="B47" s="10" t="s">
        <v>172</v>
      </c>
      <c r="C47" s="12">
        <f>C46*C25*F3*(C22-(C44/2))*(1/12)</f>
        <v>16.910073529411768</v>
      </c>
      <c r="D47" s="10" t="s">
        <v>73</v>
      </c>
      <c r="F47" s="17" t="s">
        <v>172</v>
      </c>
      <c r="G47" s="12">
        <f>G46*G25*F3*(G22-(G44/2))*(1/12)</f>
        <v>19.429411764705879</v>
      </c>
      <c r="H47" s="10" t="s">
        <v>73</v>
      </c>
    </row>
    <row r="48" spans="2:12">
      <c r="B48" s="75" t="str">
        <f>IF(C47&gt;C18,"Strength Limit State is Satisfied","NOT OK")</f>
        <v>Strength Limit State is Satisfied</v>
      </c>
      <c r="C48" s="75"/>
      <c r="D48" s="75"/>
      <c r="F48" s="75" t="str">
        <f>IF(G47&gt;G42,"Strength Limit State is Satisfied","NOT OK")</f>
        <v>Strength Limit State is Satisfied</v>
      </c>
      <c r="G48" s="75"/>
      <c r="H48" s="75"/>
    </row>
    <row r="49" spans="2:8">
      <c r="B49" s="51" t="s">
        <v>173</v>
      </c>
      <c r="C49" s="51"/>
      <c r="D49" s="51"/>
      <c r="F49" s="51" t="s">
        <v>173</v>
      </c>
      <c r="G49" s="51"/>
      <c r="H49" s="51"/>
    </row>
    <row r="50" spans="2:8">
      <c r="B50" s="17" t="s">
        <v>77</v>
      </c>
      <c r="C50" s="10">
        <f>(F5*('Section Properties'!B10)^2)/6</f>
        <v>128</v>
      </c>
      <c r="D50" s="10" t="s">
        <v>123</v>
      </c>
      <c r="F50" s="17" t="s">
        <v>77</v>
      </c>
      <c r="G50" s="10">
        <f>(F5*('Section Properties'!B10)^2)/6</f>
        <v>128</v>
      </c>
      <c r="H50" s="10" t="s">
        <v>123</v>
      </c>
    </row>
    <row r="51" spans="2:8">
      <c r="B51" s="17" t="s">
        <v>174</v>
      </c>
      <c r="C51" s="12">
        <f>0.37*(SQRT(F2))</f>
        <v>0.78488852711706769</v>
      </c>
      <c r="D51" s="10" t="s">
        <v>9</v>
      </c>
      <c r="F51" s="17" t="s">
        <v>174</v>
      </c>
      <c r="G51" s="12">
        <f>0.37*(SQRT(F2))</f>
        <v>0.78488852711706769</v>
      </c>
      <c r="H51" s="10" t="s">
        <v>9</v>
      </c>
    </row>
    <row r="52" spans="2:8">
      <c r="B52" s="17" t="s">
        <v>79</v>
      </c>
      <c r="C52" s="12">
        <f>1.2*(C51*C50)*(1/12)</f>
        <v>10.046573147098465</v>
      </c>
      <c r="D52" s="10" t="s">
        <v>73</v>
      </c>
      <c r="F52" s="17" t="s">
        <v>79</v>
      </c>
      <c r="G52" s="12">
        <f>1.2*G51*G50*(1/12)</f>
        <v>10.046573147098465</v>
      </c>
      <c r="H52" s="10" t="s">
        <v>73</v>
      </c>
    </row>
    <row r="53" spans="2:8">
      <c r="B53" s="75" t="str">
        <f>IF(C47&gt;C52,"Minimum Reinforcing Limit is Satisfied","NOT OK")</f>
        <v>Minimum Reinforcing Limit is Satisfied</v>
      </c>
      <c r="C53" s="75"/>
      <c r="D53" s="75"/>
      <c r="F53" s="75" t="str">
        <f>IF(G52&lt;G47,"Minimum Reinforcing Limit is Satisfied","NOT OK")</f>
        <v>Minimum Reinforcing Limit is Satisfied</v>
      </c>
      <c r="G53" s="75"/>
      <c r="H53" s="75"/>
    </row>
    <row r="55" spans="2:8">
      <c r="B55" s="51" t="s">
        <v>182</v>
      </c>
      <c r="C55" s="51"/>
      <c r="D55" s="51"/>
      <c r="F55" s="51" t="s">
        <v>284</v>
      </c>
      <c r="G55" s="51"/>
      <c r="H55" s="51"/>
    </row>
    <row r="56" spans="2:8">
      <c r="B56" s="17" t="s">
        <v>183</v>
      </c>
      <c r="C56" s="13">
        <f>67</f>
        <v>67</v>
      </c>
      <c r="D56" s="10" t="s">
        <v>185</v>
      </c>
      <c r="F56" s="74" t="s">
        <v>285</v>
      </c>
      <c r="G56" s="74"/>
      <c r="H56" s="74"/>
    </row>
    <row r="57" spans="2:8">
      <c r="B57" s="17" t="s">
        <v>184</v>
      </c>
      <c r="C57" s="13">
        <f>220/(SQRT('Section Properties'!B9-('Section Properties'!B8)/12))</f>
        <v>74.373574416109463</v>
      </c>
      <c r="D57" s="10" t="s">
        <v>185</v>
      </c>
      <c r="F57" s="10" t="s">
        <v>286</v>
      </c>
      <c r="G57" s="12">
        <f>90-ATAN((F6-(F8/12))/F7)*(180/(PI()))</f>
        <v>20.224859431168085</v>
      </c>
      <c r="H57" s="10" t="s">
        <v>209</v>
      </c>
    </row>
    <row r="58" spans="2:8">
      <c r="B58" s="17" t="s">
        <v>186</v>
      </c>
      <c r="C58" s="10">
        <f>IF(C57&gt;C56,0.67,C57)</f>
        <v>0.67</v>
      </c>
      <c r="D58" s="10" t="s">
        <v>185</v>
      </c>
      <c r="F58" s="10" t="s">
        <v>128</v>
      </c>
      <c r="G58" s="13">
        <f>(('Section Properties'!B12-('Section Properties'!B6/12))*12)/(COS(G57*(PI()/180)))</f>
        <v>60.745370193949761</v>
      </c>
      <c r="H58" s="10" t="s">
        <v>19</v>
      </c>
    </row>
    <row r="59" spans="2:8">
      <c r="B59" s="17" t="s">
        <v>125</v>
      </c>
      <c r="C59" s="12">
        <f>C58*C25</f>
        <v>0.44220000000000004</v>
      </c>
      <c r="D59" s="10" t="s">
        <v>10</v>
      </c>
      <c r="F59" s="10" t="s">
        <v>288</v>
      </c>
      <c r="G59" s="11">
        <f>(1.3*G58*'Section Properties'!B8)/(2*(G58+'Section Properties'!B8)*F3)</f>
        <v>0.10855533629369386</v>
      </c>
      <c r="H59" s="10" t="s">
        <v>289</v>
      </c>
    </row>
    <row r="60" spans="2:8">
      <c r="B60" s="50" t="s">
        <v>187</v>
      </c>
      <c r="C60" s="50"/>
      <c r="D60" s="50"/>
      <c r="F60" s="74" t="s">
        <v>290</v>
      </c>
      <c r="G60" s="74"/>
      <c r="H60" s="74"/>
    </row>
    <row r="61" spans="2:8">
      <c r="B61" s="17" t="s">
        <v>125</v>
      </c>
      <c r="C61" s="10">
        <f>0.44*(F5/10)</f>
        <v>0.52800000000000002</v>
      </c>
      <c r="D61" s="10" t="s">
        <v>10</v>
      </c>
      <c r="F61" s="10" t="s">
        <v>128</v>
      </c>
      <c r="G61" s="10">
        <f>('Section Properties'!B9+('Section Properties'!B18/12))*12</f>
        <v>121</v>
      </c>
      <c r="H61" s="10" t="s">
        <v>19</v>
      </c>
    </row>
    <row r="62" spans="2:8">
      <c r="B62" s="75" t="str">
        <f>IF(C61&gt;C59,"Distribution Reinforcement is OK","NOT OK")</f>
        <v>Distribution Reinforcement is OK</v>
      </c>
      <c r="C62" s="75"/>
      <c r="D62" s="75"/>
      <c r="F62" s="10" t="s">
        <v>288</v>
      </c>
      <c r="G62" s="11">
        <f>(1.3*G61*'Section Properties'!B10)/(2*(G61+'Section Properties'!B10)*F3)</f>
        <v>8.1291989664082687E-2</v>
      </c>
      <c r="H62" s="10" t="s">
        <v>289</v>
      </c>
    </row>
    <row r="63" spans="2:8">
      <c r="F63" s="74" t="s">
        <v>291</v>
      </c>
      <c r="G63" s="74"/>
      <c r="H63" s="74"/>
    </row>
    <row r="64" spans="2:8">
      <c r="B64" s="51" t="s">
        <v>281</v>
      </c>
      <c r="C64" s="51"/>
      <c r="D64" s="51"/>
      <c r="F64" s="10" t="s">
        <v>128</v>
      </c>
      <c r="G64" s="10">
        <f>G61</f>
        <v>121</v>
      </c>
      <c r="H64" s="10" t="s">
        <v>19</v>
      </c>
    </row>
    <row r="65" spans="2:8">
      <c r="B65" s="10" t="s">
        <v>279</v>
      </c>
      <c r="C65" s="10">
        <f>0.004*'Section Properties'!B11*12</f>
        <v>0.33600000000000002</v>
      </c>
      <c r="D65" s="10" t="s">
        <v>10</v>
      </c>
      <c r="F65" s="10" t="s">
        <v>288</v>
      </c>
      <c r="G65" s="11">
        <f>(1.3*G61*'Section Properties'!B11)/(2*(G61+'Section Properties'!B11)*F3)</f>
        <v>7.168619791666668E-2</v>
      </c>
      <c r="H65" s="10" t="s">
        <v>19</v>
      </c>
    </row>
    <row r="66" spans="2:8">
      <c r="B66" s="10" t="s">
        <v>280</v>
      </c>
      <c r="C66" s="10">
        <f>12</f>
        <v>12</v>
      </c>
      <c r="D66" s="10" t="s">
        <v>19</v>
      </c>
      <c r="F66" s="75" t="s">
        <v>292</v>
      </c>
      <c r="G66" s="75"/>
      <c r="H66" s="75"/>
    </row>
    <row r="67" spans="2:8">
      <c r="B67" s="10" t="s">
        <v>277</v>
      </c>
      <c r="C67" s="10">
        <f>0.44</f>
        <v>0.44</v>
      </c>
      <c r="D67" s="10" t="s">
        <v>10</v>
      </c>
    </row>
    <row r="68" spans="2:8">
      <c r="B68" s="10" t="s">
        <v>278</v>
      </c>
      <c r="C68" s="10">
        <f>C67*(C66/12)</f>
        <v>0.44</v>
      </c>
      <c r="D68" s="10" t="s">
        <v>10</v>
      </c>
    </row>
    <row r="69" spans="2:8">
      <c r="B69" s="75" t="str">
        <f>IF(C68&gt;C65,"Longitudinal Reinforcement is Sufficient","NOT OK")</f>
        <v>Longitudinal Reinforcement is Sufficient</v>
      </c>
      <c r="C69" s="75"/>
      <c r="D69" s="75"/>
    </row>
    <row r="71" spans="2:8">
      <c r="B71" s="51" t="s">
        <v>282</v>
      </c>
      <c r="C71" s="51"/>
      <c r="D71" s="51"/>
    </row>
    <row r="72" spans="2:8">
      <c r="B72" s="17" t="s">
        <v>283</v>
      </c>
      <c r="C72" s="12">
        <f>0.005*'Section Properties'!B11*12</f>
        <v>0.42000000000000004</v>
      </c>
      <c r="D72" s="10" t="s">
        <v>10</v>
      </c>
    </row>
    <row r="73" spans="2:8">
      <c r="B73" s="17" t="s">
        <v>280</v>
      </c>
      <c r="C73" s="45">
        <f>12</f>
        <v>12</v>
      </c>
      <c r="D73" s="10" t="s">
        <v>19</v>
      </c>
    </row>
    <row r="74" spans="2:8">
      <c r="B74" s="17" t="s">
        <v>277</v>
      </c>
      <c r="C74" s="12">
        <f>0.44</f>
        <v>0.44</v>
      </c>
      <c r="D74" s="10" t="s">
        <v>10</v>
      </c>
    </row>
    <row r="75" spans="2:8">
      <c r="B75" s="17" t="s">
        <v>278</v>
      </c>
      <c r="C75" s="12">
        <f>C74*(C73/12)</f>
        <v>0.44</v>
      </c>
      <c r="D75" s="10" t="s">
        <v>10</v>
      </c>
    </row>
    <row r="76" spans="2:8">
      <c r="B76" s="75" t="str">
        <f>IF(C75&gt;C72,"Transverse Reinforcement is Sufficient","NOT OK")</f>
        <v>Transverse Reinforcement is Sufficient</v>
      </c>
      <c r="C76" s="75"/>
      <c r="D76" s="75"/>
    </row>
  </sheetData>
  <mergeCells count="46">
    <mergeCell ref="B2:D2"/>
    <mergeCell ref="B1:G1"/>
    <mergeCell ref="F13:H13"/>
    <mergeCell ref="F17:H17"/>
    <mergeCell ref="B20:D20"/>
    <mergeCell ref="B17:D17"/>
    <mergeCell ref="B3:D3"/>
    <mergeCell ref="B13:D13"/>
    <mergeCell ref="F49:H49"/>
    <mergeCell ref="F53:H53"/>
    <mergeCell ref="F20:H20"/>
    <mergeCell ref="B62:D62"/>
    <mergeCell ref="B60:D60"/>
    <mergeCell ref="B55:D55"/>
    <mergeCell ref="F31:H31"/>
    <mergeCell ref="B49:D49"/>
    <mergeCell ref="B53:D53"/>
    <mergeCell ref="B41:D41"/>
    <mergeCell ref="B40:D40"/>
    <mergeCell ref="B31:D31"/>
    <mergeCell ref="B48:D48"/>
    <mergeCell ref="F40:H40"/>
    <mergeCell ref="F41:H41"/>
    <mergeCell ref="F48:H48"/>
    <mergeCell ref="B69:D69"/>
    <mergeCell ref="B64:D64"/>
    <mergeCell ref="B76:D76"/>
    <mergeCell ref="B71:D71"/>
    <mergeCell ref="F55:H55"/>
    <mergeCell ref="F56:H56"/>
    <mergeCell ref="F63:H63"/>
    <mergeCell ref="F60:H60"/>
    <mergeCell ref="F66:H66"/>
    <mergeCell ref="K33:L33"/>
    <mergeCell ref="K34:L34"/>
    <mergeCell ref="K13:L13"/>
    <mergeCell ref="K24:L24"/>
    <mergeCell ref="K26:L26"/>
    <mergeCell ref="K31:L31"/>
    <mergeCell ref="K29:L29"/>
    <mergeCell ref="K27:L27"/>
    <mergeCell ref="K22:L22"/>
    <mergeCell ref="K21:L21"/>
    <mergeCell ref="K19:L19"/>
    <mergeCell ref="K17:L17"/>
    <mergeCell ref="K15:L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21" workbookViewId="0">
      <selection activeCell="H53" sqref="H53"/>
    </sheetView>
  </sheetViews>
  <sheetFormatPr baseColWidth="10" defaultRowHeight="15" x14ac:dyDescent="0"/>
  <cols>
    <col min="1" max="1" width="30.6640625" bestFit="1" customWidth="1"/>
    <col min="2" max="2" width="12.1640625" bestFit="1" customWidth="1"/>
    <col min="3" max="3" width="7.6640625" bestFit="1" customWidth="1"/>
    <col min="5" max="5" width="26.6640625" bestFit="1" customWidth="1"/>
    <col min="6" max="6" width="11.1640625" bestFit="1" customWidth="1"/>
    <col min="7" max="7" width="16.6640625" bestFit="1" customWidth="1"/>
    <col min="8" max="8" width="10.1640625" bestFit="1" customWidth="1"/>
    <col min="9" max="9" width="13.5" bestFit="1" customWidth="1"/>
    <col min="10" max="10" width="6.83203125" bestFit="1" customWidth="1"/>
    <col min="11" max="11" width="24.1640625" bestFit="1" customWidth="1"/>
    <col min="12" max="12" width="6.83203125" bestFit="1" customWidth="1"/>
    <col min="13" max="13" width="4.1640625" bestFit="1" customWidth="1"/>
  </cols>
  <sheetData>
    <row r="1" spans="1:13">
      <c r="A1" s="51" t="s">
        <v>188</v>
      </c>
      <c r="B1" s="51"/>
      <c r="C1" s="51"/>
      <c r="E1" s="51" t="s">
        <v>254</v>
      </c>
      <c r="F1" s="51"/>
      <c r="G1" s="51"/>
    </row>
    <row r="2" spans="1:13">
      <c r="A2" s="10" t="s">
        <v>235</v>
      </c>
      <c r="B2" s="30">
        <f>4.5</f>
        <v>4.5</v>
      </c>
      <c r="C2" s="10" t="s">
        <v>9</v>
      </c>
      <c r="E2" s="10" t="s">
        <v>248</v>
      </c>
      <c r="F2" s="12">
        <f>0.44*(B12/F4)</f>
        <v>0.96</v>
      </c>
      <c r="G2" s="10" t="s">
        <v>10</v>
      </c>
    </row>
    <row r="3" spans="1:13">
      <c r="A3" s="10" t="s">
        <v>236</v>
      </c>
      <c r="B3" s="30">
        <v>0.82499999999999996</v>
      </c>
      <c r="C3" s="10"/>
      <c r="E3" s="10" t="s">
        <v>251</v>
      </c>
      <c r="F3" s="12">
        <f>'Deck Design'!G21</f>
        <v>0.75</v>
      </c>
      <c r="G3" s="10" t="s">
        <v>19</v>
      </c>
    </row>
    <row r="4" spans="1:13">
      <c r="A4" s="10" t="s">
        <v>246</v>
      </c>
      <c r="B4" s="30">
        <v>2.5000000000000001E-2</v>
      </c>
      <c r="C4" s="10" t="s">
        <v>144</v>
      </c>
      <c r="E4" s="10" t="s">
        <v>167</v>
      </c>
      <c r="F4" s="13">
        <f>'Deck Design'!G24</f>
        <v>5.5</v>
      </c>
      <c r="G4" s="10" t="s">
        <v>19</v>
      </c>
    </row>
    <row r="5" spans="1:13">
      <c r="A5" s="10" t="s">
        <v>156</v>
      </c>
      <c r="B5" s="30">
        <f>8</f>
        <v>8</v>
      </c>
      <c r="C5" s="10"/>
      <c r="E5" s="10" t="s">
        <v>153</v>
      </c>
      <c r="F5" s="13">
        <f>24</f>
        <v>24</v>
      </c>
      <c r="G5" s="10" t="s">
        <v>9</v>
      </c>
    </row>
    <row r="6" spans="1:13">
      <c r="A6" s="10" t="s">
        <v>232</v>
      </c>
      <c r="B6" s="30">
        <v>2.5</v>
      </c>
      <c r="C6" s="10" t="s">
        <v>19</v>
      </c>
    </row>
    <row r="7" spans="1:13">
      <c r="A7" s="10" t="s">
        <v>227</v>
      </c>
      <c r="B7" s="30">
        <f>0.15</f>
        <v>0.15</v>
      </c>
      <c r="C7" s="10" t="s">
        <v>142</v>
      </c>
      <c r="E7" s="51" t="s">
        <v>264</v>
      </c>
      <c r="F7" s="51"/>
      <c r="G7" s="51"/>
      <c r="H7" s="51"/>
      <c r="I7" s="51"/>
      <c r="J7" s="51"/>
      <c r="K7" s="51"/>
      <c r="L7" s="51"/>
      <c r="M7" s="51"/>
    </row>
    <row r="8" spans="1:13">
      <c r="A8" s="10" t="s">
        <v>190</v>
      </c>
      <c r="B8" s="30">
        <f>9</f>
        <v>9</v>
      </c>
      <c r="C8" s="10" t="s">
        <v>19</v>
      </c>
      <c r="E8" s="74" t="s">
        <v>237</v>
      </c>
      <c r="F8" s="74"/>
      <c r="G8" s="74"/>
      <c r="H8" s="74" t="s">
        <v>238</v>
      </c>
      <c r="I8" s="74"/>
      <c r="J8" s="74"/>
      <c r="K8" s="38" t="s">
        <v>249</v>
      </c>
      <c r="L8" s="10"/>
      <c r="M8" s="10"/>
    </row>
    <row r="9" spans="1:13">
      <c r="A9" s="10" t="s">
        <v>191</v>
      </c>
      <c r="B9" s="30">
        <f>12</f>
        <v>12</v>
      </c>
      <c r="C9" s="10" t="s">
        <v>19</v>
      </c>
      <c r="E9" s="10" t="s">
        <v>86</v>
      </c>
      <c r="F9" s="12">
        <f>(B26/2)+SQRT(((B26/2)^2)+((8*(B28/12)*(B35+B37))/B36))</f>
        <v>14.963840784567257</v>
      </c>
      <c r="G9" s="10" t="s">
        <v>87</v>
      </c>
      <c r="H9" s="10" t="s">
        <v>239</v>
      </c>
      <c r="I9" s="12">
        <f>F9+(2*(B28/12))+(2*TAN(30*(PI()/180))*(B17/12))</f>
        <v>24.465691951055636</v>
      </c>
      <c r="J9" s="10" t="s">
        <v>87</v>
      </c>
      <c r="K9" s="17" t="s">
        <v>250</v>
      </c>
      <c r="L9" s="12">
        <f>F9+(2*(B28/12))+(2*TAN(30*(PI()/180))*((B17+B19)/12))</f>
        <v>25.716617534299825</v>
      </c>
      <c r="M9" s="17" t="s">
        <v>87</v>
      </c>
    </row>
    <row r="10" spans="1:13">
      <c r="A10" s="10" t="s">
        <v>192</v>
      </c>
      <c r="B10" s="30">
        <f>8</f>
        <v>8</v>
      </c>
      <c r="C10" s="10" t="s">
        <v>19</v>
      </c>
      <c r="E10" s="10" t="s">
        <v>215</v>
      </c>
      <c r="F10" s="39" t="str">
        <f>IF(B38&gt;B23,"Railing is OK","NOT OK")</f>
        <v>Railing is OK</v>
      </c>
      <c r="G10" s="10"/>
      <c r="H10" s="10" t="s">
        <v>224</v>
      </c>
      <c r="I10" s="12">
        <f>B38/I9</f>
        <v>5.2972137579132754</v>
      </c>
      <c r="J10" s="10" t="s">
        <v>220</v>
      </c>
      <c r="K10" s="10" t="s">
        <v>224</v>
      </c>
      <c r="L10" s="12">
        <f>B38/L9</f>
        <v>5.0395430047184293</v>
      </c>
      <c r="M10" s="10" t="s">
        <v>220</v>
      </c>
    </row>
    <row r="11" spans="1:13">
      <c r="A11" s="10" t="s">
        <v>126</v>
      </c>
      <c r="B11" s="30">
        <v>60</v>
      </c>
      <c r="C11" s="10" t="s">
        <v>9</v>
      </c>
      <c r="E11" s="10" t="s">
        <v>130</v>
      </c>
      <c r="F11" s="12">
        <f>17.25-B32-(B31/2)</f>
        <v>15.4375</v>
      </c>
      <c r="G11" s="10" t="s">
        <v>19</v>
      </c>
      <c r="H11" s="10" t="s">
        <v>225</v>
      </c>
      <c r="I11" s="13">
        <f>B9</f>
        <v>12</v>
      </c>
      <c r="J11" s="10" t="s">
        <v>19</v>
      </c>
      <c r="K11" s="17" t="s">
        <v>225</v>
      </c>
      <c r="L11" s="13">
        <f>B10</f>
        <v>8</v>
      </c>
      <c r="M11" s="17" t="s">
        <v>19</v>
      </c>
    </row>
    <row r="12" spans="1:13">
      <c r="A12" s="10" t="s">
        <v>128</v>
      </c>
      <c r="B12" s="30">
        <f>12</f>
        <v>12</v>
      </c>
      <c r="C12" s="10" t="s">
        <v>19</v>
      </c>
      <c r="E12" s="10" t="s">
        <v>67</v>
      </c>
      <c r="F12" s="12">
        <f>(B30*B11*COS(B33*(PI()/180)))/(0.85*B14*B13*B12)</f>
        <v>0.4820521701604531</v>
      </c>
      <c r="G12" s="10" t="s">
        <v>19</v>
      </c>
      <c r="H12" s="10" t="s">
        <v>231</v>
      </c>
      <c r="I12" s="10">
        <f>I11-B6-(F3/2)</f>
        <v>9.125</v>
      </c>
      <c r="J12" s="10" t="s">
        <v>19</v>
      </c>
      <c r="K12" s="17" t="s">
        <v>231</v>
      </c>
      <c r="L12" s="10">
        <f>L11-B6-(F3/2)</f>
        <v>5.125</v>
      </c>
      <c r="M12" s="17" t="s">
        <v>19</v>
      </c>
    </row>
    <row r="13" spans="1:13">
      <c r="A13" s="10" t="s">
        <v>217</v>
      </c>
      <c r="B13" s="30">
        <v>4</v>
      </c>
      <c r="C13" s="10" t="s">
        <v>9</v>
      </c>
      <c r="E13" s="10" t="s">
        <v>69</v>
      </c>
      <c r="F13" s="12">
        <f>F12*B14</f>
        <v>0.40974434463638515</v>
      </c>
      <c r="G13" s="10" t="s">
        <v>19</v>
      </c>
      <c r="H13" s="51" t="s">
        <v>240</v>
      </c>
      <c r="I13" s="51"/>
      <c r="J13" s="51"/>
      <c r="K13" s="51" t="s">
        <v>252</v>
      </c>
      <c r="L13" s="51"/>
      <c r="M13" s="51"/>
    </row>
    <row r="14" spans="1:13">
      <c r="A14" s="10" t="s">
        <v>216</v>
      </c>
      <c r="B14" s="30">
        <f>0.85</f>
        <v>0.85</v>
      </c>
      <c r="C14" s="10"/>
      <c r="E14" s="10" t="s">
        <v>71</v>
      </c>
      <c r="F14" s="12">
        <f>B30*B11*(COS(B33*(PI()/180)))*(F11-(F13/2))*(1/12)</f>
        <v>21.221042561567707</v>
      </c>
      <c r="G14" s="10" t="s">
        <v>73</v>
      </c>
      <c r="H14" s="17" t="s">
        <v>244</v>
      </c>
      <c r="I14" s="12">
        <f>(B7*(B8/12)*((B18/12)^2))/2</f>
        <v>0.79101562499999989</v>
      </c>
      <c r="J14" s="17" t="s">
        <v>73</v>
      </c>
      <c r="K14" s="17" t="s">
        <v>253</v>
      </c>
      <c r="L14" s="12">
        <f>'Deck Design'!C14</f>
        <v>0.76562499999999989</v>
      </c>
      <c r="M14" s="17" t="s">
        <v>73</v>
      </c>
    </row>
    <row r="15" spans="1:13">
      <c r="A15" s="51" t="s">
        <v>189</v>
      </c>
      <c r="B15" s="51"/>
      <c r="C15" s="51"/>
      <c r="E15" s="10" t="s">
        <v>76</v>
      </c>
      <c r="F15" s="13">
        <f>1</f>
        <v>1</v>
      </c>
      <c r="G15" s="10"/>
      <c r="H15" s="17" t="s">
        <v>241</v>
      </c>
      <c r="I15" s="12">
        <f>(B7*((B9-B8)/12)*((B18/12)^2))/6</f>
        <v>8.7890625E-2</v>
      </c>
      <c r="J15" s="17" t="s">
        <v>73</v>
      </c>
      <c r="K15" s="17" t="s">
        <v>97</v>
      </c>
      <c r="L15" s="12">
        <f>'Deck Design'!C15</f>
        <v>0.19140625</v>
      </c>
      <c r="M15" s="17" t="s">
        <v>73</v>
      </c>
    </row>
    <row r="16" spans="1:13">
      <c r="A16" s="10" t="s">
        <v>193</v>
      </c>
      <c r="B16" s="30">
        <f>19</f>
        <v>19</v>
      </c>
      <c r="C16" s="10" t="s">
        <v>19</v>
      </c>
      <c r="E16" s="10" t="s">
        <v>218</v>
      </c>
      <c r="F16" s="12">
        <f>F15*F14</f>
        <v>21.221042561567707</v>
      </c>
      <c r="G16" s="10" t="s">
        <v>73</v>
      </c>
      <c r="H16" s="17" t="s">
        <v>242</v>
      </c>
      <c r="I16" s="12">
        <f>(B39*((B21/12)+(B17/12)))</f>
        <v>1.6746146666666668</v>
      </c>
      <c r="J16" s="17" t="s">
        <v>73</v>
      </c>
      <c r="K16" s="17" t="s">
        <v>230</v>
      </c>
      <c r="L16" s="12">
        <f>L10*((B28/12)+((L11/12)/2))</f>
        <v>19.31824818475398</v>
      </c>
      <c r="M16" s="17" t="s">
        <v>73</v>
      </c>
    </row>
    <row r="17" spans="1:13">
      <c r="A17" s="10" t="s">
        <v>195</v>
      </c>
      <c r="B17" s="30">
        <f>26</f>
        <v>26</v>
      </c>
      <c r="C17" s="10" t="s">
        <v>19</v>
      </c>
      <c r="E17" s="10" t="s">
        <v>219</v>
      </c>
      <c r="F17" s="12">
        <f>(F16*12)/B28</f>
        <v>6.0631550175907734</v>
      </c>
      <c r="G17" s="10" t="s">
        <v>220</v>
      </c>
      <c r="H17" s="17" t="s">
        <v>243</v>
      </c>
      <c r="I17" s="12">
        <f>SUM(I14:I16)</f>
        <v>2.5535209166666668</v>
      </c>
      <c r="J17" s="17" t="s">
        <v>73</v>
      </c>
      <c r="K17" s="17" t="s">
        <v>74</v>
      </c>
      <c r="L17" s="12">
        <f>(1*L14)+(1*L15)+(1*L16)</f>
        <v>20.27527943475398</v>
      </c>
      <c r="M17" s="17" t="s">
        <v>73</v>
      </c>
    </row>
    <row r="18" spans="1:13">
      <c r="A18" s="10" t="s">
        <v>194</v>
      </c>
      <c r="B18" s="30">
        <f>B17+B16</f>
        <v>45</v>
      </c>
      <c r="C18" s="10" t="s">
        <v>19</v>
      </c>
      <c r="E18" s="10" t="s">
        <v>221</v>
      </c>
      <c r="F18" s="12">
        <f>B30*B11*SIN(B33*(PI()/180))</f>
        <v>8.1537033302768407</v>
      </c>
      <c r="G18" s="10" t="s">
        <v>220</v>
      </c>
      <c r="H18" s="17" t="s">
        <v>245</v>
      </c>
      <c r="I18" s="12">
        <f>(B4*((B17/12)^2))/2</f>
        <v>5.8680555555555548E-2</v>
      </c>
      <c r="J18" s="17" t="s">
        <v>73</v>
      </c>
      <c r="K18" s="17" t="s">
        <v>247</v>
      </c>
      <c r="L18" s="13">
        <f>(F2*B11)</f>
        <v>57.599999999999994</v>
      </c>
      <c r="M18" s="17" t="s">
        <v>12</v>
      </c>
    </row>
    <row r="19" spans="1:13">
      <c r="A19" s="10" t="s">
        <v>196</v>
      </c>
      <c r="B19" s="30">
        <f>13</f>
        <v>13</v>
      </c>
      <c r="C19" s="10" t="s">
        <v>19</v>
      </c>
      <c r="E19" s="10" t="s">
        <v>222</v>
      </c>
      <c r="F19" s="12">
        <f>MIN(F17,F18)</f>
        <v>6.0631550175907734</v>
      </c>
      <c r="G19" s="10" t="s">
        <v>220</v>
      </c>
      <c r="H19" s="17" t="s">
        <v>230</v>
      </c>
      <c r="I19" s="12">
        <f>I10*((B28/12)+((I11/12)/2))</f>
        <v>21.188855031653102</v>
      </c>
      <c r="J19" s="17" t="s">
        <v>73</v>
      </c>
      <c r="K19" s="17" t="s">
        <v>69</v>
      </c>
      <c r="L19" s="12">
        <f>(L18-L10)/(B3*B2*B12)</f>
        <v>1.1798082378289914</v>
      </c>
      <c r="M19" s="17" t="s">
        <v>19</v>
      </c>
    </row>
    <row r="20" spans="1:13">
      <c r="A20" s="10" t="s">
        <v>197</v>
      </c>
      <c r="B20" s="30">
        <f>42</f>
        <v>42</v>
      </c>
      <c r="C20" s="10" t="s">
        <v>19</v>
      </c>
      <c r="E20" s="10" t="s">
        <v>223</v>
      </c>
      <c r="F20" s="12">
        <f>F9+(2*(B28/12))</f>
        <v>21.963840784567257</v>
      </c>
      <c r="G20" s="10" t="s">
        <v>87</v>
      </c>
      <c r="H20" s="17" t="s">
        <v>74</v>
      </c>
      <c r="I20" s="12">
        <f>(1*I17)+(1*I18)+(1*I19)</f>
        <v>23.801056503875323</v>
      </c>
      <c r="J20" s="17" t="s">
        <v>73</v>
      </c>
      <c r="K20" s="17" t="s">
        <v>218</v>
      </c>
      <c r="L20" s="12">
        <f>F34*((L18*(L12-(L19/2)))-(L10*((L11/2)-(L19/2))))*(1/12)</f>
        <v>20.336349825631785</v>
      </c>
      <c r="M20" s="17" t="s">
        <v>73</v>
      </c>
    </row>
    <row r="21" spans="1:13">
      <c r="A21" s="10" t="s">
        <v>198</v>
      </c>
      <c r="B21" s="30">
        <f>0.946*12</f>
        <v>11.352</v>
      </c>
      <c r="C21" s="10" t="s">
        <v>19</v>
      </c>
      <c r="E21" s="10" t="s">
        <v>224</v>
      </c>
      <c r="F21" s="12">
        <f>B38/F20</f>
        <v>5.9006073332612461</v>
      </c>
      <c r="G21" s="10" t="s">
        <v>220</v>
      </c>
      <c r="H21" s="17" t="s">
        <v>247</v>
      </c>
      <c r="I21" s="13">
        <f>F2*B11</f>
        <v>57.599999999999994</v>
      </c>
      <c r="J21" s="17" t="s">
        <v>9</v>
      </c>
      <c r="K21" s="75" t="str">
        <f>IF(L20&gt;L17,"Section has Adequate Strength","Revise Deck Design")</f>
        <v>Section has Adequate Strength</v>
      </c>
      <c r="L21" s="75"/>
      <c r="M21" s="75"/>
    </row>
    <row r="22" spans="1:13">
      <c r="A22" s="51" t="s">
        <v>199</v>
      </c>
      <c r="B22" s="51"/>
      <c r="C22" s="51"/>
      <c r="E22" s="10" t="s">
        <v>225</v>
      </c>
      <c r="F22" s="12">
        <f>B8+((B9-B8)*(B16/B18))</f>
        <v>10.266666666666666</v>
      </c>
      <c r="G22" s="10" t="s">
        <v>19</v>
      </c>
      <c r="H22" s="17" t="s">
        <v>69</v>
      </c>
      <c r="I22" s="12">
        <f>(I21-I10)/(0.85*B2*B12)</f>
        <v>1.1394942536402335</v>
      </c>
      <c r="J22" s="17" t="s">
        <v>19</v>
      </c>
    </row>
    <row r="23" spans="1:13">
      <c r="A23" s="10" t="s">
        <v>201</v>
      </c>
      <c r="B23" s="30">
        <f>124</f>
        <v>124</v>
      </c>
      <c r="C23" s="10" t="s">
        <v>12</v>
      </c>
      <c r="E23" s="10" t="s">
        <v>225</v>
      </c>
      <c r="F23" s="12">
        <f>F22/12</f>
        <v>0.85555555555555551</v>
      </c>
      <c r="G23" s="10" t="s">
        <v>87</v>
      </c>
      <c r="H23" s="17" t="s">
        <v>218</v>
      </c>
      <c r="I23" s="12">
        <f>F34*((I21*(I12-(I22/2)))-(I10*((I11/2)-(I22/2))))*(1/12)</f>
        <v>38.668112938867054</v>
      </c>
      <c r="J23" s="17" t="s">
        <v>73</v>
      </c>
    </row>
    <row r="24" spans="1:13">
      <c r="A24" s="10" t="s">
        <v>200</v>
      </c>
      <c r="B24" s="30">
        <f>41</f>
        <v>41</v>
      </c>
      <c r="C24" s="10" t="s">
        <v>12</v>
      </c>
      <c r="E24" s="10" t="s">
        <v>231</v>
      </c>
      <c r="F24" s="12">
        <f>F22-B6-('Deck Design'!G21/2)</f>
        <v>7.3916666666666657</v>
      </c>
      <c r="G24" s="10" t="s">
        <v>19</v>
      </c>
      <c r="H24" s="83" t="str">
        <f>IF(I23&gt;I20,"Section has Adequate Strength","NOT OK")</f>
        <v>Section has Adequate Strength</v>
      </c>
      <c r="I24" s="84"/>
      <c r="J24" s="85"/>
    </row>
    <row r="25" spans="1:13">
      <c r="A25" s="10" t="s">
        <v>202</v>
      </c>
      <c r="B25" s="30">
        <f>80</f>
        <v>80</v>
      </c>
      <c r="C25" s="10" t="s">
        <v>12</v>
      </c>
      <c r="E25" s="51" t="s">
        <v>226</v>
      </c>
      <c r="F25" s="51"/>
      <c r="G25" s="51"/>
    </row>
    <row r="26" spans="1:13">
      <c r="A26" s="10" t="s">
        <v>203</v>
      </c>
      <c r="B26" s="30">
        <f>8</f>
        <v>8</v>
      </c>
      <c r="C26" s="10" t="s">
        <v>87</v>
      </c>
      <c r="E26" s="9" t="s">
        <v>139</v>
      </c>
      <c r="F26" s="12">
        <f>(B7*(B8/12)*((B16/12)^2))/2</f>
        <v>0.14101562499999998</v>
      </c>
      <c r="G26" s="10" t="s">
        <v>133</v>
      </c>
    </row>
    <row r="27" spans="1:13">
      <c r="A27" s="10" t="s">
        <v>204</v>
      </c>
      <c r="B27" s="30">
        <f>40</f>
        <v>40</v>
      </c>
      <c r="C27" s="10" t="s">
        <v>87</v>
      </c>
      <c r="E27" s="9"/>
      <c r="F27" s="12">
        <f>(B7*(1.27/12)*((B16/12)^2))/6</f>
        <v>6.632957175925925E-3</v>
      </c>
      <c r="G27" s="10" t="s">
        <v>133</v>
      </c>
    </row>
    <row r="28" spans="1:13">
      <c r="A28" s="10" t="s">
        <v>205</v>
      </c>
      <c r="B28" s="30">
        <f>42</f>
        <v>42</v>
      </c>
      <c r="C28" s="10" t="s">
        <v>19</v>
      </c>
      <c r="E28" s="9" t="s">
        <v>228</v>
      </c>
      <c r="F28" s="12">
        <f>SUM(F26:F27)</f>
        <v>0.14764858217592591</v>
      </c>
      <c r="G28" s="10" t="s">
        <v>73</v>
      </c>
    </row>
    <row r="29" spans="1:13">
      <c r="A29" s="51" t="s">
        <v>206</v>
      </c>
      <c r="B29" s="51"/>
      <c r="C29" s="51"/>
      <c r="E29" s="10" t="s">
        <v>101</v>
      </c>
      <c r="F29" s="12">
        <f>B39*(B21/12)</f>
        <v>0.50894800000000007</v>
      </c>
      <c r="G29" s="10" t="s">
        <v>73</v>
      </c>
    </row>
    <row r="30" spans="1:13">
      <c r="A30" s="10" t="s">
        <v>207</v>
      </c>
      <c r="B30" s="30">
        <f>0.31</f>
        <v>0.31</v>
      </c>
      <c r="C30" s="10" t="s">
        <v>10</v>
      </c>
      <c r="E30" s="10" t="s">
        <v>230</v>
      </c>
      <c r="F30" s="12">
        <f>F21*((B28/12)+(F23/2))</f>
        <v>23.176274358976116</v>
      </c>
      <c r="G30" s="10" t="s">
        <v>73</v>
      </c>
    </row>
    <row r="31" spans="1:13">
      <c r="A31" s="10" t="s">
        <v>152</v>
      </c>
      <c r="B31" s="30">
        <f>0.625</f>
        <v>0.625</v>
      </c>
      <c r="C31" s="10" t="s">
        <v>19</v>
      </c>
      <c r="E31" s="10" t="s">
        <v>22</v>
      </c>
      <c r="F31" s="12">
        <f>('Overhang Design'!F30/'Overhang Design'!F21)*12</f>
        <v>47.133333333333333</v>
      </c>
      <c r="G31" s="10" t="s">
        <v>19</v>
      </c>
    </row>
    <row r="32" spans="1:13">
      <c r="A32" s="10" t="s">
        <v>151</v>
      </c>
      <c r="B32" s="30">
        <f>1.5</f>
        <v>1.5</v>
      </c>
      <c r="C32" s="10" t="s">
        <v>19</v>
      </c>
      <c r="E32" s="10" t="s">
        <v>153</v>
      </c>
      <c r="F32" s="13">
        <v>60</v>
      </c>
      <c r="G32" s="10" t="s">
        <v>9</v>
      </c>
    </row>
    <row r="33" spans="1:11">
      <c r="A33" s="10" t="s">
        <v>208</v>
      </c>
      <c r="B33" s="30">
        <f>26</f>
        <v>26</v>
      </c>
      <c r="C33" s="10" t="s">
        <v>209</v>
      </c>
      <c r="E33" s="10" t="s">
        <v>233</v>
      </c>
      <c r="F33" s="13">
        <f>(0.44*(12/6))*F32</f>
        <v>52.8</v>
      </c>
      <c r="G33" s="10" t="s">
        <v>12</v>
      </c>
    </row>
    <row r="34" spans="1:11">
      <c r="A34" s="51" t="s">
        <v>210</v>
      </c>
      <c r="B34" s="51"/>
      <c r="C34" s="51"/>
      <c r="E34" s="10" t="s">
        <v>234</v>
      </c>
      <c r="F34" s="13">
        <f>1</f>
        <v>1</v>
      </c>
      <c r="G34" s="10"/>
    </row>
    <row r="35" spans="1:11">
      <c r="A35" s="10" t="s">
        <v>211</v>
      </c>
      <c r="B35" s="30">
        <f>0</f>
        <v>0</v>
      </c>
      <c r="C35" s="10" t="s">
        <v>73</v>
      </c>
      <c r="E35" s="10" t="s">
        <v>69</v>
      </c>
      <c r="F35" s="12">
        <f>((F33-F21))/(B3*B2*B12)</f>
        <v>1.0527360867954827</v>
      </c>
      <c r="G35" s="10" t="s">
        <v>19</v>
      </c>
    </row>
    <row r="36" spans="1:11">
      <c r="A36" s="10" t="s">
        <v>212</v>
      </c>
      <c r="B36" s="30">
        <f>15.16</f>
        <v>15.16</v>
      </c>
      <c r="C36" s="10" t="s">
        <v>73</v>
      </c>
      <c r="E36" s="10" t="s">
        <v>218</v>
      </c>
      <c r="F36" s="12">
        <f>F34*((F33*(F24-(F35/2)))-(F21*((F22/2)-(F35/2))))*(1/12)</f>
        <v>27.941989511227099</v>
      </c>
      <c r="G36" s="10" t="s">
        <v>73</v>
      </c>
    </row>
    <row r="37" spans="1:11">
      <c r="A37" s="10" t="s">
        <v>213</v>
      </c>
      <c r="B37" s="30">
        <f>56.42</f>
        <v>56.42</v>
      </c>
      <c r="C37" s="10" t="s">
        <v>73</v>
      </c>
      <c r="E37" s="75" t="str">
        <f>IF(F36&gt;F30,"Section has Adequate Strength","NOT OK")</f>
        <v>Section has Adequate Strength</v>
      </c>
      <c r="F37" s="75"/>
      <c r="G37" s="75"/>
    </row>
    <row r="38" spans="1:11">
      <c r="A38" s="10" t="s">
        <v>214</v>
      </c>
      <c r="B38" s="30">
        <f>129.6</f>
        <v>129.6</v>
      </c>
      <c r="C38" s="10" t="s">
        <v>12</v>
      </c>
    </row>
    <row r="39" spans="1:11">
      <c r="A39" s="10" t="s">
        <v>229</v>
      </c>
      <c r="B39" s="30">
        <f>0.538</f>
        <v>0.53800000000000003</v>
      </c>
      <c r="C39" s="10" t="s">
        <v>12</v>
      </c>
      <c r="E39" s="51" t="s">
        <v>263</v>
      </c>
      <c r="F39" s="51"/>
      <c r="G39" s="51"/>
      <c r="I39" s="51" t="s">
        <v>265</v>
      </c>
      <c r="J39" s="51"/>
      <c r="K39" s="51"/>
    </row>
    <row r="40" spans="1:11">
      <c r="A40" s="1"/>
      <c r="B40" s="1"/>
      <c r="C40" s="1"/>
      <c r="E40" s="53" t="s">
        <v>261</v>
      </c>
      <c r="F40" s="53"/>
      <c r="G40" s="53"/>
      <c r="I40" s="53" t="s">
        <v>261</v>
      </c>
      <c r="J40" s="53"/>
      <c r="K40" s="53"/>
    </row>
    <row r="41" spans="1:11">
      <c r="A41" s="51" t="s">
        <v>255</v>
      </c>
      <c r="B41" s="51"/>
      <c r="C41" s="51"/>
      <c r="E41" s="10" t="s">
        <v>253</v>
      </c>
      <c r="F41" s="12">
        <f>I17</f>
        <v>2.5535209166666668</v>
      </c>
      <c r="G41" s="10" t="s">
        <v>73</v>
      </c>
      <c r="I41" s="10" t="s">
        <v>253</v>
      </c>
      <c r="J41" s="12">
        <f>F41</f>
        <v>2.5535209166666668</v>
      </c>
      <c r="K41" s="10" t="s">
        <v>73</v>
      </c>
    </row>
    <row r="42" spans="1:11">
      <c r="A42" s="50" t="s">
        <v>189</v>
      </c>
      <c r="B42" s="50"/>
      <c r="C42" s="50"/>
      <c r="E42" s="10" t="s">
        <v>97</v>
      </c>
      <c r="F42" s="12">
        <f>I18</f>
        <v>5.8680555555555548E-2</v>
      </c>
      <c r="G42" s="10" t="s">
        <v>73</v>
      </c>
      <c r="I42" s="10" t="s">
        <v>97</v>
      </c>
      <c r="J42" s="12">
        <f>F42</f>
        <v>5.8680555555555548E-2</v>
      </c>
      <c r="K42" s="10" t="s">
        <v>73</v>
      </c>
    </row>
    <row r="43" spans="1:11">
      <c r="A43" s="17" t="s">
        <v>257</v>
      </c>
      <c r="B43" s="30">
        <f>5.5</f>
        <v>5.5</v>
      </c>
      <c r="C43" s="10" t="s">
        <v>19</v>
      </c>
      <c r="E43" s="10" t="s">
        <v>230</v>
      </c>
      <c r="F43" s="12">
        <f>(B25/B27)*((B18/12)-(B43/12))</f>
        <v>6.583333333333333</v>
      </c>
      <c r="G43" s="10" t="s">
        <v>73</v>
      </c>
      <c r="I43" s="10" t="s">
        <v>147</v>
      </c>
      <c r="J43" s="12">
        <f>(B55*1.33*B56*(B53/12))/B59</f>
        <v>6.3088941176470597</v>
      </c>
      <c r="K43" s="10" t="s">
        <v>73</v>
      </c>
    </row>
    <row r="44" spans="1:11">
      <c r="A44" s="17" t="s">
        <v>256</v>
      </c>
      <c r="B44" s="30">
        <f>0.25</f>
        <v>0.25</v>
      </c>
      <c r="C44" s="10" t="s">
        <v>19</v>
      </c>
      <c r="E44" s="10" t="s">
        <v>74</v>
      </c>
      <c r="F44" s="12">
        <f>(1*F41)+(1*F42)+(1*F43)</f>
        <v>9.195534805555555</v>
      </c>
      <c r="G44" s="10" t="s">
        <v>73</v>
      </c>
      <c r="I44" s="10" t="s">
        <v>274</v>
      </c>
      <c r="J44" s="12">
        <f>(1.25*J41)+(1.5*J42)+(1.75*J43)</f>
        <v>14.320486685049023</v>
      </c>
      <c r="K44" s="10" t="s">
        <v>73</v>
      </c>
    </row>
    <row r="45" spans="1:11">
      <c r="A45" s="17" t="s">
        <v>258</v>
      </c>
      <c r="B45" s="30">
        <f>5.25</f>
        <v>5.25</v>
      </c>
      <c r="C45" s="10" t="s">
        <v>19</v>
      </c>
      <c r="E45" s="53" t="s">
        <v>262</v>
      </c>
      <c r="F45" s="53"/>
      <c r="G45" s="53"/>
      <c r="I45" s="10" t="s">
        <v>275</v>
      </c>
      <c r="J45" s="12">
        <f>(1*J41)+(1*J42)+(1*J43)</f>
        <v>8.9210955898692816</v>
      </c>
      <c r="K45" s="10" t="s">
        <v>73</v>
      </c>
    </row>
    <row r="46" spans="1:11">
      <c r="A46" s="17" t="s">
        <v>259</v>
      </c>
      <c r="B46" s="30">
        <f>18</f>
        <v>18</v>
      </c>
      <c r="C46" s="17" t="s">
        <v>12</v>
      </c>
      <c r="E46" s="10" t="s">
        <v>130</v>
      </c>
      <c r="F46" s="10">
        <f>B9-B6-(F3/2)</f>
        <v>9.125</v>
      </c>
      <c r="G46" s="10" t="s">
        <v>19</v>
      </c>
      <c r="I46" s="10" t="s">
        <v>155</v>
      </c>
      <c r="J46" s="11">
        <f>(F2/(B12*F46))</f>
        <v>8.7671232876712323E-3</v>
      </c>
      <c r="K46" s="10"/>
    </row>
    <row r="47" spans="1:11">
      <c r="A47" s="17" t="s">
        <v>260</v>
      </c>
      <c r="B47" s="30">
        <f>18</f>
        <v>18</v>
      </c>
      <c r="C47" s="17" t="s">
        <v>87</v>
      </c>
      <c r="E47" s="10" t="s">
        <v>67</v>
      </c>
      <c r="F47" s="12">
        <f>(F2*B11)/(B3*B2*0.85*B12)</f>
        <v>1.5210932857991684</v>
      </c>
      <c r="G47" s="10" t="s">
        <v>19</v>
      </c>
      <c r="I47" s="10" t="s">
        <v>157</v>
      </c>
      <c r="J47" s="11">
        <f>J46*B5</f>
        <v>7.0136986301369858E-2</v>
      </c>
      <c r="K47" s="10"/>
    </row>
    <row r="48" spans="1:11">
      <c r="A48" s="1"/>
      <c r="B48" s="1"/>
      <c r="C48" s="1"/>
      <c r="E48" s="10" t="s">
        <v>69</v>
      </c>
      <c r="F48" s="12">
        <f>F47*B3</f>
        <v>1.2549019607843139</v>
      </c>
      <c r="G48" s="10" t="s">
        <v>19</v>
      </c>
      <c r="I48" s="10" t="s">
        <v>12</v>
      </c>
      <c r="J48" s="11">
        <f>SQRT((2*J47)+(J47^2))-J47</f>
        <v>0.31090522848614977</v>
      </c>
      <c r="K48" s="10"/>
    </row>
    <row r="49" spans="1:11">
      <c r="A49" s="80" t="s">
        <v>266</v>
      </c>
      <c r="B49" s="81"/>
      <c r="C49" s="82"/>
      <c r="E49" s="10" t="s">
        <v>171</v>
      </c>
      <c r="F49" s="11">
        <f>0.003*((F46/F47)-1)</f>
        <v>1.4996923828124998E-2</v>
      </c>
      <c r="G49" s="10" t="str">
        <f>IF(F49&gt;0.005,"Tension Controlled","--")</f>
        <v>Tension Controlled</v>
      </c>
      <c r="I49" s="10" t="s">
        <v>158</v>
      </c>
      <c r="J49" s="11">
        <f>1-(J48/3)</f>
        <v>0.89636492383795008</v>
      </c>
      <c r="K49" s="10"/>
    </row>
    <row r="50" spans="1:11">
      <c r="A50" s="40" t="s">
        <v>193</v>
      </c>
      <c r="B50" s="30">
        <v>19</v>
      </c>
      <c r="C50" s="40" t="s">
        <v>19</v>
      </c>
      <c r="E50" s="10" t="s">
        <v>76</v>
      </c>
      <c r="F50" s="13">
        <f>IF(G49="Tension Controlled",1,"--")</f>
        <v>1</v>
      </c>
      <c r="G50" s="10"/>
      <c r="I50" s="10" t="s">
        <v>153</v>
      </c>
      <c r="J50" s="12">
        <f>((J45*12)/(F2*J49*F46))</f>
        <v>13.633597840828962</v>
      </c>
      <c r="K50" s="10" t="s">
        <v>73</v>
      </c>
    </row>
    <row r="51" spans="1:11">
      <c r="A51" s="40" t="s">
        <v>195</v>
      </c>
      <c r="B51" s="30">
        <v>26</v>
      </c>
      <c r="C51" s="40" t="s">
        <v>19</v>
      </c>
      <c r="E51" s="10" t="s">
        <v>172</v>
      </c>
      <c r="F51" s="12">
        <f>F50*F2*B11*(F46-(F48/2))*(1/12)</f>
        <v>40.788235294117641</v>
      </c>
      <c r="G51" s="10" t="s">
        <v>73</v>
      </c>
      <c r="I51" s="75" t="str">
        <f>IF(J50&lt;F5,"Serivce Limit State Satisfied","NOT OK")</f>
        <v>Serivce Limit State Satisfied</v>
      </c>
      <c r="J51" s="75"/>
      <c r="K51" s="75"/>
    </row>
    <row r="52" spans="1:11">
      <c r="A52" s="10" t="s">
        <v>267</v>
      </c>
      <c r="B52" s="30">
        <f>12</f>
        <v>12</v>
      </c>
      <c r="C52" s="10" t="s">
        <v>19</v>
      </c>
      <c r="E52" s="75" t="str">
        <f>IF(F51&gt;F44,"Extreme Event Limit State is Satisfied","NOT OK")</f>
        <v>Extreme Event Limit State is Satisfied</v>
      </c>
      <c r="F52" s="75"/>
      <c r="G52" s="75"/>
      <c r="I52" s="51" t="s">
        <v>276</v>
      </c>
      <c r="J52" s="51"/>
      <c r="K52" s="51"/>
    </row>
    <row r="53" spans="1:11">
      <c r="A53" s="10" t="s">
        <v>268</v>
      </c>
      <c r="B53" s="30">
        <f>14</f>
        <v>14</v>
      </c>
      <c r="C53" s="10" t="s">
        <v>19</v>
      </c>
      <c r="E53" s="51" t="s">
        <v>173</v>
      </c>
      <c r="F53" s="51"/>
      <c r="G53" s="51"/>
      <c r="I53" s="10" t="s">
        <v>159</v>
      </c>
      <c r="J53" s="12">
        <f>0.8*(0.24*SQRT(B2))</f>
        <v>0.40729350596345137</v>
      </c>
      <c r="K53" s="10" t="s">
        <v>9</v>
      </c>
    </row>
    <row r="54" spans="1:11">
      <c r="A54" s="10" t="s">
        <v>269</v>
      </c>
      <c r="B54" s="30">
        <f>45</f>
        <v>45</v>
      </c>
      <c r="C54" s="10" t="s">
        <v>19</v>
      </c>
      <c r="E54" s="17" t="s">
        <v>77</v>
      </c>
      <c r="F54" s="13">
        <f>(B12*(B9^2))/6</f>
        <v>288</v>
      </c>
      <c r="G54" s="10" t="s">
        <v>123</v>
      </c>
      <c r="I54" s="10" t="s">
        <v>161</v>
      </c>
      <c r="J54" s="13">
        <f>(B12*(B9^2))/6</f>
        <v>288</v>
      </c>
      <c r="K54" s="10" t="s">
        <v>123</v>
      </c>
    </row>
    <row r="55" spans="1:11">
      <c r="A55" s="17" t="s">
        <v>270</v>
      </c>
      <c r="B55" s="30">
        <f>16</f>
        <v>16</v>
      </c>
      <c r="C55" s="17" t="s">
        <v>12</v>
      </c>
      <c r="E55" s="17" t="s">
        <v>174</v>
      </c>
      <c r="F55" s="12">
        <f>0.37*SQRT(B2)</f>
        <v>0.78488852711706769</v>
      </c>
      <c r="G55" s="10" t="s">
        <v>9</v>
      </c>
      <c r="I55" s="10" t="s">
        <v>174</v>
      </c>
      <c r="J55" s="12">
        <f>(J45*12)/J54</f>
        <v>0.37171231624455342</v>
      </c>
      <c r="K55" s="10" t="s">
        <v>9</v>
      </c>
    </row>
    <row r="56" spans="1:11">
      <c r="A56" s="17" t="s">
        <v>271</v>
      </c>
      <c r="B56" s="30">
        <f>1.2</f>
        <v>1.2</v>
      </c>
      <c r="C56" s="10"/>
      <c r="E56" s="17" t="s">
        <v>79</v>
      </c>
      <c r="F56" s="12">
        <f>F55*F54*(1/12)</f>
        <v>18.837324650809624</v>
      </c>
      <c r="G56" s="10" t="s">
        <v>73</v>
      </c>
      <c r="I56" s="75" t="str">
        <f>IF(J55&lt;J53,"Maximum Spacing Limit is Satisfied","NOT OK")</f>
        <v>Maximum Spacing Limit is Satisfied</v>
      </c>
      <c r="J56" s="75"/>
      <c r="K56" s="75"/>
    </row>
    <row r="57" spans="1:11">
      <c r="A57" s="17" t="s">
        <v>273</v>
      </c>
      <c r="B57" s="88">
        <f>B53/12</f>
        <v>1.1666666666666667</v>
      </c>
      <c r="C57" s="17" t="s">
        <v>87</v>
      </c>
      <c r="E57" s="79" t="str">
        <f>IF(F56&lt;F51,"Minimum Reinforcing is Satisfied","NOT OK")</f>
        <v>Minimum Reinforcing is Satisfied</v>
      </c>
      <c r="F57" s="79"/>
      <c r="G57" s="79"/>
      <c r="I57" s="75" t="str">
        <f>IF(F51&gt;J44,"Strength Limit State is Satisfied","NOT OK")</f>
        <v>Strength Limit State is Satisfied</v>
      </c>
      <c r="J57" s="75"/>
      <c r="K57" s="75"/>
    </row>
    <row r="58" spans="1:11">
      <c r="A58" s="17" t="s">
        <v>272</v>
      </c>
      <c r="B58" s="88">
        <f>45+(10*B57)</f>
        <v>56.666666666666671</v>
      </c>
      <c r="C58" s="17" t="s">
        <v>19</v>
      </c>
    </row>
    <row r="59" spans="1:11">
      <c r="A59" s="17" t="s">
        <v>272</v>
      </c>
      <c r="B59" s="88">
        <f>B58/12</f>
        <v>4.7222222222222223</v>
      </c>
      <c r="C59" s="17" t="s">
        <v>87</v>
      </c>
    </row>
  </sheetData>
  <mergeCells count="30">
    <mergeCell ref="I39:K39"/>
    <mergeCell ref="I40:K40"/>
    <mergeCell ref="E37:G37"/>
    <mergeCell ref="E8:G8"/>
    <mergeCell ref="H8:J8"/>
    <mergeCell ref="H13:J13"/>
    <mergeCell ref="A34:C34"/>
    <mergeCell ref="A22:C22"/>
    <mergeCell ref="A15:C15"/>
    <mergeCell ref="A29:C29"/>
    <mergeCell ref="E25:G25"/>
    <mergeCell ref="A1:C1"/>
    <mergeCell ref="K13:M13"/>
    <mergeCell ref="K21:M21"/>
    <mergeCell ref="E7:M7"/>
    <mergeCell ref="H24:J24"/>
    <mergeCell ref="E1:G1"/>
    <mergeCell ref="A41:C41"/>
    <mergeCell ref="A42:C42"/>
    <mergeCell ref="E39:G39"/>
    <mergeCell ref="E45:G45"/>
    <mergeCell ref="E52:G52"/>
    <mergeCell ref="E40:G40"/>
    <mergeCell ref="E53:G53"/>
    <mergeCell ref="E57:G57"/>
    <mergeCell ref="A49:C49"/>
    <mergeCell ref="I52:K52"/>
    <mergeCell ref="I51:K51"/>
    <mergeCell ref="I56:K56"/>
    <mergeCell ref="I57:K5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workbookViewId="0">
      <selection activeCell="E18" sqref="E18"/>
    </sheetView>
  </sheetViews>
  <sheetFormatPr baseColWidth="10" defaultRowHeight="15" x14ac:dyDescent="0"/>
  <cols>
    <col min="1" max="1" width="32.1640625" bestFit="1" customWidth="1"/>
    <col min="2" max="2" width="9.83203125" bestFit="1" customWidth="1"/>
    <col min="3" max="3" width="4" bestFit="1" customWidth="1"/>
    <col min="5" max="5" width="5.1640625" bestFit="1" customWidth="1"/>
    <col min="6" max="6" width="6.83203125" bestFit="1" customWidth="1"/>
    <col min="7" max="7" width="4.83203125" bestFit="1" customWidth="1"/>
  </cols>
  <sheetData>
    <row r="2" spans="1:7">
      <c r="A2" s="51" t="s">
        <v>295</v>
      </c>
      <c r="B2" s="51"/>
      <c r="C2" s="51"/>
      <c r="E2" s="51" t="s">
        <v>314</v>
      </c>
      <c r="F2" s="51"/>
      <c r="G2" s="51"/>
    </row>
    <row r="3" spans="1:7">
      <c r="A3" s="36" t="s">
        <v>293</v>
      </c>
      <c r="B3" s="36">
        <f>0.72*'Section Properties'!B12</f>
        <v>4.1399999999999997</v>
      </c>
      <c r="C3" s="36" t="s">
        <v>87</v>
      </c>
      <c r="E3" s="36" t="s">
        <v>3</v>
      </c>
      <c r="F3" s="36">
        <f>'Post-Tensioning'!B10</f>
        <v>32.549999999999997</v>
      </c>
      <c r="G3" s="36" t="s">
        <v>10</v>
      </c>
    </row>
    <row r="4" spans="1:7">
      <c r="A4" s="36" t="s">
        <v>294</v>
      </c>
      <c r="B4" s="36">
        <f>6</f>
        <v>6</v>
      </c>
      <c r="C4" s="36" t="s">
        <v>87</v>
      </c>
      <c r="E4" s="36" t="s">
        <v>6</v>
      </c>
      <c r="F4" s="13">
        <f>'Post-Tensioning'!B4</f>
        <v>270</v>
      </c>
      <c r="G4" s="36" t="s">
        <v>9</v>
      </c>
    </row>
    <row r="5" spans="1:7">
      <c r="A5" s="36" t="s">
        <v>296</v>
      </c>
      <c r="B5" s="36">
        <f>B4/2+B3</f>
        <v>7.14</v>
      </c>
      <c r="C5" s="36" t="s">
        <v>87</v>
      </c>
      <c r="E5" s="36" t="s">
        <v>160</v>
      </c>
      <c r="F5" s="36">
        <f>'Deck Design'!F2</f>
        <v>4.5</v>
      </c>
      <c r="G5" s="36" t="s">
        <v>9</v>
      </c>
    </row>
    <row r="6" spans="1:7">
      <c r="E6" s="36" t="s">
        <v>129</v>
      </c>
      <c r="F6" s="36">
        <f>'Section Properties'!B17*12</f>
        <v>410</v>
      </c>
      <c r="G6" s="36" t="s">
        <v>19</v>
      </c>
    </row>
    <row r="7" spans="1:7">
      <c r="A7" s="51" t="s">
        <v>298</v>
      </c>
      <c r="B7" s="51"/>
      <c r="C7" s="51"/>
      <c r="E7" s="36" t="s">
        <v>128</v>
      </c>
      <c r="F7" s="36">
        <f>('Section Properties'!B9*12)-'Section Properties'!B8-'Section Properties'!B18</f>
        <v>101</v>
      </c>
      <c r="G7" s="36" t="s">
        <v>19</v>
      </c>
    </row>
    <row r="8" spans="1:7">
      <c r="A8" s="36" t="s">
        <v>297</v>
      </c>
      <c r="B8" s="13">
        <f>675</f>
        <v>675</v>
      </c>
      <c r="C8" s="36" t="s">
        <v>12</v>
      </c>
      <c r="E8" s="36" t="s">
        <v>310</v>
      </c>
      <c r="F8" s="36">
        <f>'Section Properties'!B11</f>
        <v>7</v>
      </c>
      <c r="G8" s="36" t="s">
        <v>19</v>
      </c>
    </row>
    <row r="9" spans="1:7">
      <c r="A9" s="36" t="s">
        <v>242</v>
      </c>
      <c r="B9" s="13">
        <f>57.5</f>
        <v>57.5</v>
      </c>
      <c r="C9" s="36" t="s">
        <v>12</v>
      </c>
      <c r="E9" s="36" t="s">
        <v>170</v>
      </c>
      <c r="F9" s="68">
        <f>'Deck Design'!F4</f>
        <v>0.82499999999999996</v>
      </c>
      <c r="G9" s="69"/>
    </row>
    <row r="10" spans="1:7">
      <c r="A10" s="36" t="s">
        <v>245</v>
      </c>
      <c r="B10" s="13">
        <f>16.5</f>
        <v>16.5</v>
      </c>
      <c r="C10" s="36" t="s">
        <v>12</v>
      </c>
    </row>
    <row r="11" spans="1:7">
      <c r="A11" s="36" t="s">
        <v>102</v>
      </c>
      <c r="B11" s="13">
        <f>64.2</f>
        <v>64.2</v>
      </c>
      <c r="C11" s="36" t="s">
        <v>12</v>
      </c>
    </row>
    <row r="12" spans="1:7">
      <c r="A12" s="36" t="s">
        <v>103</v>
      </c>
      <c r="B12" s="13">
        <f>47.7</f>
        <v>47.7</v>
      </c>
      <c r="C12" s="36" t="s">
        <v>12</v>
      </c>
    </row>
    <row r="13" spans="1:7">
      <c r="A13" s="36" t="s">
        <v>104</v>
      </c>
      <c r="B13" s="13">
        <f>71.8</f>
        <v>71.8</v>
      </c>
      <c r="C13" s="36" t="s">
        <v>12</v>
      </c>
    </row>
    <row r="14" spans="1:7">
      <c r="A14" s="36" t="s">
        <v>105</v>
      </c>
      <c r="B14" s="13">
        <f>35.5</f>
        <v>35.5</v>
      </c>
      <c r="C14" s="36" t="s">
        <v>12</v>
      </c>
    </row>
    <row r="16" spans="1:7">
      <c r="A16" s="51" t="s">
        <v>301</v>
      </c>
      <c r="B16" s="51"/>
      <c r="C16" s="51"/>
    </row>
    <row r="17" spans="1:3">
      <c r="A17" s="53" t="s">
        <v>299</v>
      </c>
      <c r="B17" s="53"/>
      <c r="C17" s="53"/>
    </row>
    <row r="18" spans="1:3">
      <c r="A18" s="36" t="s">
        <v>300</v>
      </c>
      <c r="B18" s="13">
        <f>(1.25*(B8+B9))+(1.5*B10)+(1.75*((1.33*(MAX(B11:B13)))+B14))</f>
        <v>1169.6144999999999</v>
      </c>
      <c r="C18" s="36" t="s">
        <v>12</v>
      </c>
    </row>
    <row r="20" spans="1:3">
      <c r="A20" s="51" t="s">
        <v>302</v>
      </c>
      <c r="B20" s="51"/>
      <c r="C20" s="51"/>
    </row>
    <row r="21" spans="1:3">
      <c r="A21" s="36" t="s">
        <v>303</v>
      </c>
      <c r="B21" s="36">
        <f>2*'Section Properties'!B12</f>
        <v>11.5</v>
      </c>
      <c r="C21" s="36" t="s">
        <v>87</v>
      </c>
    </row>
    <row r="22" spans="1:3">
      <c r="A22" s="36" t="s">
        <v>305</v>
      </c>
      <c r="B22" s="36">
        <f>50</f>
        <v>50</v>
      </c>
      <c r="C22" s="36" t="s">
        <v>87</v>
      </c>
    </row>
    <row r="23" spans="1:3">
      <c r="A23" s="36" t="s">
        <v>304</v>
      </c>
      <c r="B23" s="36">
        <f>B22-(B4/2)</f>
        <v>47</v>
      </c>
      <c r="C23" s="36" t="s">
        <v>87</v>
      </c>
    </row>
    <row r="24" spans="1:3">
      <c r="A24" s="75" t="str">
        <f>IF(B23&gt;B21,"Section model may be used","Use strut-and-tie model")</f>
        <v>Section model may be used</v>
      </c>
      <c r="B24" s="75"/>
      <c r="C24" s="75"/>
    </row>
    <row r="26" spans="1:3">
      <c r="A26" s="80" t="s">
        <v>306</v>
      </c>
      <c r="B26" s="81"/>
      <c r="C26" s="82"/>
    </row>
    <row r="27" spans="1:3">
      <c r="A27" s="37" t="s">
        <v>307</v>
      </c>
      <c r="B27" s="12">
        <f>(0.9)*((0.75*('Section Properties'!B12*12))-((((0.75*('Section Properties'!B12*12))-(0.67*('Section Properties'!B12*12))))*((B5/(0.13*'Section Properties'!F14))^2)))</f>
        <v>45.076380752662722</v>
      </c>
      <c r="C27" s="36" t="s">
        <v>19</v>
      </c>
    </row>
    <row r="28" spans="1:3">
      <c r="A28" s="37" t="s">
        <v>309</v>
      </c>
      <c r="B28" s="12">
        <f>0.72*'Section Properties'!B12*13</f>
        <v>53.819999999999993</v>
      </c>
      <c r="C28" s="36" t="s">
        <v>19</v>
      </c>
    </row>
    <row r="29" spans="1:3">
      <c r="A29" s="37" t="s">
        <v>67</v>
      </c>
      <c r="B29" s="12">
        <f>((F3*F4)-(0.85*F5*(F6-F7)*F8))/((0.85*F5*F9*F7)+('Post-Tensioning'!J42*F3*(F4/(B27/0.9))))</f>
        <v>1.40009388974182</v>
      </c>
      <c r="C29" s="36" t="s">
        <v>19</v>
      </c>
    </row>
    <row r="30" spans="1:3">
      <c r="A30" s="37" t="s">
        <v>69</v>
      </c>
      <c r="B30" s="12">
        <f>B29*F9</f>
        <v>1.1550774590370014</v>
      </c>
      <c r="C30" s="36" t="s">
        <v>19</v>
      </c>
    </row>
    <row r="31" spans="1:3">
      <c r="A31" s="37" t="s">
        <v>70</v>
      </c>
      <c r="B31" s="12">
        <f>(F4*(1-('Post-Tensioning'!J42*(B29/(B27/0.9)))))</f>
        <v>267.88664514170415</v>
      </c>
      <c r="C31" s="36" t="s">
        <v>9</v>
      </c>
    </row>
    <row r="32" spans="1:3">
      <c r="A32" s="37" t="s">
        <v>71</v>
      </c>
      <c r="B32" s="12">
        <f>(1/12)*(F3*B31)*((B27/0.9)-(B30/2))</f>
        <v>35974.130383307442</v>
      </c>
      <c r="C32" s="36" t="s">
        <v>73</v>
      </c>
    </row>
    <row r="33" spans="1:4">
      <c r="A33" s="37" t="s">
        <v>293</v>
      </c>
      <c r="B33" s="12">
        <f>(B32*12)/(F3*B31)</f>
        <v>49.507328773440079</v>
      </c>
      <c r="C33" s="36" t="s">
        <v>19</v>
      </c>
    </row>
    <row r="34" spans="1:4">
      <c r="A34" s="37" t="s">
        <v>311</v>
      </c>
      <c r="B34" s="12">
        <f>MAX(B27,B28,B33)</f>
        <v>53.819999999999993</v>
      </c>
      <c r="C34" s="36" t="s">
        <v>19</v>
      </c>
    </row>
    <row r="36" spans="1:4">
      <c r="A36" s="86" t="s">
        <v>312</v>
      </c>
      <c r="B36" s="86"/>
      <c r="C36" s="86"/>
      <c r="D36" s="86"/>
    </row>
    <row r="37" spans="1:4">
      <c r="A37" s="86"/>
      <c r="B37" s="86"/>
      <c r="C37" s="86"/>
      <c r="D37" s="86"/>
    </row>
    <row r="39" spans="1:4">
      <c r="A39" s="87" t="s">
        <v>313</v>
      </c>
      <c r="B39" s="87"/>
      <c r="C39" s="87"/>
      <c r="D39" s="87"/>
    </row>
  </sheetData>
  <mergeCells count="11">
    <mergeCell ref="A26:C26"/>
    <mergeCell ref="A36:D37"/>
    <mergeCell ref="A39:D39"/>
    <mergeCell ref="E2:G2"/>
    <mergeCell ref="F9:G9"/>
    <mergeCell ref="A2:C2"/>
    <mergeCell ref="A7:C7"/>
    <mergeCell ref="A16:C16"/>
    <mergeCell ref="A17:C17"/>
    <mergeCell ref="A20:C20"/>
    <mergeCell ref="A24:C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Section Properties</vt:lpstr>
      <vt:lpstr>Post-Tensioning</vt:lpstr>
      <vt:lpstr>Deck Design</vt:lpstr>
      <vt:lpstr>Overhang Design</vt:lpstr>
      <vt:lpstr>Shear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DeWitt</dc:creator>
  <cp:lastModifiedBy>Jake DeWitt</cp:lastModifiedBy>
  <dcterms:created xsi:type="dcterms:W3CDTF">2016-05-26T13:23:43Z</dcterms:created>
  <dcterms:modified xsi:type="dcterms:W3CDTF">2016-05-31T02:41:03Z</dcterms:modified>
</cp:coreProperties>
</file>