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erje/Documents/Code/AWS/big-data-tenant-analytics/docs/"/>
    </mc:Choice>
  </mc:AlternateContent>
  <xr:revisionPtr revIDLastSave="0" documentId="13_ncr:1_{50BD4EE0-6FF4-5245-9CC4-B53329A21A22}" xr6:coauthVersionLast="47" xr6:coauthVersionMax="47" xr10:uidLastSave="{00000000-0000-0000-0000-000000000000}"/>
  <bookViews>
    <workbookView xWindow="46960" yWindow="2360" windowWidth="24420" windowHeight="17960" activeTab="1" xr2:uid="{D425A971-54F1-3144-B2A7-8B3877C84570}"/>
  </bookViews>
  <sheets>
    <sheet name="Assumptions" sheetId="1" r:id="rId1"/>
    <sheet name="Kinesis" sheetId="11" r:id="rId2"/>
    <sheet name="S3" sheetId="7" r:id="rId3"/>
    <sheet name="SageMaker" sheetId="9" r:id="rId4"/>
    <sheet name="EKS" sheetId="8" r:id="rId5"/>
    <sheet name="GuardDuty" sheetId="2" r:id="rId6"/>
    <sheet name="Lambda" sheetId="3" r:id="rId7"/>
    <sheet name="RDS-Postgresql" sheetId="4" r:id="rId8"/>
    <sheet name="API Gateway" sheetId="6" r:id="rId9"/>
    <sheet name="QuickSight" sheetId="10" r:id="rId10"/>
    <sheet name="DynamoDB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17" i="11"/>
  <c r="B16" i="11"/>
  <c r="B14" i="11"/>
  <c r="B20" i="11"/>
  <c r="B15" i="11"/>
  <c r="B19" i="7"/>
  <c r="B26" i="1"/>
  <c r="B22" i="1"/>
  <c r="B27" i="10"/>
  <c r="B22" i="10"/>
  <c r="B23" i="10"/>
  <c r="B24" i="10"/>
  <c r="B25" i="10"/>
  <c r="C22" i="9"/>
  <c r="C15" i="9"/>
  <c r="C14" i="9"/>
  <c r="C21" i="9" s="1"/>
  <c r="C13" i="9"/>
  <c r="C20" i="9" s="1"/>
  <c r="B26" i="11" l="1"/>
  <c r="B29" i="1" s="1"/>
  <c r="C23" i="9"/>
  <c r="B23" i="1" s="1"/>
  <c r="B18" i="7" l="1"/>
  <c r="B10" i="1"/>
  <c r="B17" i="7" s="1"/>
  <c r="B20" i="7" s="1"/>
  <c r="B27" i="1" s="1"/>
  <c r="B26" i="4"/>
  <c r="B22" i="4"/>
  <c r="C5" i="4"/>
  <c r="C4" i="4"/>
  <c r="B17" i="4"/>
  <c r="B27" i="4" s="1"/>
  <c r="H15" i="4"/>
  <c r="D21" i="4" s="1"/>
  <c r="B14" i="5"/>
  <c r="E5" i="1"/>
  <c r="B4" i="1"/>
  <c r="B13" i="1" s="1"/>
  <c r="B14" i="1" s="1"/>
  <c r="E9" i="1" l="1"/>
  <c r="C14" i="1"/>
  <c r="B13" i="4" s="1"/>
  <c r="B16" i="1"/>
  <c r="C16" i="1" s="1"/>
  <c r="B13" i="5" s="1"/>
  <c r="B16" i="5" s="1"/>
  <c r="B22" i="5" s="1"/>
  <c r="B21" i="4"/>
  <c r="B28" i="4" s="1"/>
  <c r="B25" i="1" s="1"/>
  <c r="B15" i="1"/>
  <c r="C15" i="1" s="1"/>
  <c r="C13" i="1"/>
  <c r="B8" i="3" s="1"/>
  <c r="B14" i="3" s="1"/>
  <c r="B17" i="5" l="1"/>
  <c r="B21" i="5" s="1"/>
  <c r="B14" i="4"/>
  <c r="B12" i="5"/>
  <c r="B15" i="5" s="1"/>
  <c r="B24" i="5" s="1"/>
  <c r="B15" i="4"/>
  <c r="B13" i="3"/>
  <c r="B15" i="3" s="1"/>
  <c r="B24" i="1" s="1"/>
  <c r="B23" i="5" l="1"/>
  <c r="B25" i="5" s="1"/>
  <c r="B30" i="1" s="1"/>
  <c r="B35" i="1" s="1"/>
</calcChain>
</file>

<file path=xl/sharedStrings.xml><?xml version="1.0" encoding="utf-8"?>
<sst xmlns="http://schemas.openxmlformats.org/spreadsheetml/2006/main" count="298" uniqueCount="222">
  <si>
    <t>nb-of-tenants</t>
  </si>
  <si>
    <t>MB</t>
  </si>
  <si>
    <t>Summary</t>
  </si>
  <si>
    <t>QuickSight</t>
  </si>
  <si>
    <t>Average data set size per job</t>
  </si>
  <si>
    <t>guardduty</t>
  </si>
  <si>
    <t>Lambda</t>
  </si>
  <si>
    <t>Cost points</t>
  </si>
  <si>
    <t>Per 1M requests</t>
  </si>
  <si>
    <t>Per GB-second execution</t>
  </si>
  <si>
    <t>Usage</t>
  </si>
  <si>
    <t>Monthly invocations</t>
  </si>
  <si>
    <t>Execution time (seconds)</t>
  </si>
  <si>
    <t>GB allowance</t>
  </si>
  <si>
    <t>Cost</t>
  </si>
  <si>
    <t>Invocations</t>
  </si>
  <si>
    <t>GB-second</t>
  </si>
  <si>
    <t>Input Parameters</t>
  </si>
  <si>
    <t>per day</t>
  </si>
  <si>
    <t>per month</t>
  </si>
  <si>
    <t>Retention time in event backbone</t>
  </si>
  <si>
    <t>days</t>
  </si>
  <si>
    <t>Retention time in S3</t>
  </si>
  <si>
    <t>SageMaker</t>
  </si>
  <si>
    <t>EKS</t>
  </si>
  <si>
    <t>S3</t>
  </si>
  <si>
    <t>Assumptions: Big Data analytics job during week day done by analytics, scientists..For a SaaS company adding rt-analytiics on metadata events</t>
  </si>
  <si>
    <t>Metadata events produced</t>
  </si>
  <si>
    <t>Metadata size / event</t>
  </si>
  <si>
    <t>K</t>
  </si>
  <si>
    <t>Pricing</t>
  </si>
  <si>
    <t>per M request</t>
  </si>
  <si>
    <t xml:space="preserve">Incoming Lambda/Sagemaker API calls </t>
  </si>
  <si>
    <t>DynamoDB</t>
  </si>
  <si>
    <t>Per WCU per hour</t>
  </si>
  <si>
    <t>Per RCU per hour</t>
  </si>
  <si>
    <t>Per GB storage per month</t>
  </si>
  <si>
    <t>Point-in-time recovery, per GB per month</t>
  </si>
  <si>
    <t>Replication WCU per hour</t>
  </si>
  <si>
    <t>egress per GB over DX</t>
  </si>
  <si>
    <t>Writes per month</t>
  </si>
  <si>
    <t>Reads per month</t>
  </si>
  <si>
    <t>Item size (KB)</t>
  </si>
  <si>
    <t>Storage (GB)</t>
  </si>
  <si>
    <t>RCU required</t>
  </si>
  <si>
    <t>WCU required</t>
  </si>
  <si>
    <t>WCU</t>
  </si>
  <si>
    <t>RCU</t>
  </si>
  <si>
    <t>PITR</t>
  </si>
  <si>
    <t>Storage</t>
  </si>
  <si>
    <t>RDS PostgreSQL - write ops</t>
  </si>
  <si>
    <t xml:space="preserve">DynamoDB Writes ops </t>
  </si>
  <si>
    <t>RDS PostgreSQL - Read ops</t>
  </si>
  <si>
    <t xml:space="preserve">tenant creation, update, churn update, # job 30 and 90 </t>
  </si>
  <si>
    <t>4 times the writes numbers</t>
  </si>
  <si>
    <t>Events on job submissions, cancel or termination</t>
  </si>
  <si>
    <t>nb-of-job/day/developer</t>
  </si>
  <si>
    <t>RDS</t>
  </si>
  <si>
    <t>per hour</t>
  </si>
  <si>
    <t>1 Region - Multi AZ - one standby</t>
  </si>
  <si>
    <t>On-demand</t>
  </si>
  <si>
    <t>RI</t>
  </si>
  <si>
    <t>up front</t>
  </si>
  <si>
    <t>GB/month</t>
  </si>
  <si>
    <t>Multi AZ - Storage</t>
  </si>
  <si>
    <t xml:space="preserve">IO Rate / </t>
  </si>
  <si>
    <t>IOPS month</t>
  </si>
  <si>
    <t>Write operation</t>
  </si>
  <si>
    <t>Read operation</t>
  </si>
  <si>
    <t>IOPS</t>
  </si>
  <si>
    <t>per sec</t>
  </si>
  <si>
    <t>nb-h-work-day</t>
  </si>
  <si>
    <t># working day</t>
  </si>
  <si>
    <t>Storage total</t>
  </si>
  <si>
    <t>GB</t>
  </si>
  <si>
    <t>API Gateway</t>
  </si>
  <si>
    <t xml:space="preserve">Per 1M requests </t>
  </si>
  <si>
    <t>first 333 M</t>
  </si>
  <si>
    <t>next 667 M</t>
  </si>
  <si>
    <t>next 19 B</t>
  </si>
  <si>
    <t>over 20 B</t>
  </si>
  <si>
    <t>Caching per hour</t>
  </si>
  <si>
    <t>Transfer out per GB (DX)</t>
  </si>
  <si>
    <t>Number of API calls</t>
  </si>
  <si>
    <t xml:space="preserve">                              -  </t>
  </si>
  <si>
    <t>Cache usage (GB)</t>
  </si>
  <si>
    <t>Cache size (GB)</t>
  </si>
  <si>
    <t>Cache cost per hour</t>
  </si>
  <si>
    <t>Egress (GB)</t>
  </si>
  <si>
    <t>API calls</t>
  </si>
  <si>
    <t>Cache</t>
  </si>
  <si>
    <t>Transfer</t>
  </si>
  <si>
    <t>Egress</t>
  </si>
  <si>
    <t>Server</t>
  </si>
  <si>
    <t>% Utilization</t>
  </si>
  <si>
    <t>Backup Storage</t>
  </si>
  <si>
    <t>Backup storage</t>
  </si>
  <si>
    <t>Backup</t>
  </si>
  <si>
    <t>db.m1.large</t>
  </si>
  <si>
    <t xml:space="preserve">monthly at </t>
  </si>
  <si>
    <t>utilization</t>
  </si>
  <si>
    <t>RDS Proxy</t>
  </si>
  <si>
    <t>RDS proxy (2VCPU)</t>
  </si>
  <si>
    <t>EKS (EC2)</t>
  </si>
  <si>
    <t>instance per hour (m4.2xlarge, RI)</t>
  </si>
  <si>
    <t>Control plane per hour</t>
  </si>
  <si>
    <t>per ALB hour</t>
  </si>
  <si>
    <t>per ALB LCU hour</t>
  </si>
  <si>
    <t>per EBS GB per month</t>
  </si>
  <si>
    <t>Monthly API calls</t>
  </si>
  <si>
    <t>CPU-per-GB ratio</t>
  </si>
  <si>
    <t>LCUs (connections per second)</t>
  </si>
  <si>
    <t>API calls per second</t>
  </si>
  <si>
    <t>Max API calls in flight concurrently</t>
  </si>
  <si>
    <t>Concurrent RAM necessary</t>
  </si>
  <si>
    <t>Concurrent CPU necessary</t>
  </si>
  <si>
    <t>EBS volume size (GB)</t>
  </si>
  <si>
    <t>CPU per instance</t>
  </si>
  <si>
    <t>RAM per instance</t>
  </si>
  <si>
    <t>Number of instances required</t>
  </si>
  <si>
    <t>Instances</t>
  </si>
  <si>
    <t>Control plane</t>
  </si>
  <si>
    <t>ELB</t>
  </si>
  <si>
    <t>EBS</t>
  </si>
  <si>
    <t>Average data size</t>
  </si>
  <si>
    <t>Replication factors - due to user</t>
  </si>
  <si>
    <t>Big-data user's data size - overall with all tenant</t>
  </si>
  <si>
    <t>Overall storage cross tenants</t>
  </si>
  <si>
    <t>&gt; 500 TB</t>
  </si>
  <si>
    <t xml:space="preserve"> 50 to 500 TB</t>
  </si>
  <si>
    <t>First 50 TB / Month</t>
  </si>
  <si>
    <t>TB / month</t>
  </si>
  <si>
    <t>TB</t>
  </si>
  <si>
    <t>Storage for SaaS execution analytics</t>
  </si>
  <si>
    <t>Data for SaaS execution analytics</t>
  </si>
  <si>
    <t>Storage for Tenant data</t>
  </si>
  <si>
    <t>Storage for SaaS business</t>
  </si>
  <si>
    <t>Cost Points</t>
  </si>
  <si>
    <t>ml-t3..medium</t>
  </si>
  <si>
    <t>Type</t>
  </si>
  <si>
    <t>ml.m5.xlarge</t>
  </si>
  <si>
    <t>2 cCPU- 4GB</t>
  </si>
  <si>
    <t>4 vCPU- 16GB</t>
  </si>
  <si>
    <t>SageMaker Studio</t>
  </si>
  <si>
    <t>SageMaker Studio Notebook</t>
  </si>
  <si>
    <t>Runtime for model serving</t>
  </si>
  <si>
    <t>ml.c5.xlarge</t>
  </si>
  <si>
    <t>4 vCPU, 8 GB</t>
  </si>
  <si>
    <t>24/7</t>
  </si>
  <si>
    <t>Monitoring</t>
  </si>
  <si>
    <t>ml.m5.4xlarge</t>
  </si>
  <si>
    <t>16vCPU-32GB</t>
  </si>
  <si>
    <t>ml.m5.4xlarge. - 5 minutes a day</t>
  </si>
  <si>
    <t>Data out per day</t>
  </si>
  <si>
    <t>Data in per day (MB)</t>
  </si>
  <si>
    <t>Data process in / out</t>
  </si>
  <si>
    <t>per GB</t>
  </si>
  <si>
    <t>Infered dimensions</t>
  </si>
  <si>
    <t>Data in and out</t>
  </si>
  <si>
    <t>Size</t>
  </si>
  <si>
    <t>Time</t>
  </si>
  <si>
    <t>Hours</t>
  </si>
  <si>
    <t>Days</t>
  </si>
  <si>
    <t>pricing</t>
  </si>
  <si>
    <t>Budget</t>
  </si>
  <si>
    <t>Total per month</t>
  </si>
  <si>
    <t>persons</t>
  </si>
  <si>
    <t xml:space="preserve">   Cost points	</t>
  </si>
  <si>
    <t>Month</t>
  </si>
  <si>
    <t>Year</t>
  </si>
  <si>
    <t>authors</t>
  </si>
  <si>
    <t>authors with Q capability</t>
  </si>
  <si>
    <t>Authors with Q</t>
  </si>
  <si>
    <t>readers</t>
  </si>
  <si>
    <t>readers with Q</t>
  </si>
  <si>
    <t>session</t>
  </si>
  <si>
    <t>Session in average</t>
  </si>
  <si>
    <t>month</t>
  </si>
  <si>
    <t>Capacity pricing</t>
  </si>
  <si>
    <t>Capacity Q base</t>
  </si>
  <si>
    <t>500 sessions</t>
  </si>
  <si>
    <t>Paginated Report</t>
  </si>
  <si>
    <t>500 month</t>
  </si>
  <si>
    <t>Spice</t>
  </si>
  <si>
    <t>30 minutes session</t>
  </si>
  <si>
    <t>Authors</t>
  </si>
  <si>
    <t>Reader session based</t>
  </si>
  <si>
    <t>Report</t>
  </si>
  <si>
    <t>Expected data size</t>
  </si>
  <si>
    <t>GB / month</t>
  </si>
  <si>
    <t>report  including email</t>
  </si>
  <si>
    <t>Max</t>
  </si>
  <si>
    <t>Total</t>
  </si>
  <si>
    <t>Kinesis</t>
  </si>
  <si>
    <t>Glacier deep archive</t>
  </si>
  <si>
    <t>Glacier instant retrieval</t>
  </si>
  <si>
    <t>Archive</t>
  </si>
  <si>
    <t>Monthly</t>
  </si>
  <si>
    <t>1 MB/second of write and 2 MB/second of read throughout.</t>
  </si>
  <si>
    <t>Shard hour</t>
  </si>
  <si>
    <t xml:space="preserve">Data retention </t>
  </si>
  <si>
    <t># Shard</t>
  </si>
  <si>
    <t>Retention</t>
  </si>
  <si>
    <t>hours</t>
  </si>
  <si>
    <t>Message Size</t>
  </si>
  <si>
    <t>Used for metadata analytics</t>
  </si>
  <si>
    <t>for 7 days</t>
  </si>
  <si>
    <t>GB in a year</t>
  </si>
  <si>
    <t xml:space="preserve">DynamoDB Read ops </t>
  </si>
  <si>
    <t>Shard</t>
  </si>
  <si>
    <t>nb-of-user-developer cross tenant</t>
  </si>
  <si>
    <t>KB</t>
  </si>
  <si>
    <t>Data produced</t>
  </si>
  <si>
    <t>For simplicity, we assume that the throughput and data size of each record are stable and constant throughout the day</t>
  </si>
  <si>
    <t>Throughput /s</t>
  </si>
  <si>
    <t>MB/s</t>
  </si>
  <si>
    <t>PUT Payload Unit </t>
  </si>
  <si>
    <t>of 25k</t>
  </si>
  <si>
    <t>Put Payload unit /s</t>
  </si>
  <si>
    <t>per 1 million of unit per month. 25k of data</t>
  </si>
  <si>
    <t>PUT Payload Unit (25k)</t>
  </si>
  <si>
    <t>msg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</si>
</sst>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_(&quot;$&quot;* #,##0.00000_);_(&quot;$&quot;* \(#,##0.00000\);_(&quot;$&quot;* &quot;-&quot;??_);_(@_)"/>
    <numFmt numFmtId="166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8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44546A"/>
      <name val="Calibri Light"/>
      <family val="2"/>
    </font>
    <font>
      <sz val="12"/>
      <color rgb="FF00000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4"/>
      <color rgb="FF16191F"/>
      <name val="Amazon Ember"/>
      <family val="2"/>
    </font>
    <font>
      <i/>
      <sz val="12"/>
      <color rgb="FF000000"/>
      <name val="Calibri"/>
      <family val="2"/>
      <scheme val="minor"/>
    </font>
    <font>
      <sz val="15"/>
      <color rgb="FF44546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0" xfId="6"/>
    <xf numFmtId="0" fontId="2" fillId="0" borderId="0" xfId="3"/>
    <xf numFmtId="0" fontId="3" fillId="0" borderId="1" xfId="4"/>
    <xf numFmtId="164" fontId="0" fillId="0" borderId="0" xfId="0" applyNumberFormat="1"/>
    <xf numFmtId="43" fontId="0" fillId="0" borderId="0" xfId="0" applyNumberFormat="1"/>
    <xf numFmtId="44" fontId="0" fillId="0" borderId="0" xfId="1" applyFont="1"/>
    <xf numFmtId="44" fontId="4" fillId="0" borderId="2" xfId="5" applyNumberFormat="1"/>
    <xf numFmtId="0" fontId="0" fillId="2" borderId="0" xfId="0" applyFill="1"/>
    <xf numFmtId="0" fontId="0" fillId="0" borderId="0" xfId="0" applyAlignment="1">
      <alignment wrapText="1"/>
    </xf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3" xfId="0" applyFont="1" applyBorder="1"/>
    <xf numFmtId="165" fontId="7" fillId="0" borderId="0" xfId="0" applyNumberFormat="1" applyFont="1"/>
    <xf numFmtId="166" fontId="7" fillId="0" borderId="0" xfId="0" applyNumberFormat="1" applyFont="1"/>
    <xf numFmtId="8" fontId="7" fillId="0" borderId="0" xfId="0" applyNumberFormat="1" applyFont="1"/>
    <xf numFmtId="43" fontId="7" fillId="0" borderId="0" xfId="0" applyNumberFormat="1" applyFont="1"/>
    <xf numFmtId="44" fontId="7" fillId="0" borderId="0" xfId="0" applyNumberFormat="1" applyFont="1"/>
    <xf numFmtId="44" fontId="9" fillId="0" borderId="4" xfId="0" applyNumberFormat="1" applyFont="1" applyBorder="1"/>
    <xf numFmtId="167" fontId="10" fillId="0" borderId="0" xfId="1" applyNumberFormat="1" applyFont="1"/>
    <xf numFmtId="0" fontId="11" fillId="0" borderId="0" xfId="0" applyFont="1"/>
    <xf numFmtId="167" fontId="0" fillId="0" borderId="0" xfId="1" applyNumberFormat="1" applyFont="1"/>
    <xf numFmtId="0" fontId="0" fillId="0" borderId="0" xfId="1" applyNumberFormat="1" applyFont="1"/>
    <xf numFmtId="0" fontId="12" fillId="0" borderId="0" xfId="0" applyFont="1" applyAlignment="1">
      <alignment horizontal="left" indent="2"/>
    </xf>
    <xf numFmtId="0" fontId="7" fillId="0" borderId="0" xfId="0" applyFont="1" applyAlignment="1">
      <alignment horizontal="left"/>
    </xf>
    <xf numFmtId="0" fontId="13" fillId="0" borderId="0" xfId="0" applyFont="1"/>
    <xf numFmtId="9" fontId="0" fillId="0" borderId="0" xfId="2" applyFont="1"/>
    <xf numFmtId="0" fontId="0" fillId="0" borderId="0" xfId="0" applyAlignment="1">
      <alignment horizontal="right"/>
    </xf>
    <xf numFmtId="44" fontId="13" fillId="0" borderId="0" xfId="1" applyFont="1" applyBorder="1"/>
    <xf numFmtId="0" fontId="7" fillId="0" borderId="0" xfId="0" applyFont="1" applyAlignment="1">
      <alignment wrapText="1"/>
    </xf>
    <xf numFmtId="167" fontId="7" fillId="0" borderId="0" xfId="0" applyNumberFormat="1" applyFont="1"/>
    <xf numFmtId="167" fontId="0" fillId="0" borderId="0" xfId="0" applyNumberFormat="1"/>
    <xf numFmtId="44" fontId="4" fillId="0" borderId="2" xfId="1" applyFont="1" applyBorder="1"/>
    <xf numFmtId="0" fontId="4" fillId="0" borderId="2" xfId="5" applyAlignment="1">
      <alignment horizontal="right"/>
    </xf>
    <xf numFmtId="0" fontId="14" fillId="0" borderId="0" xfId="0" applyFont="1"/>
    <xf numFmtId="165" fontId="16" fillId="0" borderId="0" xfId="1" applyNumberFormat="1" applyFont="1"/>
    <xf numFmtId="0" fontId="17" fillId="0" borderId="0" xfId="0" applyFont="1"/>
    <xf numFmtId="0" fontId="18" fillId="0" borderId="0" xfId="0" applyFont="1"/>
    <xf numFmtId="0" fontId="10" fillId="0" borderId="0" xfId="0" applyFont="1"/>
    <xf numFmtId="0" fontId="15" fillId="0" borderId="0" xfId="0" applyFont="1"/>
    <xf numFmtId="166" fontId="0" fillId="0" borderId="0" xfId="1" applyNumberFormat="1" applyFont="1"/>
    <xf numFmtId="168" fontId="0" fillId="2" borderId="0" xfId="0" applyNumberFormat="1" applyFill="1"/>
  </cellXfs>
  <cellStyles count="7">
    <cellStyle name="Currency" xfId="1" builtinId="4"/>
    <cellStyle name="Heading 1" xfId="4" builtinId="16"/>
    <cellStyle name="Hyperlink" xfId="6" builtinId="8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agemaker/pric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guardduty/pricin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lambda/pric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96F2-6121-1F44-9B56-6D7ABA1B499B}">
  <dimension ref="A1:E36"/>
  <sheetViews>
    <sheetView topLeftCell="A11" workbookViewId="0">
      <selection activeCell="A5" sqref="A5"/>
    </sheetView>
  </sheetViews>
  <sheetFormatPr baseColWidth="10" defaultRowHeight="16" x14ac:dyDescent="0.2"/>
  <cols>
    <col min="1" max="1" width="35.83203125" customWidth="1"/>
    <col min="2" max="2" width="14" customWidth="1"/>
    <col min="3" max="3" width="17" customWidth="1"/>
    <col min="4" max="4" width="32.1640625" customWidth="1"/>
  </cols>
  <sheetData>
    <row r="1" spans="1:5" x14ac:dyDescent="0.2">
      <c r="B1" t="s">
        <v>26</v>
      </c>
    </row>
    <row r="2" spans="1:5" ht="21" thickBot="1" x14ac:dyDescent="0.3">
      <c r="A2" s="3" t="s">
        <v>17</v>
      </c>
      <c r="B2" s="3"/>
      <c r="C2" s="3"/>
    </row>
    <row r="3" spans="1:5" ht="17" thickTop="1" x14ac:dyDescent="0.2">
      <c r="A3" t="s">
        <v>0</v>
      </c>
      <c r="B3" s="8">
        <v>500</v>
      </c>
      <c r="C3" t="s">
        <v>124</v>
      </c>
      <c r="D3">
        <v>100</v>
      </c>
      <c r="E3" t="s">
        <v>74</v>
      </c>
    </row>
    <row r="4" spans="1:5" ht="34" x14ac:dyDescent="0.2">
      <c r="A4" t="s">
        <v>210</v>
      </c>
      <c r="B4">
        <f>B3*10</f>
        <v>5000</v>
      </c>
      <c r="C4" s="9" t="s">
        <v>125</v>
      </c>
      <c r="D4">
        <v>1.7</v>
      </c>
    </row>
    <row r="5" spans="1:5" ht="37" customHeight="1" x14ac:dyDescent="0.2">
      <c r="A5" t="s">
        <v>56</v>
      </c>
      <c r="B5" s="8">
        <v>2.7</v>
      </c>
      <c r="D5" s="9" t="s">
        <v>27</v>
      </c>
      <c r="E5">
        <f>2*B5</f>
        <v>5.4</v>
      </c>
    </row>
    <row r="6" spans="1:5" x14ac:dyDescent="0.2">
      <c r="A6" t="s">
        <v>4</v>
      </c>
      <c r="B6" s="8">
        <v>1000</v>
      </c>
      <c r="C6" t="s">
        <v>1</v>
      </c>
    </row>
    <row r="7" spans="1:5" x14ac:dyDescent="0.2">
      <c r="A7" t="s">
        <v>20</v>
      </c>
      <c r="B7" s="8">
        <v>2</v>
      </c>
      <c r="C7" t="s">
        <v>21</v>
      </c>
    </row>
    <row r="8" spans="1:5" x14ac:dyDescent="0.2">
      <c r="A8" t="s">
        <v>22</v>
      </c>
      <c r="B8" s="8">
        <v>20</v>
      </c>
      <c r="C8" t="s">
        <v>21</v>
      </c>
    </row>
    <row r="9" spans="1:5" x14ac:dyDescent="0.2">
      <c r="A9" t="s">
        <v>28</v>
      </c>
      <c r="B9" s="8">
        <v>5</v>
      </c>
      <c r="C9" t="s">
        <v>29</v>
      </c>
      <c r="D9" t="s">
        <v>134</v>
      </c>
      <c r="E9">
        <f>B9*B5*B4</f>
        <v>67500</v>
      </c>
    </row>
    <row r="10" spans="1:5" ht="34" x14ac:dyDescent="0.2">
      <c r="A10" s="9" t="s">
        <v>126</v>
      </c>
      <c r="B10" s="8">
        <f>B3*D3*D4</f>
        <v>85000</v>
      </c>
      <c r="C10" t="s">
        <v>207</v>
      </c>
    </row>
    <row r="12" spans="1:5" ht="21" thickBot="1" x14ac:dyDescent="0.3">
      <c r="A12" s="3" t="s">
        <v>157</v>
      </c>
      <c r="B12" s="3" t="s">
        <v>18</v>
      </c>
      <c r="C12" s="3" t="s">
        <v>19</v>
      </c>
    </row>
    <row r="13" spans="1:5" ht="17" thickTop="1" x14ac:dyDescent="0.2">
      <c r="A13" t="s">
        <v>32</v>
      </c>
      <c r="B13">
        <f>$B$4/2*$B$5</f>
        <v>6750</v>
      </c>
      <c r="C13">
        <f>B13*20</f>
        <v>135000</v>
      </c>
    </row>
    <row r="14" spans="1:5" x14ac:dyDescent="0.2">
      <c r="A14" t="s">
        <v>50</v>
      </c>
      <c r="B14">
        <f>B13+B3/2</f>
        <v>7000</v>
      </c>
      <c r="C14">
        <f>B14*20</f>
        <v>140000</v>
      </c>
      <c r="E14" t="s">
        <v>53</v>
      </c>
    </row>
    <row r="15" spans="1:5" x14ac:dyDescent="0.2">
      <c r="A15" t="s">
        <v>52</v>
      </c>
      <c r="B15">
        <f>B14*4</f>
        <v>28000</v>
      </c>
      <c r="C15">
        <f>B15*20</f>
        <v>560000</v>
      </c>
      <c r="E15" t="s">
        <v>54</v>
      </c>
    </row>
    <row r="16" spans="1:5" x14ac:dyDescent="0.2">
      <c r="A16" t="s">
        <v>51</v>
      </c>
      <c r="B16">
        <f>$B$4/2*$B$5*2</f>
        <v>13500</v>
      </c>
      <c r="C16">
        <f>B16*20</f>
        <v>270000</v>
      </c>
      <c r="E16" t="s">
        <v>55</v>
      </c>
    </row>
    <row r="17" spans="1:2" x14ac:dyDescent="0.2">
      <c r="A17" t="s">
        <v>208</v>
      </c>
    </row>
    <row r="21" spans="1:2" ht="21" thickBot="1" x14ac:dyDescent="0.3">
      <c r="A21" s="3" t="s">
        <v>2</v>
      </c>
      <c r="B21" s="3" t="s">
        <v>164</v>
      </c>
    </row>
    <row r="22" spans="1:2" ht="17" thickTop="1" x14ac:dyDescent="0.2">
      <c r="A22" t="s">
        <v>3</v>
      </c>
      <c r="B22" s="10">
        <f>QuickSight!B27</f>
        <v>779.4</v>
      </c>
    </row>
    <row r="23" spans="1:2" x14ac:dyDescent="0.2">
      <c r="A23" t="s">
        <v>23</v>
      </c>
      <c r="B23" s="10">
        <f>SageMaker!C23</f>
        <v>305.86762249999998</v>
      </c>
    </row>
    <row r="24" spans="1:2" x14ac:dyDescent="0.2">
      <c r="A24" t="s">
        <v>6</v>
      </c>
      <c r="B24" s="10">
        <f>Lambda!B15</f>
        <v>5.0905125000000009</v>
      </c>
    </row>
    <row r="25" spans="1:2" x14ac:dyDescent="0.2">
      <c r="A25" t="s">
        <v>57</v>
      </c>
      <c r="B25" s="10">
        <f>'RDS-Postgresql'!B28</f>
        <v>501.2374999999999</v>
      </c>
    </row>
    <row r="26" spans="1:2" x14ac:dyDescent="0.2">
      <c r="A26" t="s">
        <v>24</v>
      </c>
      <c r="B26" s="10">
        <f>EKS!B28</f>
        <v>296.27999999999997</v>
      </c>
    </row>
    <row r="27" spans="1:2" x14ac:dyDescent="0.2">
      <c r="A27" t="s">
        <v>25</v>
      </c>
      <c r="B27" s="10">
        <f>'S3'!B20</f>
        <v>10.0715</v>
      </c>
    </row>
    <row r="28" spans="1:2" x14ac:dyDescent="0.2">
      <c r="B28" s="10"/>
    </row>
    <row r="29" spans="1:2" x14ac:dyDescent="0.2">
      <c r="A29" t="s">
        <v>193</v>
      </c>
      <c r="B29" s="6">
        <f>Kinesis!B26</f>
        <v>32.142650000000003</v>
      </c>
    </row>
    <row r="30" spans="1:2" x14ac:dyDescent="0.2">
      <c r="A30" t="s">
        <v>33</v>
      </c>
      <c r="B30" s="10">
        <f>DynamoDB!B25</f>
        <v>1.5760296386718751</v>
      </c>
    </row>
    <row r="35" spans="1:2" ht="17" thickBot="1" x14ac:dyDescent="0.25">
      <c r="A35" s="34" t="s">
        <v>165</v>
      </c>
      <c r="B35" s="33">
        <f>SUM(B22:B33)</f>
        <v>1931.6658146386717</v>
      </c>
    </row>
    <row r="36" spans="1:2" ht="17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AB45-49E0-FB43-A441-319A25A53D81}">
  <dimension ref="A1:E27"/>
  <sheetViews>
    <sheetView topLeftCell="A2" workbookViewId="0">
      <selection activeCell="B27" sqref="B27"/>
    </sheetView>
  </sheetViews>
  <sheetFormatPr baseColWidth="10" defaultRowHeight="16" x14ac:dyDescent="0.2"/>
  <cols>
    <col min="1" max="1" width="26.33203125" customWidth="1"/>
    <col min="2" max="2" width="11.5" bestFit="1" customWidth="1"/>
    <col min="3" max="3" width="16.5" customWidth="1"/>
  </cols>
  <sheetData>
    <row r="1" spans="1:5" ht="21" x14ac:dyDescent="0.25">
      <c r="A1" s="35" t="s">
        <v>3</v>
      </c>
    </row>
    <row r="2" spans="1:5" ht="21" thickBot="1" x14ac:dyDescent="0.3">
      <c r="A2" s="3" t="s">
        <v>167</v>
      </c>
      <c r="B2" s="3" t="s">
        <v>168</v>
      </c>
      <c r="C2" s="3" t="s">
        <v>169</v>
      </c>
    </row>
    <row r="3" spans="1:5" ht="17" thickTop="1" x14ac:dyDescent="0.2">
      <c r="A3" t="s">
        <v>170</v>
      </c>
      <c r="B3" s="6">
        <v>24</v>
      </c>
      <c r="C3" s="6">
        <v>18</v>
      </c>
    </row>
    <row r="4" spans="1:5" x14ac:dyDescent="0.2">
      <c r="A4" t="s">
        <v>171</v>
      </c>
      <c r="B4" s="6">
        <v>34</v>
      </c>
      <c r="C4" s="6">
        <v>28</v>
      </c>
    </row>
    <row r="5" spans="1:5" x14ac:dyDescent="0.2">
      <c r="A5" t="s">
        <v>173</v>
      </c>
      <c r="B5" s="6">
        <v>0.3</v>
      </c>
      <c r="D5" t="s">
        <v>175</v>
      </c>
      <c r="E5" t="s">
        <v>184</v>
      </c>
    </row>
    <row r="6" spans="1:5" x14ac:dyDescent="0.2">
      <c r="A6" t="s">
        <v>174</v>
      </c>
      <c r="B6" s="6">
        <v>0.3</v>
      </c>
      <c r="E6" t="s">
        <v>191</v>
      </c>
    </row>
    <row r="7" spans="1:5" x14ac:dyDescent="0.2">
      <c r="A7" t="s">
        <v>178</v>
      </c>
      <c r="B7" s="6">
        <v>250</v>
      </c>
      <c r="C7" s="6"/>
      <c r="D7" t="s">
        <v>180</v>
      </c>
      <c r="E7" s="6">
        <v>5</v>
      </c>
    </row>
    <row r="8" spans="1:5" x14ac:dyDescent="0.2">
      <c r="A8" t="s">
        <v>179</v>
      </c>
      <c r="B8" s="6">
        <v>250</v>
      </c>
      <c r="C8" s="6"/>
      <c r="D8" t="s">
        <v>180</v>
      </c>
      <c r="E8" s="6">
        <v>10</v>
      </c>
    </row>
    <row r="9" spans="1:5" x14ac:dyDescent="0.2">
      <c r="A9" t="s">
        <v>181</v>
      </c>
      <c r="B9" s="6">
        <v>500</v>
      </c>
      <c r="C9" s="6"/>
      <c r="D9" t="s">
        <v>182</v>
      </c>
    </row>
    <row r="10" spans="1:5" x14ac:dyDescent="0.2">
      <c r="A10" t="s">
        <v>183</v>
      </c>
      <c r="B10" s="6">
        <v>0.38</v>
      </c>
      <c r="C10" s="6"/>
      <c r="D10" t="s">
        <v>74</v>
      </c>
    </row>
    <row r="12" spans="1:5" ht="21" thickBot="1" x14ac:dyDescent="0.3">
      <c r="A12" s="3" t="s">
        <v>10</v>
      </c>
      <c r="B12" s="3"/>
      <c r="C12" s="3"/>
    </row>
    <row r="13" spans="1:5" ht="17" thickTop="1" x14ac:dyDescent="0.2"/>
    <row r="14" spans="1:5" x14ac:dyDescent="0.2">
      <c r="A14" t="s">
        <v>172</v>
      </c>
      <c r="B14">
        <v>2</v>
      </c>
      <c r="C14" t="s">
        <v>166</v>
      </c>
    </row>
    <row r="15" spans="1:5" x14ac:dyDescent="0.2">
      <c r="A15" t="s">
        <v>173</v>
      </c>
      <c r="B15">
        <v>30</v>
      </c>
    </row>
    <row r="16" spans="1:5" x14ac:dyDescent="0.2">
      <c r="A16" t="s">
        <v>174</v>
      </c>
      <c r="B16">
        <v>5</v>
      </c>
    </row>
    <row r="17" spans="1:3" x14ac:dyDescent="0.2">
      <c r="A17" t="s">
        <v>176</v>
      </c>
      <c r="B17">
        <v>500</v>
      </c>
      <c r="C17" t="s">
        <v>177</v>
      </c>
    </row>
    <row r="18" spans="1:3" x14ac:dyDescent="0.2">
      <c r="A18" t="s">
        <v>188</v>
      </c>
      <c r="B18">
        <v>30</v>
      </c>
      <c r="C18" t="s">
        <v>189</v>
      </c>
    </row>
    <row r="19" spans="1:3" x14ac:dyDescent="0.2">
      <c r="A19" t="s">
        <v>190</v>
      </c>
      <c r="B19">
        <v>500</v>
      </c>
      <c r="C19" t="s">
        <v>19</v>
      </c>
    </row>
    <row r="21" spans="1:3" ht="21" thickBot="1" x14ac:dyDescent="0.3">
      <c r="A21" s="3" t="s">
        <v>14</v>
      </c>
      <c r="B21" s="3"/>
      <c r="C21" s="3"/>
    </row>
    <row r="22" spans="1:3" ht="17" thickTop="1" x14ac:dyDescent="0.2">
      <c r="A22" t="s">
        <v>185</v>
      </c>
      <c r="B22" s="10">
        <f>B14*B4</f>
        <v>68</v>
      </c>
    </row>
    <row r="23" spans="1:3" x14ac:dyDescent="0.2">
      <c r="A23" t="s">
        <v>186</v>
      </c>
      <c r="B23" s="10">
        <f>E8*B16+B15*E7</f>
        <v>200</v>
      </c>
    </row>
    <row r="24" spans="1:3" x14ac:dyDescent="0.2">
      <c r="A24" t="s">
        <v>187</v>
      </c>
      <c r="B24" s="10">
        <f>B9</f>
        <v>500</v>
      </c>
    </row>
    <row r="25" spans="1:3" x14ac:dyDescent="0.2">
      <c r="A25" t="s">
        <v>49</v>
      </c>
      <c r="B25" s="10">
        <f>B18*B10</f>
        <v>11.4</v>
      </c>
    </row>
    <row r="27" spans="1:3" x14ac:dyDescent="0.2">
      <c r="A27" t="s">
        <v>192</v>
      </c>
      <c r="B27" s="10">
        <f>SUM(B22:B25)</f>
        <v>779.4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88E-191E-4E45-867C-2DFD74F16008}">
  <dimension ref="A1:B26"/>
  <sheetViews>
    <sheetView topLeftCell="A6" workbookViewId="0">
      <selection activeCell="A20" sqref="A20:B25"/>
    </sheetView>
  </sheetViews>
  <sheetFormatPr baseColWidth="10" defaultRowHeight="16" x14ac:dyDescent="0.2"/>
  <cols>
    <col min="1" max="1" width="41.6640625" customWidth="1"/>
    <col min="2" max="2" width="27.83203125" customWidth="1"/>
  </cols>
  <sheetData>
    <row r="1" spans="1:2" ht="24" x14ac:dyDescent="0.3">
      <c r="A1" s="11" t="s">
        <v>33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34</v>
      </c>
      <c r="B4" s="14">
        <v>6.4999999999999997E-4</v>
      </c>
    </row>
    <row r="5" spans="1:2" x14ac:dyDescent="0.2">
      <c r="A5" s="12" t="s">
        <v>35</v>
      </c>
      <c r="B5" s="14">
        <v>1.2999999999999999E-4</v>
      </c>
    </row>
    <row r="6" spans="1:2" x14ac:dyDescent="0.2">
      <c r="A6" s="12" t="s">
        <v>36</v>
      </c>
      <c r="B6" s="15">
        <v>0.25</v>
      </c>
    </row>
    <row r="7" spans="1:2" x14ac:dyDescent="0.2">
      <c r="A7" s="12" t="s">
        <v>37</v>
      </c>
      <c r="B7" s="15">
        <v>0.2</v>
      </c>
    </row>
    <row r="8" spans="1:2" x14ac:dyDescent="0.2">
      <c r="A8" s="12" t="s">
        <v>38</v>
      </c>
      <c r="B8" s="15">
        <v>1E-3</v>
      </c>
    </row>
    <row r="9" spans="1:2" x14ac:dyDescent="0.2">
      <c r="A9" s="12" t="s">
        <v>39</v>
      </c>
      <c r="B9" s="15">
        <v>0.02</v>
      </c>
    </row>
    <row r="10" spans="1:2" x14ac:dyDescent="0.2">
      <c r="A10" s="12"/>
      <c r="B10" s="16"/>
    </row>
    <row r="11" spans="1:2" ht="21" thickBot="1" x14ac:dyDescent="0.3">
      <c r="A11" s="13" t="s">
        <v>10</v>
      </c>
      <c r="B11" s="13"/>
    </row>
    <row r="12" spans="1:2" ht="17" thickTop="1" x14ac:dyDescent="0.2">
      <c r="A12" s="12" t="s">
        <v>40</v>
      </c>
      <c r="B12" s="17">
        <f>Assumptions!C15</f>
        <v>560000</v>
      </c>
    </row>
    <row r="13" spans="1:2" x14ac:dyDescent="0.2">
      <c r="A13" s="12" t="s">
        <v>41</v>
      </c>
      <c r="B13" s="17">
        <f>Assumptions!C16</f>
        <v>270000</v>
      </c>
    </row>
    <row r="14" spans="1:2" x14ac:dyDescent="0.2">
      <c r="A14" s="12" t="s">
        <v>42</v>
      </c>
      <c r="B14" s="17">
        <f>Assumptions!B9</f>
        <v>5</v>
      </c>
    </row>
    <row r="15" spans="1:2" x14ac:dyDescent="0.2">
      <c r="A15" s="12" t="s">
        <v>43</v>
      </c>
      <c r="B15" s="17">
        <f>B12*B14/1024/1024</f>
        <v>2.6702880859375</v>
      </c>
    </row>
    <row r="16" spans="1:2" x14ac:dyDescent="0.2">
      <c r="A16" s="12" t="s">
        <v>44</v>
      </c>
      <c r="B16" s="17">
        <f>ROUNDUP(ROUNDUP(B14/4,0)*B13/30/24/3600,0)</f>
        <v>1</v>
      </c>
    </row>
    <row r="17" spans="1:2" x14ac:dyDescent="0.2">
      <c r="A17" s="12" t="s">
        <v>45</v>
      </c>
      <c r="B17" s="17">
        <f>ROUNDUP(B14*B13/24/30/3600,0)</f>
        <v>1</v>
      </c>
    </row>
    <row r="18" spans="1:2" x14ac:dyDescent="0.2">
      <c r="A18" s="12"/>
      <c r="B18" s="17"/>
    </row>
    <row r="19" spans="1:2" x14ac:dyDescent="0.2">
      <c r="A19" s="12"/>
      <c r="B19" s="12"/>
    </row>
    <row r="20" spans="1:2" ht="21" thickBot="1" x14ac:dyDescent="0.3">
      <c r="A20" s="13" t="s">
        <v>14</v>
      </c>
      <c r="B20" s="13"/>
    </row>
    <row r="21" spans="1:2" ht="17" thickTop="1" x14ac:dyDescent="0.2">
      <c r="A21" s="12" t="s">
        <v>46</v>
      </c>
      <c r="B21" s="18">
        <f>B4*B17*24*20</f>
        <v>0.312</v>
      </c>
    </row>
    <row r="22" spans="1:2" x14ac:dyDescent="0.2">
      <c r="A22" s="12" t="s">
        <v>47</v>
      </c>
      <c r="B22" s="6">
        <f>B16*B5*24*20</f>
        <v>6.239999999999999E-2</v>
      </c>
    </row>
    <row r="23" spans="1:2" x14ac:dyDescent="0.2">
      <c r="A23" s="12" t="s">
        <v>48</v>
      </c>
      <c r="B23" s="6">
        <f>B7*B15</f>
        <v>0.5340576171875</v>
      </c>
    </row>
    <row r="24" spans="1:2" x14ac:dyDescent="0.2">
      <c r="A24" s="12" t="s">
        <v>49</v>
      </c>
      <c r="B24" s="6">
        <f>B15*B6</f>
        <v>0.667572021484375</v>
      </c>
    </row>
    <row r="25" spans="1:2" ht="17" thickBot="1" x14ac:dyDescent="0.25">
      <c r="A25" s="12"/>
      <c r="B25" s="7">
        <f>SUM(B21:B24)</f>
        <v>1.5760296386718751</v>
      </c>
    </row>
    <row r="26" spans="1:2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EC21-EDFB-5648-8FCE-9EA715245714}">
  <dimension ref="A1:D27"/>
  <sheetViews>
    <sheetView tabSelected="1" topLeftCell="A10" workbookViewId="0">
      <selection activeCell="A43" sqref="A43"/>
    </sheetView>
  </sheetViews>
  <sheetFormatPr baseColWidth="10" defaultRowHeight="16" x14ac:dyDescent="0.2"/>
  <cols>
    <col min="1" max="1" width="29.6640625" customWidth="1"/>
    <col min="3" max="3" width="53.5" customWidth="1"/>
  </cols>
  <sheetData>
    <row r="1" spans="1:4" ht="24" x14ac:dyDescent="0.3">
      <c r="A1" s="38" t="s">
        <v>193</v>
      </c>
      <c r="C1" t="s">
        <v>205</v>
      </c>
    </row>
    <row r="3" spans="1:4" ht="21" thickBot="1" x14ac:dyDescent="0.3">
      <c r="A3" s="13" t="s">
        <v>7</v>
      </c>
      <c r="B3" s="13" t="s">
        <v>197</v>
      </c>
    </row>
    <row r="4" spans="1:4" ht="17" thickTop="1" x14ac:dyDescent="0.2">
      <c r="A4" t="s">
        <v>199</v>
      </c>
      <c r="B4" s="41">
        <v>1.8200000000000001E-2</v>
      </c>
      <c r="C4" s="40" t="s">
        <v>198</v>
      </c>
    </row>
    <row r="5" spans="1:4" x14ac:dyDescent="0.2">
      <c r="A5" t="s">
        <v>220</v>
      </c>
      <c r="B5" s="41">
        <v>1.8499999999999999E-2</v>
      </c>
      <c r="C5" t="s">
        <v>219</v>
      </c>
    </row>
    <row r="6" spans="1:4" x14ac:dyDescent="0.2">
      <c r="A6" t="s">
        <v>200</v>
      </c>
      <c r="B6" s="22">
        <v>2.5000000000000001E-2</v>
      </c>
      <c r="C6" t="s">
        <v>206</v>
      </c>
    </row>
    <row r="9" spans="1:4" x14ac:dyDescent="0.2">
      <c r="C9" s="37"/>
    </row>
    <row r="10" spans="1:4" ht="21" thickBot="1" x14ac:dyDescent="0.3">
      <c r="A10" s="13" t="s">
        <v>10</v>
      </c>
      <c r="B10" s="13" t="s">
        <v>197</v>
      </c>
      <c r="D10" s="39" t="s">
        <v>213</v>
      </c>
    </row>
    <row r="11" spans="1:4" ht="17" thickTop="1" x14ac:dyDescent="0.2">
      <c r="A11" t="s">
        <v>201</v>
      </c>
      <c r="B11">
        <v>1</v>
      </c>
    </row>
    <row r="12" spans="1:4" x14ac:dyDescent="0.2">
      <c r="A12" t="s">
        <v>202</v>
      </c>
      <c r="B12">
        <v>3</v>
      </c>
      <c r="C12" t="s">
        <v>162</v>
      </c>
    </row>
    <row r="13" spans="1:4" x14ac:dyDescent="0.2">
      <c r="A13" t="s">
        <v>10</v>
      </c>
      <c r="B13">
        <v>10</v>
      </c>
      <c r="C13" t="s">
        <v>203</v>
      </c>
    </row>
    <row r="14" spans="1:4" x14ac:dyDescent="0.2">
      <c r="A14" t="s">
        <v>218</v>
      </c>
      <c r="B14">
        <f>ROUNDUP(B15/25,0)</f>
        <v>1</v>
      </c>
      <c r="C14" t="s">
        <v>217</v>
      </c>
    </row>
    <row r="15" spans="1:4" x14ac:dyDescent="0.2">
      <c r="A15" t="s">
        <v>204</v>
      </c>
      <c r="B15" s="8">
        <f>Assumptions!B9</f>
        <v>5</v>
      </c>
      <c r="C15" t="s">
        <v>211</v>
      </c>
    </row>
    <row r="16" spans="1:4" x14ac:dyDescent="0.2">
      <c r="A16" t="s">
        <v>212</v>
      </c>
      <c r="B16" s="8">
        <f>Assumptions!B4*Assumptions!B5*2/B13/3600</f>
        <v>0.75</v>
      </c>
      <c r="C16" t="s">
        <v>221</v>
      </c>
    </row>
    <row r="17" spans="1:3" x14ac:dyDescent="0.2">
      <c r="A17" t="s">
        <v>214</v>
      </c>
      <c r="B17" s="42">
        <f>B16*B15/1024</f>
        <v>3.662109375E-3</v>
      </c>
      <c r="C17" t="s">
        <v>215</v>
      </c>
    </row>
    <row r="19" spans="1:3" ht="21" thickBot="1" x14ac:dyDescent="0.3">
      <c r="A19" s="3" t="s">
        <v>14</v>
      </c>
      <c r="B19" s="13" t="s">
        <v>197</v>
      </c>
    </row>
    <row r="20" spans="1:3" ht="17" thickTop="1" x14ac:dyDescent="0.2">
      <c r="A20" t="s">
        <v>209</v>
      </c>
      <c r="B20" s="10">
        <f>B4*24*31</f>
        <v>13.540800000000001</v>
      </c>
    </row>
    <row r="21" spans="1:3" x14ac:dyDescent="0.2">
      <c r="A21" t="s">
        <v>216</v>
      </c>
      <c r="B21" s="41">
        <f>ROUND(B14*3600*31/1000000,1)*B5</f>
        <v>1.8500000000000001E-3</v>
      </c>
    </row>
    <row r="22" spans="1:3" x14ac:dyDescent="0.2">
      <c r="A22" t="s">
        <v>202</v>
      </c>
      <c r="B22" s="6">
        <f>B11*24*31*B6</f>
        <v>18.600000000000001</v>
      </c>
    </row>
    <row r="26" spans="1:3" ht="17" thickBot="1" x14ac:dyDescent="0.25">
      <c r="A26" t="s">
        <v>192</v>
      </c>
      <c r="B26" s="7">
        <f>SUM(B20:B25)</f>
        <v>32.142650000000003</v>
      </c>
    </row>
    <row r="27" spans="1: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5016-8D7E-6241-A9EC-C6A4879139F1}">
  <dimension ref="A1:C21"/>
  <sheetViews>
    <sheetView workbookViewId="0">
      <selection activeCell="A16" sqref="A16:B16"/>
    </sheetView>
  </sheetViews>
  <sheetFormatPr baseColWidth="10" defaultRowHeight="16" x14ac:dyDescent="0.2"/>
  <cols>
    <col min="1" max="1" width="34.83203125" customWidth="1"/>
    <col min="2" max="2" width="11.83203125" bestFit="1" customWidth="1"/>
  </cols>
  <sheetData>
    <row r="1" spans="1:3" ht="24" x14ac:dyDescent="0.3">
      <c r="A1" s="11" t="s">
        <v>25</v>
      </c>
      <c r="B1" s="12"/>
    </row>
    <row r="2" spans="1:3" x14ac:dyDescent="0.2">
      <c r="A2" s="12"/>
      <c r="B2" s="12"/>
    </row>
    <row r="3" spans="1:3" ht="21" thickBot="1" x14ac:dyDescent="0.3">
      <c r="A3" s="13" t="s">
        <v>7</v>
      </c>
      <c r="B3" s="13" t="s">
        <v>197</v>
      </c>
    </row>
    <row r="4" spans="1:3" ht="18" thickTop="1" x14ac:dyDescent="0.2">
      <c r="A4" s="30" t="s">
        <v>130</v>
      </c>
      <c r="B4" s="31">
        <v>2.3E-2</v>
      </c>
      <c r="C4" t="s">
        <v>131</v>
      </c>
    </row>
    <row r="5" spans="1:3" x14ac:dyDescent="0.2">
      <c r="A5" t="s">
        <v>129</v>
      </c>
      <c r="B5" s="22">
        <v>2.1999999999999999E-2</v>
      </c>
    </row>
    <row r="6" spans="1:3" x14ac:dyDescent="0.2">
      <c r="A6" t="s">
        <v>128</v>
      </c>
      <c r="B6" s="22">
        <v>2.1000000000000001E-2</v>
      </c>
    </row>
    <row r="7" spans="1:3" x14ac:dyDescent="0.2">
      <c r="A7" t="s">
        <v>195</v>
      </c>
      <c r="B7" s="22">
        <v>4.0000000000000001E-3</v>
      </c>
      <c r="C7" t="s">
        <v>156</v>
      </c>
    </row>
    <row r="8" spans="1:3" x14ac:dyDescent="0.2">
      <c r="A8" t="s">
        <v>194</v>
      </c>
      <c r="B8" s="36">
        <v>9.8999999999999999E-4</v>
      </c>
      <c r="C8" t="s">
        <v>156</v>
      </c>
    </row>
    <row r="10" spans="1:3" ht="21" thickBot="1" x14ac:dyDescent="0.3">
      <c r="A10" s="13" t="s">
        <v>10</v>
      </c>
      <c r="B10" s="13" t="s">
        <v>197</v>
      </c>
    </row>
    <row r="11" spans="1:3" ht="17" thickTop="1" x14ac:dyDescent="0.2">
      <c r="A11" t="s">
        <v>127</v>
      </c>
      <c r="B11">
        <v>5</v>
      </c>
      <c r="C11" t="s">
        <v>132</v>
      </c>
    </row>
    <row r="12" spans="1:3" x14ac:dyDescent="0.2">
      <c r="A12" t="s">
        <v>133</v>
      </c>
      <c r="B12">
        <v>0.5</v>
      </c>
      <c r="C12" t="s">
        <v>132</v>
      </c>
    </row>
    <row r="13" spans="1:3" x14ac:dyDescent="0.2">
      <c r="A13" t="s">
        <v>194</v>
      </c>
      <c r="B13">
        <v>10</v>
      </c>
      <c r="C13" t="s">
        <v>132</v>
      </c>
    </row>
    <row r="16" spans="1:3" ht="21" thickBot="1" x14ac:dyDescent="0.3">
      <c r="A16" s="3" t="s">
        <v>14</v>
      </c>
      <c r="B16" s="13" t="s">
        <v>197</v>
      </c>
    </row>
    <row r="17" spans="1:2" ht="17" thickTop="1" x14ac:dyDescent="0.2">
      <c r="A17" t="s">
        <v>135</v>
      </c>
      <c r="B17" s="10">
        <f>(B11-50)*$B$5+50*$B$4</f>
        <v>0.15999999999999992</v>
      </c>
    </row>
    <row r="18" spans="1:2" x14ac:dyDescent="0.2">
      <c r="A18" t="s">
        <v>136</v>
      </c>
      <c r="B18" s="10">
        <f>B12*B4</f>
        <v>1.15E-2</v>
      </c>
    </row>
    <row r="19" spans="1:2" x14ac:dyDescent="0.2">
      <c r="A19" t="s">
        <v>196</v>
      </c>
      <c r="B19" s="10">
        <f>B13*1000*B8</f>
        <v>9.9</v>
      </c>
    </row>
    <row r="20" spans="1:2" ht="17" thickBot="1" x14ac:dyDescent="0.25">
      <c r="B20" s="7">
        <f>SUM(B17:B19)</f>
        <v>10.0715</v>
      </c>
    </row>
    <row r="21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079B-0D9B-DE45-80BB-D0E322BED5EB}">
  <dimension ref="A1:E24"/>
  <sheetViews>
    <sheetView workbookViewId="0">
      <selection activeCell="B1" sqref="B1"/>
    </sheetView>
  </sheetViews>
  <sheetFormatPr baseColWidth="10" defaultRowHeight="16" x14ac:dyDescent="0.2"/>
  <cols>
    <col min="1" max="1" width="25" customWidth="1"/>
    <col min="2" max="2" width="21.33203125" customWidth="1"/>
    <col min="3" max="3" width="17.5" customWidth="1"/>
  </cols>
  <sheetData>
    <row r="1" spans="1:5" x14ac:dyDescent="0.2">
      <c r="B1" s="1" t="s">
        <v>163</v>
      </c>
    </row>
    <row r="3" spans="1:5" ht="21" thickBot="1" x14ac:dyDescent="0.3">
      <c r="A3" s="3" t="s">
        <v>137</v>
      </c>
      <c r="B3" s="3" t="s">
        <v>139</v>
      </c>
      <c r="C3" t="s">
        <v>58</v>
      </c>
    </row>
    <row r="4" spans="1:5" ht="17" thickTop="1" x14ac:dyDescent="0.2">
      <c r="A4" t="s">
        <v>144</v>
      </c>
      <c r="B4" t="s">
        <v>138</v>
      </c>
      <c r="C4" s="22">
        <v>0.05</v>
      </c>
      <c r="E4" t="s">
        <v>141</v>
      </c>
    </row>
    <row r="5" spans="1:5" x14ac:dyDescent="0.2">
      <c r="B5" t="s">
        <v>140</v>
      </c>
      <c r="C5" s="22">
        <v>0.23</v>
      </c>
      <c r="E5" t="s">
        <v>142</v>
      </c>
    </row>
    <row r="6" spans="1:5" x14ac:dyDescent="0.2">
      <c r="A6" t="s">
        <v>149</v>
      </c>
      <c r="B6" t="s">
        <v>150</v>
      </c>
      <c r="C6" s="22">
        <v>0.92200000000000004</v>
      </c>
      <c r="E6" t="s">
        <v>151</v>
      </c>
    </row>
    <row r="8" spans="1:5" x14ac:dyDescent="0.2">
      <c r="A8" t="s">
        <v>143</v>
      </c>
    </row>
    <row r="9" spans="1:5" x14ac:dyDescent="0.2">
      <c r="A9" t="s">
        <v>145</v>
      </c>
      <c r="B9" t="s">
        <v>146</v>
      </c>
      <c r="C9" s="22">
        <v>0.20399999999999999</v>
      </c>
      <c r="D9" t="s">
        <v>58</v>
      </c>
      <c r="E9" t="s">
        <v>147</v>
      </c>
    </row>
    <row r="10" spans="1:5" x14ac:dyDescent="0.2">
      <c r="A10" t="s">
        <v>155</v>
      </c>
      <c r="C10" s="22">
        <v>1.6E-2</v>
      </c>
      <c r="D10" t="s">
        <v>156</v>
      </c>
    </row>
    <row r="12" spans="1:5" ht="21" thickBot="1" x14ac:dyDescent="0.3">
      <c r="A12" s="3" t="s">
        <v>10</v>
      </c>
      <c r="B12" s="3" t="s">
        <v>159</v>
      </c>
      <c r="C12" s="3" t="s">
        <v>160</v>
      </c>
    </row>
    <row r="13" spans="1:5" ht="17" thickTop="1" x14ac:dyDescent="0.2">
      <c r="A13" t="s">
        <v>145</v>
      </c>
      <c r="B13">
        <v>2</v>
      </c>
      <c r="C13">
        <f>31*24</f>
        <v>744</v>
      </c>
      <c r="D13" t="s">
        <v>161</v>
      </c>
      <c r="E13" t="s">
        <v>148</v>
      </c>
    </row>
    <row r="14" spans="1:5" x14ac:dyDescent="0.2">
      <c r="A14" t="s">
        <v>149</v>
      </c>
      <c r="B14">
        <v>1</v>
      </c>
      <c r="C14">
        <f>31*0.08</f>
        <v>2.48</v>
      </c>
      <c r="D14" t="s">
        <v>161</v>
      </c>
      <c r="E14" t="s">
        <v>152</v>
      </c>
    </row>
    <row r="15" spans="1:5" x14ac:dyDescent="0.2">
      <c r="A15" t="s">
        <v>154</v>
      </c>
      <c r="B15">
        <v>50</v>
      </c>
      <c r="C15">
        <f>31</f>
        <v>31</v>
      </c>
      <c r="D15" t="s">
        <v>162</v>
      </c>
    </row>
    <row r="16" spans="1:5" x14ac:dyDescent="0.2">
      <c r="A16" t="s">
        <v>153</v>
      </c>
      <c r="B16">
        <v>10</v>
      </c>
      <c r="C16" s="32"/>
    </row>
    <row r="19" spans="1:3" ht="21" thickBot="1" x14ac:dyDescent="0.3">
      <c r="A19" s="3" t="s">
        <v>14</v>
      </c>
      <c r="B19" s="3"/>
      <c r="C19" s="3"/>
    </row>
    <row r="20" spans="1:3" ht="17" thickTop="1" x14ac:dyDescent="0.2">
      <c r="A20" t="s">
        <v>145</v>
      </c>
      <c r="C20" s="6">
        <f>B13*C13*C9</f>
        <v>303.55199999999996</v>
      </c>
    </row>
    <row r="21" spans="1:3" x14ac:dyDescent="0.2">
      <c r="A21" t="s">
        <v>149</v>
      </c>
      <c r="C21" s="6">
        <f>B14*C6*C14</f>
        <v>2.2865600000000001</v>
      </c>
    </row>
    <row r="22" spans="1:3" x14ac:dyDescent="0.2">
      <c r="A22" t="s">
        <v>158</v>
      </c>
      <c r="C22" s="32">
        <f>(B15+B16)*C10*C15/1024</f>
        <v>2.9062499999999998E-2</v>
      </c>
    </row>
    <row r="23" spans="1:3" ht="17" thickBot="1" x14ac:dyDescent="0.25">
      <c r="C23" s="7">
        <f>SUM(C18:C22)</f>
        <v>305.86762249999998</v>
      </c>
    </row>
    <row r="24" spans="1:3" ht="17" thickTop="1" x14ac:dyDescent="0.2"/>
  </sheetData>
  <hyperlinks>
    <hyperlink ref="B1" r:id="rId1" xr:uid="{CEA92754-3AE2-884A-9F42-B761B1B91F0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A54-95E7-4345-B314-53EA192E29AF}">
  <dimension ref="A1:B29"/>
  <sheetViews>
    <sheetView topLeftCell="A17" workbookViewId="0">
      <selection activeCell="A10" sqref="A10:B10"/>
    </sheetView>
  </sheetViews>
  <sheetFormatPr baseColWidth="10" defaultRowHeight="16" x14ac:dyDescent="0.2"/>
  <cols>
    <col min="1" max="1" width="35.5" customWidth="1"/>
    <col min="2" max="2" width="22" customWidth="1"/>
  </cols>
  <sheetData>
    <row r="1" spans="1:2" ht="24" x14ac:dyDescent="0.3">
      <c r="A1" s="11" t="s">
        <v>103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104</v>
      </c>
      <c r="B4" s="18">
        <v>0.15</v>
      </c>
    </row>
    <row r="5" spans="1:2" x14ac:dyDescent="0.2">
      <c r="A5" s="12" t="s">
        <v>105</v>
      </c>
      <c r="B5" s="18">
        <v>0.2</v>
      </c>
    </row>
    <row r="6" spans="1:2" x14ac:dyDescent="0.2">
      <c r="A6" s="12" t="s">
        <v>106</v>
      </c>
      <c r="B6" s="18">
        <v>0.02</v>
      </c>
    </row>
    <row r="7" spans="1:2" x14ac:dyDescent="0.2">
      <c r="A7" s="12" t="s">
        <v>107</v>
      </c>
      <c r="B7" s="18">
        <v>0.01</v>
      </c>
    </row>
    <row r="8" spans="1:2" x14ac:dyDescent="0.2">
      <c r="A8" s="12" t="s">
        <v>108</v>
      </c>
      <c r="B8" s="18">
        <v>0.1</v>
      </c>
    </row>
    <row r="9" spans="1:2" x14ac:dyDescent="0.2">
      <c r="A9" s="12"/>
      <c r="B9" s="18"/>
    </row>
    <row r="10" spans="1:2" ht="21" thickBot="1" x14ac:dyDescent="0.3">
      <c r="A10" s="13" t="s">
        <v>10</v>
      </c>
      <c r="B10" s="13"/>
    </row>
    <row r="11" spans="1:2" ht="17" thickTop="1" x14ac:dyDescent="0.2">
      <c r="A11" s="12" t="s">
        <v>109</v>
      </c>
      <c r="B11" s="17">
        <v>8000000</v>
      </c>
    </row>
    <row r="12" spans="1:2" x14ac:dyDescent="0.2">
      <c r="A12" s="12" t="s">
        <v>110</v>
      </c>
      <c r="B12" s="12">
        <v>0.25</v>
      </c>
    </row>
    <row r="13" spans="1:2" x14ac:dyDescent="0.2">
      <c r="A13" s="12" t="s">
        <v>111</v>
      </c>
      <c r="B13" s="17">
        <v>3.09</v>
      </c>
    </row>
    <row r="14" spans="1:2" x14ac:dyDescent="0.2">
      <c r="A14" s="12" t="s">
        <v>112</v>
      </c>
      <c r="B14" s="17">
        <v>3.09</v>
      </c>
    </row>
    <row r="15" spans="1:2" x14ac:dyDescent="0.2">
      <c r="A15" s="12" t="s">
        <v>113</v>
      </c>
      <c r="B15" s="17">
        <v>30.86</v>
      </c>
    </row>
    <row r="16" spans="1:2" x14ac:dyDescent="0.2">
      <c r="A16" s="12" t="s">
        <v>114</v>
      </c>
      <c r="B16" s="17">
        <v>23.15</v>
      </c>
    </row>
    <row r="17" spans="1:2" x14ac:dyDescent="0.2">
      <c r="A17" s="12" t="s">
        <v>115</v>
      </c>
      <c r="B17" s="17">
        <v>5.79</v>
      </c>
    </row>
    <row r="18" spans="1:2" x14ac:dyDescent="0.2">
      <c r="A18" s="12" t="s">
        <v>116</v>
      </c>
      <c r="B18" s="17">
        <v>100</v>
      </c>
    </row>
    <row r="19" spans="1:2" x14ac:dyDescent="0.2">
      <c r="A19" s="12" t="s">
        <v>117</v>
      </c>
      <c r="B19" s="17">
        <v>8</v>
      </c>
    </row>
    <row r="20" spans="1:2" x14ac:dyDescent="0.2">
      <c r="A20" s="12" t="s">
        <v>118</v>
      </c>
      <c r="B20" s="17">
        <v>32</v>
      </c>
    </row>
    <row r="21" spans="1:2" x14ac:dyDescent="0.2">
      <c r="A21" s="12" t="s">
        <v>119</v>
      </c>
      <c r="B21" s="17">
        <v>1</v>
      </c>
    </row>
    <row r="22" spans="1:2" x14ac:dyDescent="0.2">
      <c r="A22" s="12"/>
      <c r="B22" s="12"/>
    </row>
    <row r="23" spans="1:2" ht="21" thickBot="1" x14ac:dyDescent="0.3">
      <c r="A23" s="13" t="s">
        <v>14</v>
      </c>
      <c r="B23" s="13"/>
    </row>
    <row r="24" spans="1:2" ht="17" thickTop="1" x14ac:dyDescent="0.2">
      <c r="A24" s="12" t="s">
        <v>120</v>
      </c>
      <c r="B24" s="18">
        <v>108.3</v>
      </c>
    </row>
    <row r="25" spans="1:2" x14ac:dyDescent="0.2">
      <c r="A25" s="12" t="s">
        <v>121</v>
      </c>
      <c r="B25" s="18">
        <v>144</v>
      </c>
    </row>
    <row r="26" spans="1:2" x14ac:dyDescent="0.2">
      <c r="A26" s="12" t="s">
        <v>122</v>
      </c>
      <c r="B26" s="18">
        <v>33.979999999999997</v>
      </c>
    </row>
    <row r="27" spans="1:2" x14ac:dyDescent="0.2">
      <c r="A27" s="12" t="s">
        <v>123</v>
      </c>
      <c r="B27" s="18">
        <v>10</v>
      </c>
    </row>
    <row r="28" spans="1:2" ht="17" thickBot="1" x14ac:dyDescent="0.25">
      <c r="A28" s="12"/>
      <c r="B28" s="19">
        <v>296.27999999999997</v>
      </c>
    </row>
    <row r="29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C13-7392-0E41-A5F4-7D1FC3F71AD2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s="1" t="s">
        <v>5</v>
      </c>
    </row>
  </sheetData>
  <hyperlinks>
    <hyperlink ref="A3" r:id="rId1" xr:uid="{B8D48D98-58D7-C64B-A736-38874CDBE6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AF-AD43-C846-A6AB-538EEBD2CE08}">
  <dimension ref="A1:C16"/>
  <sheetViews>
    <sheetView workbookViewId="0">
      <selection activeCell="B13" sqref="B13"/>
    </sheetView>
  </sheetViews>
  <sheetFormatPr baseColWidth="10" defaultRowHeight="16" x14ac:dyDescent="0.2"/>
  <cols>
    <col min="1" max="1" width="50.33203125" customWidth="1"/>
    <col min="2" max="2" width="21.6640625" customWidth="1"/>
  </cols>
  <sheetData>
    <row r="1" spans="1:3" ht="24" x14ac:dyDescent="0.3">
      <c r="A1" s="2" t="s">
        <v>6</v>
      </c>
      <c r="B1" s="1" t="s">
        <v>30</v>
      </c>
    </row>
    <row r="3" spans="1:3" ht="21" thickBot="1" x14ac:dyDescent="0.3">
      <c r="A3" s="3" t="s">
        <v>7</v>
      </c>
      <c r="B3" s="3"/>
    </row>
    <row r="4" spans="1:3" ht="17" thickTop="1" x14ac:dyDescent="0.2">
      <c r="A4" t="s">
        <v>8</v>
      </c>
      <c r="B4" s="4">
        <v>0.2</v>
      </c>
    </row>
    <row r="5" spans="1:3" x14ac:dyDescent="0.2">
      <c r="A5" t="s">
        <v>9</v>
      </c>
      <c r="B5" s="4">
        <v>1.6670000000000001E-5</v>
      </c>
    </row>
    <row r="7" spans="1:3" ht="21" thickBot="1" x14ac:dyDescent="0.3">
      <c r="A7" s="3" t="s">
        <v>10</v>
      </c>
      <c r="B7" s="3"/>
    </row>
    <row r="8" spans="1:3" ht="17" thickTop="1" x14ac:dyDescent="0.2">
      <c r="A8" t="s">
        <v>11</v>
      </c>
      <c r="B8" s="5">
        <f>Assumptions!C13</f>
        <v>135000</v>
      </c>
    </row>
    <row r="9" spans="1:3" x14ac:dyDescent="0.2">
      <c r="A9" t="s">
        <v>12</v>
      </c>
      <c r="B9">
        <v>3</v>
      </c>
    </row>
    <row r="10" spans="1:3" x14ac:dyDescent="0.2">
      <c r="A10" t="s">
        <v>13</v>
      </c>
      <c r="B10">
        <v>0.75</v>
      </c>
    </row>
    <row r="12" spans="1:3" ht="21" thickBot="1" x14ac:dyDescent="0.3">
      <c r="A12" s="3" t="s">
        <v>14</v>
      </c>
      <c r="B12" s="3"/>
    </row>
    <row r="13" spans="1:3" ht="17" thickTop="1" x14ac:dyDescent="0.2">
      <c r="A13" t="s">
        <v>15</v>
      </c>
      <c r="B13" s="6">
        <f>B8*B4/1000000</f>
        <v>2.7E-2</v>
      </c>
      <c r="C13" t="s">
        <v>31</v>
      </c>
    </row>
    <row r="14" spans="1:3" x14ac:dyDescent="0.2">
      <c r="A14" t="s">
        <v>16</v>
      </c>
      <c r="B14" s="6">
        <f>B8*B9*B10*B5</f>
        <v>5.0635125000000007</v>
      </c>
    </row>
    <row r="15" spans="1:3" ht="17" thickBot="1" x14ac:dyDescent="0.25">
      <c r="B15" s="7">
        <f>SUM(B13:B14)</f>
        <v>5.0905125000000009</v>
      </c>
    </row>
    <row r="16" spans="1:3" ht="17" thickTop="1" x14ac:dyDescent="0.2"/>
  </sheetData>
  <hyperlinks>
    <hyperlink ref="B1" r:id="rId1" xr:uid="{44F26F6C-7A01-4648-8BE9-06729C0F19A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86EC-1095-A741-A8A1-C001B6DF60F6}">
  <dimension ref="A1:H29"/>
  <sheetViews>
    <sheetView topLeftCell="A3" workbookViewId="0">
      <selection activeCell="B29" sqref="B29"/>
    </sheetView>
  </sheetViews>
  <sheetFormatPr baseColWidth="10" defaultRowHeight="16" x14ac:dyDescent="0.2"/>
  <cols>
    <col min="1" max="1" width="34.83203125" customWidth="1"/>
    <col min="2" max="2" width="15" customWidth="1"/>
    <col min="3" max="3" width="14.6640625" customWidth="1"/>
    <col min="5" max="5" width="14" customWidth="1"/>
  </cols>
  <sheetData>
    <row r="1" spans="1:8" x14ac:dyDescent="0.2">
      <c r="A1" t="s">
        <v>57</v>
      </c>
      <c r="B1" s="1" t="s">
        <v>30</v>
      </c>
    </row>
    <row r="2" spans="1:8" ht="21" thickBot="1" x14ac:dyDescent="0.3">
      <c r="A2" s="13" t="s">
        <v>7</v>
      </c>
      <c r="B2" s="13"/>
      <c r="C2" s="3" t="s">
        <v>60</v>
      </c>
      <c r="D2" s="3"/>
      <c r="E2" s="3" t="s">
        <v>61</v>
      </c>
      <c r="F2" s="3"/>
    </row>
    <row r="3" spans="1:8" ht="19" thickTop="1" x14ac:dyDescent="0.2">
      <c r="A3" t="s">
        <v>59</v>
      </c>
      <c r="B3" t="s">
        <v>98</v>
      </c>
      <c r="C3" s="20">
        <v>0.49</v>
      </c>
      <c r="D3" t="s">
        <v>58</v>
      </c>
      <c r="E3" s="21">
        <v>476</v>
      </c>
      <c r="F3" t="s">
        <v>62</v>
      </c>
    </row>
    <row r="4" spans="1:8" ht="18" x14ac:dyDescent="0.2">
      <c r="C4" s="10">
        <f>C3*730</f>
        <v>357.7</v>
      </c>
      <c r="D4" t="s">
        <v>19</v>
      </c>
      <c r="E4" s="20">
        <v>39.64</v>
      </c>
      <c r="F4" t="s">
        <v>19</v>
      </c>
    </row>
    <row r="5" spans="1:8" x14ac:dyDescent="0.2">
      <c r="A5" t="s">
        <v>102</v>
      </c>
      <c r="B5">
        <v>1.4999999999999999E-2</v>
      </c>
      <c r="C5" s="6">
        <f>B5*730*2</f>
        <v>21.9</v>
      </c>
      <c r="D5" t="s">
        <v>19</v>
      </c>
    </row>
    <row r="7" spans="1:8" x14ac:dyDescent="0.2">
      <c r="A7" t="s">
        <v>64</v>
      </c>
      <c r="C7" s="22">
        <v>0.25</v>
      </c>
      <c r="D7" t="s">
        <v>63</v>
      </c>
    </row>
    <row r="8" spans="1:8" x14ac:dyDescent="0.2">
      <c r="A8" t="s">
        <v>65</v>
      </c>
      <c r="C8" s="22">
        <v>0.2</v>
      </c>
      <c r="D8" t="s">
        <v>66</v>
      </c>
    </row>
    <row r="9" spans="1:8" x14ac:dyDescent="0.2">
      <c r="A9" t="s">
        <v>96</v>
      </c>
      <c r="C9" s="22">
        <v>9.5000000000000001E-2</v>
      </c>
      <c r="D9" t="s">
        <v>63</v>
      </c>
    </row>
    <row r="11" spans="1:8" ht="21" thickBot="1" x14ac:dyDescent="0.3">
      <c r="A11" s="13" t="s">
        <v>10</v>
      </c>
      <c r="B11" s="13"/>
    </row>
    <row r="12" spans="1:8" ht="21" thickTop="1" x14ac:dyDescent="0.25">
      <c r="A12" s="26" t="s">
        <v>93</v>
      </c>
      <c r="B12" s="26">
        <v>3</v>
      </c>
    </row>
    <row r="13" spans="1:8" x14ac:dyDescent="0.2">
      <c r="A13" t="s">
        <v>67</v>
      </c>
      <c r="B13" s="23">
        <f>Assumptions!C14</f>
        <v>140000</v>
      </c>
      <c r="C13" t="s">
        <v>19</v>
      </c>
    </row>
    <row r="14" spans="1:8" x14ac:dyDescent="0.2">
      <c r="A14" t="s">
        <v>68</v>
      </c>
      <c r="B14">
        <f>Assumptions!C15</f>
        <v>560000</v>
      </c>
      <c r="C14" t="s">
        <v>19</v>
      </c>
      <c r="E14" t="s">
        <v>71</v>
      </c>
      <c r="F14" t="s">
        <v>72</v>
      </c>
      <c r="H14" t="s">
        <v>94</v>
      </c>
    </row>
    <row r="15" spans="1:8" x14ac:dyDescent="0.2">
      <c r="A15" t="s">
        <v>69</v>
      </c>
      <c r="B15">
        <f>(Assumptions!B14+Assumptions!B15)/15/3600</f>
        <v>0.64814814814814814</v>
      </c>
      <c r="C15" t="s">
        <v>70</v>
      </c>
      <c r="E15">
        <v>15</v>
      </c>
      <c r="F15">
        <v>22</v>
      </c>
      <c r="H15" s="27">
        <f>E15*F15/24/30</f>
        <v>0.45833333333333331</v>
      </c>
    </row>
    <row r="16" spans="1:8" x14ac:dyDescent="0.2">
      <c r="A16" t="s">
        <v>73</v>
      </c>
      <c r="B16">
        <v>10</v>
      </c>
      <c r="C16" t="s">
        <v>74</v>
      </c>
    </row>
    <row r="17" spans="1:5" x14ac:dyDescent="0.2">
      <c r="A17" t="s">
        <v>95</v>
      </c>
      <c r="B17">
        <f>B16*2</f>
        <v>20</v>
      </c>
      <c r="C17" t="s">
        <v>74</v>
      </c>
    </row>
    <row r="20" spans="1:5" ht="21" thickBot="1" x14ac:dyDescent="0.3">
      <c r="A20" s="13" t="s">
        <v>14</v>
      </c>
      <c r="B20" s="13"/>
    </row>
    <row r="21" spans="1:5" ht="21" thickTop="1" x14ac:dyDescent="0.25">
      <c r="A21" s="26" t="s">
        <v>93</v>
      </c>
      <c r="B21" s="29">
        <f>B12*C4*H15</f>
        <v>491.83749999999992</v>
      </c>
      <c r="C21" s="28" t="s">
        <v>99</v>
      </c>
      <c r="D21" s="27">
        <f>H15</f>
        <v>0.45833333333333331</v>
      </c>
      <c r="E21" t="s">
        <v>100</v>
      </c>
    </row>
    <row r="22" spans="1:5" ht="20" x14ac:dyDescent="0.25">
      <c r="A22" s="26" t="s">
        <v>101</v>
      </c>
      <c r="B22" s="29">
        <f>0</f>
        <v>0</v>
      </c>
      <c r="C22" s="28"/>
      <c r="D22" s="27"/>
    </row>
    <row r="23" spans="1:5" x14ac:dyDescent="0.2">
      <c r="A23" s="12" t="s">
        <v>46</v>
      </c>
      <c r="B23" s="18"/>
    </row>
    <row r="24" spans="1:5" x14ac:dyDescent="0.2">
      <c r="A24" s="12" t="s">
        <v>47</v>
      </c>
      <c r="B24" s="6"/>
    </row>
    <row r="25" spans="1:5" x14ac:dyDescent="0.2">
      <c r="A25" s="12" t="s">
        <v>69</v>
      </c>
      <c r="B25" s="6"/>
    </row>
    <row r="26" spans="1:5" x14ac:dyDescent="0.2">
      <c r="A26" s="12" t="s">
        <v>49</v>
      </c>
      <c r="B26" s="6">
        <f>B16*C7*B12</f>
        <v>7.5</v>
      </c>
    </row>
    <row r="27" spans="1:5" x14ac:dyDescent="0.2">
      <c r="A27" s="12" t="s">
        <v>97</v>
      </c>
      <c r="B27" s="6">
        <f>B17*C9</f>
        <v>1.9</v>
      </c>
    </row>
    <row r="28" spans="1:5" ht="17" thickBot="1" x14ac:dyDescent="0.25">
      <c r="A28" s="12"/>
      <c r="B28" s="7">
        <f>SUM(B21:B27)</f>
        <v>501.2374999999999</v>
      </c>
    </row>
    <row r="29" spans="1:5" ht="17" thickTop="1" x14ac:dyDescent="0.2"/>
  </sheetData>
  <hyperlinks>
    <hyperlink ref="B1" r:id="rId1" xr:uid="{3DE90303-8EFC-D14C-BF3A-2C8C1102D0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1BF4-368D-B54D-A66D-0E57EBEC42C2}">
  <dimension ref="A1:B37"/>
  <sheetViews>
    <sheetView topLeftCell="A18" workbookViewId="0">
      <selection sqref="A1:B37"/>
    </sheetView>
  </sheetViews>
  <sheetFormatPr baseColWidth="10" defaultRowHeight="16" x14ac:dyDescent="0.2"/>
  <cols>
    <col min="1" max="1" width="24" customWidth="1"/>
    <col min="2" max="2" width="21.33203125" customWidth="1"/>
  </cols>
  <sheetData>
    <row r="1" spans="1:2" ht="24" x14ac:dyDescent="0.3">
      <c r="A1" s="11" t="s">
        <v>75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76</v>
      </c>
      <c r="B4" s="12"/>
    </row>
    <row r="5" spans="1:2" x14ac:dyDescent="0.2">
      <c r="A5" s="24" t="s">
        <v>77</v>
      </c>
      <c r="B5" s="18">
        <v>3.5</v>
      </c>
    </row>
    <row r="6" spans="1:2" x14ac:dyDescent="0.2">
      <c r="A6" s="24" t="s">
        <v>78</v>
      </c>
      <c r="B6" s="18">
        <v>2.8</v>
      </c>
    </row>
    <row r="7" spans="1:2" x14ac:dyDescent="0.2">
      <c r="A7" s="24" t="s">
        <v>79</v>
      </c>
      <c r="B7" s="18">
        <v>2.38</v>
      </c>
    </row>
    <row r="8" spans="1:2" x14ac:dyDescent="0.2">
      <c r="A8" s="24" t="s">
        <v>80</v>
      </c>
      <c r="B8" s="18">
        <v>1.51</v>
      </c>
    </row>
    <row r="9" spans="1:2" x14ac:dyDescent="0.2">
      <c r="A9" s="12" t="s">
        <v>81</v>
      </c>
      <c r="B9" s="18"/>
    </row>
    <row r="10" spans="1:2" x14ac:dyDescent="0.2">
      <c r="A10" s="24">
        <v>0.5</v>
      </c>
      <c r="B10" s="18">
        <v>0.02</v>
      </c>
    </row>
    <row r="11" spans="1:2" x14ac:dyDescent="0.2">
      <c r="A11" s="24">
        <v>1.6</v>
      </c>
      <c r="B11" s="18">
        <v>0.04</v>
      </c>
    </row>
    <row r="12" spans="1:2" x14ac:dyDescent="0.2">
      <c r="A12" s="24">
        <v>6.1</v>
      </c>
      <c r="B12" s="18">
        <v>0.2</v>
      </c>
    </row>
    <row r="13" spans="1:2" x14ac:dyDescent="0.2">
      <c r="A13" s="24">
        <v>13.5</v>
      </c>
      <c r="B13" s="18">
        <v>0.25</v>
      </c>
    </row>
    <row r="14" spans="1:2" x14ac:dyDescent="0.2">
      <c r="A14" s="24">
        <v>28.4</v>
      </c>
      <c r="B14" s="18">
        <v>0.5</v>
      </c>
    </row>
    <row r="15" spans="1:2" x14ac:dyDescent="0.2">
      <c r="A15" s="24">
        <v>58.2</v>
      </c>
      <c r="B15" s="18">
        <v>1</v>
      </c>
    </row>
    <row r="16" spans="1:2" x14ac:dyDescent="0.2">
      <c r="A16" s="24">
        <v>118</v>
      </c>
      <c r="B16" s="18">
        <v>1.9</v>
      </c>
    </row>
    <row r="17" spans="1:2" x14ac:dyDescent="0.2">
      <c r="A17" s="24">
        <v>237</v>
      </c>
      <c r="B17" s="18">
        <v>3.8</v>
      </c>
    </row>
    <row r="18" spans="1:2" x14ac:dyDescent="0.2">
      <c r="A18" s="12" t="s">
        <v>82</v>
      </c>
      <c r="B18" s="18">
        <v>0.02</v>
      </c>
    </row>
    <row r="19" spans="1:2" x14ac:dyDescent="0.2">
      <c r="A19" s="12"/>
      <c r="B19" s="12"/>
    </row>
    <row r="20" spans="1:2" ht="21" thickBot="1" x14ac:dyDescent="0.3">
      <c r="A20" s="13" t="s">
        <v>10</v>
      </c>
      <c r="B20" s="13"/>
    </row>
    <row r="21" spans="1:2" ht="17" thickTop="1" x14ac:dyDescent="0.2">
      <c r="A21" s="12" t="s">
        <v>83</v>
      </c>
      <c r="B21" s="17">
        <v>10000000</v>
      </c>
    </row>
    <row r="22" spans="1:2" x14ac:dyDescent="0.2">
      <c r="A22" s="24" t="s">
        <v>77</v>
      </c>
      <c r="B22" s="17">
        <v>10000000</v>
      </c>
    </row>
    <row r="23" spans="1:2" x14ac:dyDescent="0.2">
      <c r="A23" s="24" t="s">
        <v>78</v>
      </c>
      <c r="B23" s="17" t="s">
        <v>84</v>
      </c>
    </row>
    <row r="24" spans="1:2" x14ac:dyDescent="0.2">
      <c r="A24" s="24" t="s">
        <v>79</v>
      </c>
      <c r="B24" s="17" t="s">
        <v>84</v>
      </c>
    </row>
    <row r="25" spans="1:2" x14ac:dyDescent="0.2">
      <c r="A25" s="24" t="s">
        <v>80</v>
      </c>
      <c r="B25" s="17" t="s">
        <v>84</v>
      </c>
    </row>
    <row r="26" spans="1:2" x14ac:dyDescent="0.2">
      <c r="A26" s="25" t="s">
        <v>85</v>
      </c>
      <c r="B26" s="17">
        <v>0.01</v>
      </c>
    </row>
    <row r="27" spans="1:2" x14ac:dyDescent="0.2">
      <c r="A27" s="25" t="s">
        <v>86</v>
      </c>
      <c r="B27" s="17">
        <v>0.5</v>
      </c>
    </row>
    <row r="28" spans="1:2" x14ac:dyDescent="0.2">
      <c r="A28" s="25" t="s">
        <v>87</v>
      </c>
      <c r="B28" s="17">
        <v>0.02</v>
      </c>
    </row>
    <row r="29" spans="1:2" x14ac:dyDescent="0.2">
      <c r="A29" s="25" t="s">
        <v>88</v>
      </c>
      <c r="B29" s="17">
        <v>47.68</v>
      </c>
    </row>
    <row r="30" spans="1:2" x14ac:dyDescent="0.2">
      <c r="A30" s="25"/>
      <c r="B30" s="17"/>
    </row>
    <row r="31" spans="1:2" ht="21" thickBot="1" x14ac:dyDescent="0.3">
      <c r="A31" s="13" t="s">
        <v>14</v>
      </c>
      <c r="B31" s="13"/>
    </row>
    <row r="32" spans="1:2" ht="17" thickTop="1" x14ac:dyDescent="0.2">
      <c r="A32" s="25" t="s">
        <v>89</v>
      </c>
      <c r="B32" s="18">
        <v>35</v>
      </c>
    </row>
    <row r="33" spans="1:2" x14ac:dyDescent="0.2">
      <c r="A33" s="12" t="s">
        <v>90</v>
      </c>
      <c r="B33" s="18">
        <v>14.4</v>
      </c>
    </row>
    <row r="34" spans="1:2" x14ac:dyDescent="0.2">
      <c r="A34" s="25" t="s">
        <v>91</v>
      </c>
      <c r="B34" s="18">
        <v>0.95</v>
      </c>
    </row>
    <row r="35" spans="1:2" x14ac:dyDescent="0.2">
      <c r="A35" s="25" t="s">
        <v>92</v>
      </c>
      <c r="B35" s="18">
        <v>0.95</v>
      </c>
    </row>
    <row r="36" spans="1:2" ht="17" thickBot="1" x14ac:dyDescent="0.25">
      <c r="A36" s="12"/>
      <c r="B36" s="19">
        <v>51.31</v>
      </c>
    </row>
    <row r="37" spans="1:2" ht="17" thickTop="1" x14ac:dyDescent="0.2">
      <c r="A37" s="12"/>
      <c r="B3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Kinesis</vt:lpstr>
      <vt:lpstr>S3</vt:lpstr>
      <vt:lpstr>SageMaker</vt:lpstr>
      <vt:lpstr>EKS</vt:lpstr>
      <vt:lpstr>GuardDuty</vt:lpstr>
      <vt:lpstr>Lambda</vt:lpstr>
      <vt:lpstr>RDS-Postgresql</vt:lpstr>
      <vt:lpstr>API Gateway</vt:lpstr>
      <vt:lpstr>QuickSight</vt:lpstr>
      <vt:lpstr>DynamoDB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2022-12-25T23:05:56Z</dcterms:created>
  <dcterms:modified xsi:type="dcterms:W3CDTF">2023-01-04T19:23:32Z</dcterms:modified>
</cp:coreProperties>
</file>