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AC8E2F41-5CAA-4C4F-8684-259A0459D929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Dashboard!$D$34:$O$38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2" l="1"/>
  <c r="C42" i="12"/>
  <c r="N39" i="12"/>
  <c r="O39" i="12"/>
  <c r="M39" i="12"/>
  <c r="L39" i="12"/>
  <c r="K39" i="12"/>
  <c r="J39" i="12"/>
  <c r="I39" i="12"/>
  <c r="H39" i="12"/>
  <c r="G39" i="12"/>
  <c r="F39" i="12"/>
  <c r="E39" i="12"/>
  <c r="D39" i="12"/>
  <c r="O35" i="12"/>
  <c r="O36" i="12"/>
  <c r="O37" i="12"/>
  <c r="O38" i="12"/>
  <c r="O34" i="12"/>
  <c r="N35" i="12"/>
  <c r="N36" i="12"/>
  <c r="N37" i="12"/>
  <c r="N38" i="12"/>
  <c r="N34" i="12"/>
  <c r="M35" i="12"/>
  <c r="M36" i="12"/>
  <c r="M37" i="12"/>
  <c r="M38" i="12"/>
  <c r="M34" i="12"/>
  <c r="L35" i="12"/>
  <c r="L36" i="12"/>
  <c r="L37" i="12"/>
  <c r="L38" i="12"/>
  <c r="L34" i="12"/>
  <c r="K35" i="12"/>
  <c r="K36" i="12"/>
  <c r="K37" i="12"/>
  <c r="K38" i="12"/>
  <c r="K34" i="12"/>
  <c r="J35" i="12"/>
  <c r="J36" i="12"/>
  <c r="J37" i="12"/>
  <c r="J38" i="12"/>
  <c r="J34" i="12"/>
  <c r="I35" i="12"/>
  <c r="I36" i="12"/>
  <c r="I37" i="12"/>
  <c r="I38" i="12"/>
  <c r="I34" i="12"/>
  <c r="H35" i="12"/>
  <c r="H36" i="12"/>
  <c r="H37" i="12"/>
  <c r="H38" i="12"/>
  <c r="H34" i="12"/>
  <c r="G35" i="12"/>
  <c r="G36" i="12"/>
  <c r="G37" i="12"/>
  <c r="G38" i="12"/>
  <c r="G34" i="12"/>
  <c r="F35" i="12"/>
  <c r="F36" i="12"/>
  <c r="F37" i="12"/>
  <c r="F38" i="12"/>
  <c r="F34" i="12"/>
  <c r="E35" i="12"/>
  <c r="E36" i="12"/>
  <c r="E37" i="12"/>
  <c r="E38" i="12"/>
  <c r="E34" i="12"/>
  <c r="D35" i="12"/>
  <c r="D36" i="12"/>
  <c r="D37" i="12"/>
  <c r="D38" i="12"/>
  <c r="D34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<sst xmlns="http://schemas.openxmlformats.org/spreadsheetml/2006/main" count="166" uniqueCount="112">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</sst>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9" fillId="0" borderId="2" xfId="0" applyFont="1" applyBorder="1"/>
    <xf numFmtId="164" fontId="9" fillId="0" borderId="2" xfId="0" applyNumberFormat="1" applyFont="1" applyBorder="1"/>
    <xf numFmtId="9" fontId="9" fillId="0" borderId="2" xfId="3" applyFont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8" t="s">
        <v>69</v>
      </c>
      <c r="L13" s="58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B32:O42"/>
  <sheetViews>
    <sheetView tabSelected="1" topLeftCell="A23" zoomScale="90" zoomScaleNormal="90" workbookViewId="0">
      <selection activeCell="E31" sqref="E31"/>
    </sheetView>
  </sheetViews>
  <sheetFormatPr baseColWidth="10" defaultRowHeight="15" x14ac:dyDescent="0.25"/>
  <cols>
    <col min="1" max="1" width="7.2851562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8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32" spans="4:15" x14ac:dyDescent="0.25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</row>
    <row r="33" spans="2:15" x14ac:dyDescent="0.25">
      <c r="B33" s="64" t="s">
        <v>26</v>
      </c>
      <c r="C33" s="64" t="s">
        <v>104</v>
      </c>
      <c r="D33" s="64" t="s">
        <v>105</v>
      </c>
      <c r="E33" s="64" t="s">
        <v>106</v>
      </c>
      <c r="F33" s="64" t="s">
        <v>107</v>
      </c>
      <c r="G33" s="64" t="s">
        <v>108</v>
      </c>
      <c r="H33" s="64" t="s">
        <v>12</v>
      </c>
      <c r="I33" s="64" t="s">
        <v>109</v>
      </c>
      <c r="J33" s="64" t="s">
        <v>110</v>
      </c>
      <c r="K33" s="64" t="s">
        <v>13</v>
      </c>
      <c r="L33" s="64" t="s">
        <v>29</v>
      </c>
      <c r="M33" s="64" t="s">
        <v>30</v>
      </c>
      <c r="N33" s="64" t="s">
        <v>31</v>
      </c>
      <c r="O33" s="64" t="s">
        <v>111</v>
      </c>
    </row>
    <row r="34" spans="2:15" x14ac:dyDescent="0.25">
      <c r="B34" t="s">
        <v>32</v>
      </c>
      <c r="C34" s="15">
        <v>1</v>
      </c>
      <c r="D34" s="3">
        <f>SUMIF(Ventas!B2:B184,Dashboard!C34:C38,Ventas!D2:D184)</f>
        <v>159277.59000000003</v>
      </c>
      <c r="E34" s="3">
        <f>SUMIF(Ventas!B2:B184,Dashboard!C34:C38,Ventas!E2:E184)</f>
        <v>138764.61000000002</v>
      </c>
      <c r="F34" s="3">
        <f>SUMIF(Ventas!B2:B184,Dashboard!C34:C38,Ventas!F2:F184)</f>
        <v>15380.620000000003</v>
      </c>
      <c r="G34" s="3">
        <f>SUMIF(Ventas!B2:B184,Dashboard!C34:C38,Ventas!G2:G184)</f>
        <v>5132.3599999999997</v>
      </c>
      <c r="H34" s="3">
        <f>SUMIF(Ventas!B2:B184,Dashboard!C34:C38,Ventas!H2:H184)</f>
        <v>86861.320000000036</v>
      </c>
      <c r="I34" s="56">
        <f>D34-H34</f>
        <v>72416.26999999999</v>
      </c>
      <c r="J34" s="65">
        <f>I34/D34</f>
        <v>0.4546544808971556</v>
      </c>
      <c r="K34" s="15">
        <f>SUMIF(Ventas!B2:B184,Dashboard!C34:C38,Ventas!I2:I184)</f>
        <v>1585</v>
      </c>
      <c r="L34" s="3">
        <f>VLOOKUP(Dashboard!C34,'Ventas x tienda'!A2:F6,4,0)</f>
        <v>45580.68</v>
      </c>
      <c r="M34" s="3">
        <f>VLOOKUP(C34,'Ventas x tienda'!A2:F6,5,0)</f>
        <v>34493.49</v>
      </c>
      <c r="N34" s="3">
        <f>VLOOKUP(C34,'Ventas x tienda'!A2:F6,6,0)</f>
        <v>43116.86</v>
      </c>
      <c r="O34" s="3">
        <f>DSUM('Gastos mensuales'!$A$1:$F$10,Dashboard!$B34,'Gastos mensuales'!$A$1:$A$10)</f>
        <v>28156.440000000002</v>
      </c>
    </row>
    <row r="35" spans="2:15" x14ac:dyDescent="0.25">
      <c r="B35" t="s">
        <v>33</v>
      </c>
      <c r="C35" s="15">
        <v>2</v>
      </c>
      <c r="D35" s="3">
        <f>SUMIF(Ventas!B3:B185,Dashboard!C35:C39,Ventas!D3:D185)</f>
        <v>151460.30000000002</v>
      </c>
      <c r="E35" s="3">
        <f>SUMIF(Ventas!B3:B185,Dashboard!C35:C39,Ventas!E3:E185)</f>
        <v>121277.60999999997</v>
      </c>
      <c r="F35" s="3">
        <f>SUMIF(Ventas!B3:B185,Dashboard!C35:C39,Ventas!F3:F185)</f>
        <v>30182.690000000002</v>
      </c>
      <c r="G35" s="3">
        <f>SUMIF(Ventas!B3:B185,Dashboard!C35:C39,Ventas!G3:G185)</f>
        <v>0</v>
      </c>
      <c r="H35" s="3">
        <f>SUMIF(Ventas!B3:B185,Dashboard!C35:C39,Ventas!H3:H185)</f>
        <v>83207.290000000023</v>
      </c>
      <c r="I35" s="56">
        <f t="shared" ref="I35:I38" si="0">D35-H35</f>
        <v>68253.009999999995</v>
      </c>
      <c r="J35" s="65">
        <f t="shared" ref="J35:J39" si="1">I35/D35</f>
        <v>0.450633004160166</v>
      </c>
      <c r="K35" s="15">
        <f>SUMIF(Ventas!B3:B185,Dashboard!C35:C39,Ventas!I3:I185)</f>
        <v>1346</v>
      </c>
      <c r="L35" s="3">
        <f>VLOOKUP(Dashboard!C35,'Ventas x tienda'!A3:F7,4,0)</f>
        <v>41884.949999999997</v>
      </c>
      <c r="M35" s="3">
        <f>VLOOKUP(C35,'Ventas x tienda'!A3:F7,5,0)</f>
        <v>35725.4</v>
      </c>
      <c r="N35" s="3">
        <f>VLOOKUP(C35,'Ventas x tienda'!A3:F7,6,0)</f>
        <v>33078.1</v>
      </c>
      <c r="O35" s="3">
        <f>DSUM('Gastos mensuales'!$A$1:$F$10,Dashboard!$B35,'Gastos mensuales'!$A$1:$A$10)</f>
        <v>28565.140000000003</v>
      </c>
    </row>
    <row r="36" spans="2:15" x14ac:dyDescent="0.25">
      <c r="B36" t="s">
        <v>34</v>
      </c>
      <c r="C36" s="15">
        <v>3</v>
      </c>
      <c r="D36" s="3">
        <f>SUMIF(Ventas!B4:B186,Dashboard!C36:C40,Ventas!D4:D186)</f>
        <v>140334.59</v>
      </c>
      <c r="E36" s="3">
        <f>SUMIF(Ventas!B4:B186,Dashboard!C36:C40,Ventas!E4:E186)</f>
        <v>119819.94999999998</v>
      </c>
      <c r="F36" s="3">
        <f>SUMIF(Ventas!B4:B186,Dashboard!C36:C40,Ventas!F4:F186)</f>
        <v>20339.64</v>
      </c>
      <c r="G36" s="3">
        <f>SUMIF(Ventas!B4:B186,Dashboard!C36:C40,Ventas!G4:G186)</f>
        <v>175</v>
      </c>
      <c r="H36" s="3">
        <f>SUMIF(Ventas!B4:B186,Dashboard!C36:C40,Ventas!H4:H186)</f>
        <v>66422.169999999984</v>
      </c>
      <c r="I36" s="56">
        <f t="shared" si="0"/>
        <v>73912.420000000013</v>
      </c>
      <c r="J36" s="65">
        <f t="shared" si="1"/>
        <v>0.52668711256433653</v>
      </c>
      <c r="K36" s="15">
        <f>SUMIF(Ventas!B4:B186,Dashboard!C36:C40,Ventas!I4:I186)</f>
        <v>1304</v>
      </c>
      <c r="L36" s="3">
        <f>VLOOKUP(Dashboard!C36,'Ventas x tienda'!A4:F8,4,0)</f>
        <v>44348.77</v>
      </c>
      <c r="M36" s="3">
        <f>VLOOKUP(C36,'Ventas x tienda'!A4:F8,5,0)</f>
        <v>36957.31</v>
      </c>
      <c r="N36" s="3">
        <f>VLOOKUP(C36,'Ventas x tienda'!A4:F8,6,0)</f>
        <v>40121.120000000003</v>
      </c>
      <c r="O36" s="3">
        <f>DSUM('Gastos mensuales'!$A$1:$F$10,Dashboard!$B36,'Gastos mensuales'!$A$1:$A$10)</f>
        <v>33720.93</v>
      </c>
    </row>
    <row r="37" spans="2:15" x14ac:dyDescent="0.25">
      <c r="B37" t="s">
        <v>35</v>
      </c>
      <c r="C37" s="15">
        <v>4</v>
      </c>
      <c r="D37" s="3">
        <f>SUMIF(Ventas!B5:B187,Dashboard!C37:C41,Ventas!D5:D187)</f>
        <v>134942.64000000001</v>
      </c>
      <c r="E37" s="3">
        <f>SUMIF(Ventas!B5:B187,Dashboard!C37:C41,Ventas!E5:E187)</f>
        <v>117844.51000000001</v>
      </c>
      <c r="F37" s="3">
        <f>SUMIF(Ventas!B5:B187,Dashboard!C37:C41,Ventas!F5:F187)</f>
        <v>17098.13</v>
      </c>
      <c r="G37" s="3">
        <f>SUMIF(Ventas!B5:B187,Dashboard!C37:C41,Ventas!G5:G187)</f>
        <v>0</v>
      </c>
      <c r="H37" s="3">
        <f>SUMIF(Ventas!B5:B187,Dashboard!C37:C41,Ventas!H5:H187)</f>
        <v>80419.670000000013</v>
      </c>
      <c r="I37" s="56">
        <f t="shared" si="0"/>
        <v>54522.97</v>
      </c>
      <c r="J37" s="65">
        <f t="shared" si="1"/>
        <v>0.40404552630658475</v>
      </c>
      <c r="K37" s="15">
        <f>SUMIF(Ventas!B5:B187,Dashboard!C37:C41,Ventas!I5:I187)</f>
        <v>1241</v>
      </c>
      <c r="L37" s="3">
        <f>VLOOKUP(Dashboard!C37,'Ventas x tienda'!A5:F9,4,0)</f>
        <v>43116.86</v>
      </c>
      <c r="M37" s="3">
        <f>VLOOKUP(C37,'Ventas x tienda'!A5:F9,5,0)</f>
        <v>36957.31</v>
      </c>
      <c r="N37" s="3">
        <f>VLOOKUP(C37,'Ventas x tienda'!A5:F9,6,0)</f>
        <v>38483.050000000003</v>
      </c>
      <c r="O37" s="3">
        <f>DSUM('Gastos mensuales'!$A$1:$F$10,Dashboard!$B37,'Gastos mensuales'!$A$1:$A$10)</f>
        <v>37694.369999999995</v>
      </c>
    </row>
    <row r="38" spans="2:15" x14ac:dyDescent="0.25">
      <c r="B38" t="s">
        <v>36</v>
      </c>
      <c r="C38" s="15">
        <v>5</v>
      </c>
      <c r="D38" s="3">
        <f>SUMIF(Ventas!B6:B188,Dashboard!C38:C42,Ventas!D6:D188)</f>
        <v>161194.56</v>
      </c>
      <c r="E38" s="3">
        <f>SUMIF(Ventas!B6:B188,Dashboard!C38:C42,Ventas!E6:E188)</f>
        <v>133998.82999999999</v>
      </c>
      <c r="F38" s="3">
        <f>SUMIF(Ventas!B6:B188,Dashboard!C38:C42,Ventas!F6:F188)</f>
        <v>24641.710000000003</v>
      </c>
      <c r="G38" s="3">
        <f>SUMIF(Ventas!B6:B188,Dashboard!C38:C42,Ventas!G6:G188)</f>
        <v>2554.02</v>
      </c>
      <c r="H38" s="3">
        <f>SUMIF(Ventas!B6:B188,Dashboard!C38:C42,Ventas!H6:H188)</f>
        <v>95178.446149999974</v>
      </c>
      <c r="I38" s="56">
        <f t="shared" si="0"/>
        <v>66016.113850000023</v>
      </c>
      <c r="J38" s="65">
        <f t="shared" si="1"/>
        <v>0.40954306305374094</v>
      </c>
      <c r="K38" s="15">
        <f>SUMIF(Ventas!B6:B188,Dashboard!C38:C42,Ventas!I6:I188)</f>
        <v>1397</v>
      </c>
      <c r="L38" s="3">
        <f>VLOOKUP(Dashboard!C38,'Ventas x tienda'!A6:F10,4,0)</f>
        <v>43116.86</v>
      </c>
      <c r="M38" s="3">
        <f>VLOOKUP(C38,'Ventas x tienda'!A6:F10,5,0)</f>
        <v>34493.49</v>
      </c>
      <c r="N38" s="3">
        <f>VLOOKUP(C38,'Ventas x tienda'!A6:F10,6,0)</f>
        <v>48092.27</v>
      </c>
      <c r="O38" s="3">
        <f>DSUM('Gastos mensuales'!$A$1:$F$10,Dashboard!$B38,'Gastos mensuales'!$A$1:$A$10)</f>
        <v>36175.910000000003</v>
      </c>
    </row>
    <row r="39" spans="2:15" x14ac:dyDescent="0.25">
      <c r="B39" s="66" t="s">
        <v>28</v>
      </c>
      <c r="C39" s="66"/>
      <c r="D39" s="67">
        <f>SUM(D34:D38)</f>
        <v>747209.67999999993</v>
      </c>
      <c r="E39" s="67">
        <f>SUM(E34:E38)</f>
        <v>631705.50999999989</v>
      </c>
      <c r="F39" s="67">
        <f>SUM(F34:F38)</f>
        <v>107642.79000000002</v>
      </c>
      <c r="G39" s="67">
        <f>SUM(G34:G38)</f>
        <v>7861.3799999999992</v>
      </c>
      <c r="H39" s="67">
        <f>SUM(H34:H38)</f>
        <v>412088.89615000004</v>
      </c>
      <c r="I39" s="67">
        <f>SUM(I34:I38)</f>
        <v>335120.78385000001</v>
      </c>
      <c r="J39" s="68">
        <f>I39/D39</f>
        <v>0.44849630942950314</v>
      </c>
      <c r="K39" s="69">
        <f>SUM(K34:K38)</f>
        <v>6873</v>
      </c>
      <c r="L39" s="67">
        <f>SUM(L34:L38)</f>
        <v>218048.12</v>
      </c>
      <c r="M39" s="67">
        <f>SUM(M34:M38)</f>
        <v>178627</v>
      </c>
      <c r="N39" s="67">
        <f>SUM(N34:N38)</f>
        <v>202891.4</v>
      </c>
      <c r="O39" s="67">
        <f>SUM(O34:O38)</f>
        <v>164312.79</v>
      </c>
    </row>
    <row r="42" spans="2:15" x14ac:dyDescent="0.25">
      <c r="B42" t="s">
        <v>34</v>
      </c>
      <c r="C42">
        <f>VLOOKUP(B42,B34:C38,2,0)</f>
        <v>3</v>
      </c>
      <c r="D42" s="3">
        <f>INDEX(D34:$O$38,C42,D32)</f>
        <v>140334.59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9" t="s">
        <v>49</v>
      </c>
      <c r="L1" s="59"/>
      <c r="M1" s="59"/>
      <c r="N1" s="59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60" t="s">
        <v>50</v>
      </c>
      <c r="D9" s="60"/>
      <c r="E9" s="60"/>
      <c r="F9" s="60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61" t="s">
        <v>57</v>
      </c>
      <c r="J1" s="61"/>
      <c r="K1" s="61"/>
      <c r="M1" s="62" t="s">
        <v>60</v>
      </c>
      <c r="N1" s="62"/>
      <c r="P1" s="63" t="s">
        <v>62</v>
      </c>
      <c r="Q1" s="63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2023-08-10T13:09:56Z</dcterms:modified>
</cp:coreProperties>
</file>