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9FFE45D5-F306-4BA0-B0CE-85CC497BB030}" xr6:coauthVersionLast="47" xr6:coauthVersionMax="47" xr10:uidLastSave="{00000000-0000-0000-0000-000000000000}"/>
  <bookViews>
    <workbookView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datos_p">Dashboard!$D$35:$O$39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2" l="1"/>
  <c r="C43" i="12" l="1"/>
  <c r="O36" i="12"/>
  <c r="O37" i="12"/>
  <c r="O38" i="12"/>
  <c r="O39" i="12"/>
  <c r="O35" i="12"/>
  <c r="N36" i="12"/>
  <c r="N37" i="12"/>
  <c r="N38" i="12"/>
  <c r="N39" i="12"/>
  <c r="N35" i="12"/>
  <c r="N40" i="12" s="1"/>
  <c r="M36" i="12"/>
  <c r="M37" i="12"/>
  <c r="M38" i="12"/>
  <c r="M39" i="12"/>
  <c r="M35" i="12"/>
  <c r="M40" i="12" s="1"/>
  <c r="L36" i="12"/>
  <c r="L37" i="12"/>
  <c r="L38" i="12"/>
  <c r="L39" i="12"/>
  <c r="L35" i="12"/>
  <c r="L40" i="12" s="1"/>
  <c r="K36" i="12"/>
  <c r="K37" i="12"/>
  <c r="K38" i="12"/>
  <c r="K39" i="12"/>
  <c r="K35" i="12"/>
  <c r="K40" i="12" s="1"/>
  <c r="I36" i="12"/>
  <c r="J36" i="12" s="1"/>
  <c r="I35" i="12"/>
  <c r="J35" i="12" s="1"/>
  <c r="H36" i="12"/>
  <c r="H37" i="12"/>
  <c r="H38" i="12"/>
  <c r="H39" i="12"/>
  <c r="H35" i="12"/>
  <c r="H40" i="12" s="1"/>
  <c r="G36" i="12"/>
  <c r="G37" i="12"/>
  <c r="G38" i="12"/>
  <c r="G39" i="12"/>
  <c r="G35" i="12"/>
  <c r="G40" i="12" s="1"/>
  <c r="F36" i="12"/>
  <c r="F37" i="12"/>
  <c r="F38" i="12"/>
  <c r="F39" i="12"/>
  <c r="F35" i="12"/>
  <c r="F40" i="12" s="1"/>
  <c r="E36" i="12"/>
  <c r="E37" i="12"/>
  <c r="E38" i="12"/>
  <c r="E39" i="12"/>
  <c r="E35" i="12"/>
  <c r="E40" i="12" s="1"/>
  <c r="D36" i="12"/>
  <c r="D37" i="12"/>
  <c r="I37" i="12" s="1"/>
  <c r="J37" i="12" s="1"/>
  <c r="D38" i="12"/>
  <c r="I38" i="12" s="1"/>
  <c r="J38" i="12" s="1"/>
  <c r="D39" i="12"/>
  <c r="I39" i="12" s="1"/>
  <c r="J39" i="12" s="1"/>
  <c r="D35" i="12"/>
  <c r="D40" i="12" s="1"/>
  <c r="C2" i="12" s="1"/>
  <c r="I40" i="12" l="1"/>
  <c r="J40" i="12" s="1"/>
  <c r="H2" i="12" s="1"/>
  <c r="O40" i="12"/>
  <c r="L2" i="12" s="1"/>
  <c r="O43" i="12"/>
  <c r="C22" i="12" s="1"/>
  <c r="D43" i="12"/>
  <c r="C19" i="12" s="1"/>
  <c r="H43" i="12"/>
  <c r="C21" i="12" s="1"/>
  <c r="L43" i="12"/>
  <c r="E43" i="12"/>
  <c r="I43" i="12"/>
  <c r="C20" i="12" s="1"/>
  <c r="M43" i="12"/>
  <c r="F43" i="12"/>
  <c r="J43" i="12"/>
  <c r="C23" i="12" s="1"/>
  <c r="N43" i="12"/>
  <c r="G43" i="12"/>
  <c r="K43" i="12"/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<sst xmlns="http://schemas.openxmlformats.org/spreadsheetml/2006/main" count="177" uniqueCount="116">
  <si>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</si>
  <si>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</si>
  <si>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</si>
  <si>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</si>
  <si>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</si>
  <si>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</si>
  <si>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</si>
  <si>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</si>
  <si>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</si>
  <si>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</si>
  <si>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</si>
  <si>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</si>
  <si>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</si>
  <si>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</si>
  <si>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</si>
  <si>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</si>
  <si>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</si>
  <si>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</si>
  <si>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</si>
  <si>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</si>
  <si>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</si>
  <si>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</si>
  <si>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</si>
  <si>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</si>
  <si>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</si>
  <si>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</si>
  <si>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</si>
  <si>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</si>
  <si>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</si>
  <si>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</si>
  <si>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</si>
  <si>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</si>
  <si>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</si>
  <si>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</si>
  <si>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</si>
  <si>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</si>
  <si>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</si>
  <si>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</si>
  <si>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</si>
  <si>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</si>
  <si>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</si>
  <si>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</si>
  <si>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</si>
  <si>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</si>
  <si>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</si>
  <si>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</si>
  <si>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</si>
  <si>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</si>
  <si>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</si>
  <si>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</si>
  <si>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</si>
  <si>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</si>
  <si>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</si>
  <si>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</si>
  <si>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</si>
  <si>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</si>
  <si>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</si>
  <si>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</si>
  <si>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</si>
  <si>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</si>
  <si>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</si>
  <si>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</si>
  <si>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</si>
  <si>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</si>
  <si>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</si>
  <si>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</si>
  <si>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</si>
  <si>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</si>
  <si>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</si>
  <si>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</si>
  <si>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</si>
  <si>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</si>
  <si>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</si>
  <si>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</si>
  <si>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</si>
  <si>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</si>
  <si>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</si>
  <si>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</si>
  <si>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</si>
  <si>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</si>
  <si>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</si>
  <si>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</si>
  <si>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</si>
  <si>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</si>
  <si>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</si>
  <si>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</si>
  <si>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</si>
  <si>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</si>
  <si>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</si>
  <si>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</si>
  <si>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</si>
  <si>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</si>
  <si>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</si>
  <si>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</si>
  <si>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</si>
  <si>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</si>
  <si>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</si>
  <si>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</si>
  <si>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</si>
  <si>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</si>
  <si>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</si>
  <si>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</si>
  <si>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</si>
  <si>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</si>
  <si>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</si>
  <si>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</si>
  <si>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</si>
  <si>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</si>
  <si>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</si>
  <si>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</si>
  <si>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</si>
  <si>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</si>
  <si>
    <t>Resumen Ventas del Año</t>
  </si>
  <si>
    <t>% Utilidad Total</t>
  </si>
  <si>
    <t>Resumen Ventas Mensuales</t>
  </si>
  <si>
    <t>Ventas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</si>
</sst>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 Black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11" fillId="14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10" fillId="0" borderId="2" xfId="0" applyFont="1" applyBorder="1"/>
    <xf numFmtId="164" fontId="10" fillId="0" borderId="2" xfId="0" applyNumberFormat="1" applyFont="1" applyBorder="1"/>
    <xf numFmtId="9" fontId="10" fillId="0" borderId="2" xfId="3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15" borderId="0" xfId="0" applyFont="1" applyFill="1"/>
    <xf numFmtId="164" fontId="11" fillId="15" borderId="0" xfId="2" applyNumberFormat="1" applyFont="1" applyFill="1"/>
    <xf numFmtId="9" fontId="11" fillId="15" borderId="0" xfId="3" applyFont="1" applyFill="1"/>
    <xf numFmtId="9" fontId="0" fillId="0" borderId="0" xfId="0" applyNumberFormat="1"/>
    <xf numFmtId="0" fontId="0" fillId="12" borderId="0" xfId="0" applyFill="1"/>
    <xf numFmtId="0" fontId="12" fillId="12" borderId="0" xfId="0" applyFont="1" applyFill="1"/>
    <xf numFmtId="0" fontId="9" fillId="12" borderId="0" xfId="0" applyFont="1" applyFill="1"/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3" fillId="12" borderId="0" xfId="0" applyFont="1" applyFill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3" fillId="12" borderId="0" xfId="0" applyFont="1" applyFill="1" applyAlignment="1">
      <alignment horizontal="right"/>
    </xf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D37A03"/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Dashboard!$B$35:$B$39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Dashboard!$D$35:$D$39</c:f>
              <c:numCache>
                <c:formatCode>_-"$"\ * #,##0_-;\-"$"\ * #,##0_-;_-"$"\ * "-"??_-;_-@_-</c:formatCode>
                <c:ptCount val="5"/>
                <c:pt idx="0">
                  <c:v>159277.59000000003</c:v>
                </c:pt>
                <c:pt idx="1">
                  <c:v>151460.30000000002</c:v>
                </c:pt>
                <c:pt idx="2">
                  <c:v>140334.59</c:v>
                </c:pt>
                <c:pt idx="3">
                  <c:v>134942.64000000001</c:v>
                </c:pt>
                <c:pt idx="4">
                  <c:v>161194.56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665-A13F-C11637744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267472"/>
        <c:axId val="18480672"/>
      </c:barChart>
      <c:catAx>
        <c:axId val="138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0672"/>
        <c:crosses val="autoZero"/>
        <c:auto val="1"/>
        <c:lblAlgn val="ctr"/>
        <c:lblOffset val="100"/>
        <c:noMultiLvlLbl val="0"/>
      </c:catAx>
      <c:valAx>
        <c:axId val="1848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82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Dashboard!$B$35:$B$39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Dashboard!$J$35:$J$39</c:f>
              <c:numCache>
                <c:formatCode>0%</c:formatCode>
                <c:ptCount val="5"/>
                <c:pt idx="0">
                  <c:v>0.4546544808971556</c:v>
                </c:pt>
                <c:pt idx="1">
                  <c:v>0.450633004160166</c:v>
                </c:pt>
                <c:pt idx="2">
                  <c:v>0.52668711256433653</c:v>
                </c:pt>
                <c:pt idx="3">
                  <c:v>0.40404552630658475</c:v>
                </c:pt>
                <c:pt idx="4">
                  <c:v>0.40954306305374094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0-45F2-8D9C-749BB43AB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102976"/>
        <c:axId val="138815440"/>
      </c:barChart>
      <c:catAx>
        <c:axId val="130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15440"/>
        <c:crosses val="autoZero"/>
        <c:auto val="1"/>
        <c:lblAlgn val="ctr"/>
        <c:lblOffset val="100"/>
        <c:noMultiLvlLbl val="0"/>
      </c:catAx>
      <c:valAx>
        <c:axId val="1388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83870967741936E-2"/>
          <c:y val="6.741573033707865E-2"/>
          <c:w val="0.92903225806451617"/>
          <c:h val="0.807874900468902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Dashboard!$B$35:$B$39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Dashboard!$O$35:$O$39</c:f>
              <c:numCache>
                <c:formatCode>_-"$"\ * #,##0_-;\-"$"\ * #,##0_-;_-"$"\ 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202-AA09-2F7CEA574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169776"/>
        <c:axId val="138802480"/>
      </c:lineChart>
      <c:catAx>
        <c:axId val="1861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02480"/>
        <c:crosses val="autoZero"/>
        <c:auto val="1"/>
        <c:lblAlgn val="ctr"/>
        <c:lblOffset val="100"/>
        <c:noMultiLvlLbl val="0"/>
      </c:catAx>
      <c:valAx>
        <c:axId val="138802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861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Dashboard!$B$19:$B$22</c:f>
              <c:strCache>
                <c:ptCount val="4"/>
                <c:pt idx="0">
                  <c:v>Ventas Mensuales</c:v>
                </c:pt>
                <c:pt idx="1">
                  <c:v>COGS</c:v>
                </c:pt>
                <c:pt idx="2">
                  <c:v>Utilidad</c:v>
                </c:pt>
                <c:pt idx="3">
                  <c:v>Gastos</c:v>
                </c:pt>
              </c:strCache>
            </c:strRef>
          </c:cat>
          <c:val>
            <c:numRef>
              <c:f>Dashboard!$C$19:$C$22</c:f>
              <c:numCache>
                <c:formatCode>_-"$"\ * #,##0_-;\-"$"\ * #,##0_-;_-"$"\ * "-"??_-;_-@_-</c:formatCode>
                <c:ptCount val="4"/>
                <c:pt idx="0">
                  <c:v>161194.56</c:v>
                </c:pt>
                <c:pt idx="1">
                  <c:v>66016.113850000023</c:v>
                </c:pt>
                <c:pt idx="2">
                  <c:v>95178.446149999974</c:v>
                </c:pt>
                <c:pt idx="3">
                  <c:v>36175.910000000003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4-41FC-8B80-6BCD5410B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2612031"/>
        <c:axId val="1864248895"/>
      </c:barChart>
      <c:catAx>
        <c:axId val="17426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248895"/>
        <c:crosses val="autoZero"/>
        <c:auto val="1"/>
        <c:lblAlgn val="ctr"/>
        <c:lblOffset val="100"/>
        <c:noMultiLvlLbl val="0"/>
      </c:catAx>
      <c:valAx>
        <c:axId val="1864248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7426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4998646918544E-2"/>
          <c:y val="0.13774609398703122"/>
          <c:w val="0.53170641324808476"/>
          <c:h val="0.74576631507144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02-478F-9C9D-9745D018AE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02-478F-9C9D-9745D018A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02-478F-9C9D-9745D018A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Dashboard!$E$34:$G$34</c:f>
              <c:strCache>
                <c:ptCount val="3"/>
                <c:pt idx="0">
                  <c:v>Ventas Efectivo</c:v>
                </c:pt>
                <c:pt idx="1">
                  <c:v>Ventas Tarjeta</c:v>
                </c:pt>
                <c:pt idx="2">
                  <c:v>Ventas Transferencia</c:v>
                </c:pt>
              </c:strCache>
            </c:strRef>
          </c:cat>
          <c:val>
            <c:numRef>
              <c:f>Dashboard!$E$43:$G$43</c:f>
              <c:numCache>
                <c:formatCode>_-"$"\ * #,##0_-;\-"$"\ * #,##0_-;_-"$"\ * "-"??_-;_-@_-</c:formatCode>
                <c:ptCount val="3"/>
                <c:pt idx="0">
                  <c:v>133998.82999999999</c:v>
                </c:pt>
                <c:pt idx="1">
                  <c:v>24641.710000000003</c:v>
                </c:pt>
                <c:pt idx="2">
                  <c:v>2554.02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78F-9C9D-9745D018AE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Dashboard!$L$34:$N$34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f>Dashboard!$L$43:$N$43</c:f>
              <c:numCache>
                <c:formatCode>_-"$"\ * #,##0_-;\-"$"\ * #,##0_-;_-"$"\ * "-"??_-;_-@_-</c:formatCode>
                <c:ptCount val="3"/>
                <c:pt idx="0">
                  <c:v>43116.86</c:v>
                </c:pt>
                <c:pt idx="1">
                  <c:v>34493.49</c:v>
                </c:pt>
                <c:pt idx="2">
                  <c:v>48092.27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FD0-9249-BFE4C8C39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5555247"/>
        <c:axId val="1861432335"/>
      </c:barChart>
      <c:catAx>
        <c:axId val="19555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32335"/>
        <c:crosses val="autoZero"/>
        <c:auto val="1"/>
        <c:lblAlgn val="ctr"/>
        <c:lblOffset val="100"/>
        <c:noMultiLvlLbl val="0"/>
      </c:catAx>
      <c:valAx>
        <c:axId val="1861432335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9555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</xdr:row>
      <xdr:rowOff>4233</xdr:rowOff>
    </xdr:from>
    <xdr:to>
      <xdr:col>4</xdr:col>
      <xdr:colOff>1121834</xdr:colOff>
      <xdr:row>13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010A9-9E8D-DBF2-A06A-493C5A27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1010708</xdr:colOff>
      <xdr:row>2</xdr:row>
      <xdr:rowOff>4233</xdr:rowOff>
    </xdr:from>
    <xdr:to>
      <xdr:col>9</xdr:col>
      <xdr:colOff>455084</xdr:colOff>
      <xdr:row>13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235AA2-0058-94D9-04CB-543425ED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2</xdr:row>
      <xdr:rowOff>4233</xdr:rowOff>
    </xdr:from>
    <xdr:to>
      <xdr:col>15</xdr:col>
      <xdr:colOff>11906</xdr:colOff>
      <xdr:row>13</xdr:row>
      <xdr:rowOff>169333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B22A9F-066A-4AF3-8B1E-988F2381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125015</xdr:colOff>
      <xdr:row>15</xdr:row>
      <xdr:rowOff>15479</xdr:rowOff>
    </xdr:from>
    <xdr:to>
      <xdr:col>6</xdr:col>
      <xdr:colOff>738187</xdr:colOff>
      <xdr:row>27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D61490-BBBA-546C-5794-EA41F953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851297</xdr:colOff>
      <xdr:row>15</xdr:row>
      <xdr:rowOff>15478</xdr:rowOff>
    </xdr:from>
    <xdr:to>
      <xdr:col>10</xdr:col>
      <xdr:colOff>226218</xdr:colOff>
      <xdr:row>27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F5C4D9-74C2-5AB3-4F5E-972EFF47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363140</xdr:colOff>
      <xdr:row>14</xdr:row>
      <xdr:rowOff>229790</xdr:rowOff>
    </xdr:from>
    <xdr:to>
      <xdr:col>15</xdr:col>
      <xdr:colOff>11906</xdr:colOff>
      <xdr:row>27</xdr:row>
      <xdr:rowOff>35718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8C6024-EB59-0481-1997-09BC23D4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71" t="s">
        <v>69</v>
      </c>
      <c r="L13" s="71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A1:O43"/>
  <sheetViews>
    <sheetView tabSelected="1" zoomScale="80" zoomScaleNormal="80" workbookViewId="0">
      <selection activeCell="P19" sqref="P19"/>
    </sheetView>
  </sheetViews>
  <sheetFormatPr baseColWidth="10" defaultRowHeight="15" x14ac:dyDescent="0.25"/>
  <cols>
    <col min="1" max="1" width="7.28515625" customWidth="1"/>
    <col min="2" max="2" width="19.8554687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9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1" spans="1:15" ht="18.75" x14ac:dyDescent="0.4">
      <c r="A1" s="68"/>
      <c r="B1" s="69" t="s">
        <v>112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25">
      <c r="B2" s="70" t="s">
        <v>105</v>
      </c>
      <c r="C2" s="56">
        <f>D40</f>
        <v>747209.67999999993</v>
      </c>
      <c r="D2" s="56"/>
      <c r="G2" s="70" t="s">
        <v>113</v>
      </c>
      <c r="H2" s="67">
        <f>J40</f>
        <v>0.44849630942950314</v>
      </c>
      <c r="K2" s="70" t="s">
        <v>111</v>
      </c>
      <c r="L2" s="56">
        <f>O40</f>
        <v>164312.79</v>
      </c>
    </row>
    <row r="15" spans="1:15" ht="18.75" x14ac:dyDescent="0.4">
      <c r="A15" s="68"/>
      <c r="B15" s="69" t="s">
        <v>114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</row>
    <row r="18" spans="2:3" ht="15.75" x14ac:dyDescent="0.25">
      <c r="B18" s="77" t="s">
        <v>26</v>
      </c>
      <c r="C18" s="80" t="s">
        <v>36</v>
      </c>
    </row>
    <row r="19" spans="2:3" ht="15.75" x14ac:dyDescent="0.25">
      <c r="B19" s="77" t="s">
        <v>115</v>
      </c>
      <c r="C19" s="78">
        <f>D43</f>
        <v>161194.56</v>
      </c>
    </row>
    <row r="20" spans="2:3" ht="15.75" x14ac:dyDescent="0.25">
      <c r="B20" s="77" t="s">
        <v>109</v>
      </c>
      <c r="C20" s="78">
        <f>I43</f>
        <v>66016.113850000023</v>
      </c>
    </row>
    <row r="21" spans="2:3" ht="15.75" x14ac:dyDescent="0.25">
      <c r="B21" s="77" t="s">
        <v>12</v>
      </c>
      <c r="C21" s="78">
        <f>H43</f>
        <v>95178.446149999974</v>
      </c>
    </row>
    <row r="22" spans="2:3" ht="15.75" x14ac:dyDescent="0.25">
      <c r="B22" s="77" t="s">
        <v>111</v>
      </c>
      <c r="C22" s="78">
        <f>O43</f>
        <v>36175.910000000003</v>
      </c>
    </row>
    <row r="23" spans="2:3" ht="15.75" x14ac:dyDescent="0.25">
      <c r="B23" s="77" t="s">
        <v>110</v>
      </c>
      <c r="C23" s="79">
        <f>J43</f>
        <v>0.40954306305374094</v>
      </c>
    </row>
    <row r="33" spans="2:15" x14ac:dyDescent="0.25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  <c r="L33">
        <v>9</v>
      </c>
      <c r="M33">
        <v>10</v>
      </c>
      <c r="N33">
        <v>11</v>
      </c>
      <c r="O33">
        <v>12</v>
      </c>
    </row>
    <row r="34" spans="2:15" x14ac:dyDescent="0.25">
      <c r="B34" s="58" t="s">
        <v>26</v>
      </c>
      <c r="C34" s="58" t="s">
        <v>104</v>
      </c>
      <c r="D34" s="58" t="s">
        <v>105</v>
      </c>
      <c r="E34" s="58" t="s">
        <v>106</v>
      </c>
      <c r="F34" s="58" t="s">
        <v>107</v>
      </c>
      <c r="G34" s="58" t="s">
        <v>108</v>
      </c>
      <c r="H34" s="58" t="s">
        <v>12</v>
      </c>
      <c r="I34" s="58" t="s">
        <v>109</v>
      </c>
      <c r="J34" s="58" t="s">
        <v>110</v>
      </c>
      <c r="K34" s="58" t="s">
        <v>13</v>
      </c>
      <c r="L34" s="58" t="s">
        <v>29</v>
      </c>
      <c r="M34" s="58" t="s">
        <v>30</v>
      </c>
      <c r="N34" s="58" t="s">
        <v>31</v>
      </c>
      <c r="O34" s="58" t="s">
        <v>111</v>
      </c>
    </row>
    <row r="35" spans="2:15" x14ac:dyDescent="0.25">
      <c r="B35" t="s">
        <v>32</v>
      </c>
      <c r="C35" s="15">
        <v>1</v>
      </c>
      <c r="D35" s="3">
        <f>SUMIF(Ventas!B2:B184,Dashboard!C35:C39,Ventas!D2:D184)</f>
        <v>159277.59000000003</v>
      </c>
      <c r="E35" s="3">
        <f>SUMIF(Ventas!B2:B184,Dashboard!C35:C39,Ventas!E2:E184)</f>
        <v>138764.61000000002</v>
      </c>
      <c r="F35" s="3">
        <f>SUMIF(Ventas!B2:B184,Dashboard!C35:C39,Ventas!F2:F184)</f>
        <v>15380.620000000003</v>
      </c>
      <c r="G35" s="3">
        <f>SUMIF(Ventas!B2:B184,Dashboard!C35:C39,Ventas!G2:G184)</f>
        <v>5132.3599999999997</v>
      </c>
      <c r="H35" s="3">
        <f>SUMIF(Ventas!B2:B184,Dashboard!C35:C39,Ventas!H2:H184)</f>
        <v>86861.320000000036</v>
      </c>
      <c r="I35" s="56">
        <f>D35-H35</f>
        <v>72416.26999999999</v>
      </c>
      <c r="J35" s="59">
        <f>I35/D35</f>
        <v>0.4546544808971556</v>
      </c>
      <c r="K35" s="15">
        <f>SUMIF(Ventas!B2:B184,Dashboard!C35:C39,Ventas!I2:I184)</f>
        <v>1585</v>
      </c>
      <c r="L35" s="3">
        <f>VLOOKUP(Dashboard!C35,'Ventas x tienda'!A2:F6,4,0)</f>
        <v>45580.68</v>
      </c>
      <c r="M35" s="3">
        <f>VLOOKUP(C35,'Ventas x tienda'!A2:F6,5,0)</f>
        <v>34493.49</v>
      </c>
      <c r="N35" s="3">
        <f>VLOOKUP(C35,'Ventas x tienda'!A2:F6,6,0)</f>
        <v>43116.86</v>
      </c>
      <c r="O35" s="3">
        <f>DSUM('Gastos mensuales'!$A$1:$F$10,Dashboard!$B35,'Gastos mensuales'!$A$1:$A$10)</f>
        <v>28156.440000000002</v>
      </c>
    </row>
    <row r="36" spans="2:15" x14ac:dyDescent="0.25">
      <c r="B36" t="s">
        <v>33</v>
      </c>
      <c r="C36" s="15">
        <v>2</v>
      </c>
      <c r="D36" s="3">
        <f>SUMIF(Ventas!B3:B185,Dashboard!C36:C40,Ventas!D3:D185)</f>
        <v>151460.30000000002</v>
      </c>
      <c r="E36" s="3">
        <f>SUMIF(Ventas!B3:B185,Dashboard!C36:C40,Ventas!E3:E185)</f>
        <v>121277.60999999997</v>
      </c>
      <c r="F36" s="3">
        <f>SUMIF(Ventas!B3:B185,Dashboard!C36:C40,Ventas!F3:F185)</f>
        <v>30182.690000000002</v>
      </c>
      <c r="G36" s="3">
        <f>SUMIF(Ventas!B3:B185,Dashboard!C36:C40,Ventas!G3:G185)</f>
        <v>0</v>
      </c>
      <c r="H36" s="3">
        <f>SUMIF(Ventas!B3:B185,Dashboard!C36:C40,Ventas!H3:H185)</f>
        <v>83207.290000000023</v>
      </c>
      <c r="I36" s="56">
        <f t="shared" ref="I36:I39" si="0">D36-H36</f>
        <v>68253.009999999995</v>
      </c>
      <c r="J36" s="59">
        <f t="shared" ref="J36:J39" si="1">I36/D36</f>
        <v>0.450633004160166</v>
      </c>
      <c r="K36" s="15">
        <f>SUMIF(Ventas!B3:B185,Dashboard!C36:C40,Ventas!I3:I185)</f>
        <v>1346</v>
      </c>
      <c r="L36" s="3">
        <f>VLOOKUP(Dashboard!C36,'Ventas x tienda'!A3:F7,4,0)</f>
        <v>41884.949999999997</v>
      </c>
      <c r="M36" s="3">
        <f>VLOOKUP(C36,'Ventas x tienda'!A3:F7,5,0)</f>
        <v>35725.4</v>
      </c>
      <c r="N36" s="3">
        <f>VLOOKUP(C36,'Ventas x tienda'!A3:F7,6,0)</f>
        <v>33078.1</v>
      </c>
      <c r="O36" s="3">
        <f>DSUM('Gastos mensuales'!$A$1:$F$10,Dashboard!$B36,'Gastos mensuales'!$A$1:$A$10)</f>
        <v>28565.140000000003</v>
      </c>
    </row>
    <row r="37" spans="2:15" x14ac:dyDescent="0.25">
      <c r="B37" t="s">
        <v>34</v>
      </c>
      <c r="C37" s="15">
        <v>3</v>
      </c>
      <c r="D37" s="3">
        <f>SUMIF(Ventas!B4:B186,Dashboard!C37:C41,Ventas!D4:D186)</f>
        <v>140334.59</v>
      </c>
      <c r="E37" s="3">
        <f>SUMIF(Ventas!B4:B186,Dashboard!C37:C41,Ventas!E4:E186)</f>
        <v>119819.94999999998</v>
      </c>
      <c r="F37" s="3">
        <f>SUMIF(Ventas!B4:B186,Dashboard!C37:C41,Ventas!F4:F186)</f>
        <v>20339.64</v>
      </c>
      <c r="G37" s="3">
        <f>SUMIF(Ventas!B4:B186,Dashboard!C37:C41,Ventas!G4:G186)</f>
        <v>175</v>
      </c>
      <c r="H37" s="3">
        <f>SUMIF(Ventas!B4:B186,Dashboard!C37:C41,Ventas!H4:H186)</f>
        <v>66422.169999999984</v>
      </c>
      <c r="I37" s="56">
        <f t="shared" si="0"/>
        <v>73912.420000000013</v>
      </c>
      <c r="J37" s="59">
        <f t="shared" si="1"/>
        <v>0.52668711256433653</v>
      </c>
      <c r="K37" s="15">
        <f>SUMIF(Ventas!B4:B186,Dashboard!C37:C41,Ventas!I4:I186)</f>
        <v>1304</v>
      </c>
      <c r="L37" s="3">
        <f>VLOOKUP(Dashboard!C37,'Ventas x tienda'!A4:F8,4,0)</f>
        <v>44348.77</v>
      </c>
      <c r="M37" s="3">
        <f>VLOOKUP(C37,'Ventas x tienda'!A4:F8,5,0)</f>
        <v>36957.31</v>
      </c>
      <c r="N37" s="3">
        <f>VLOOKUP(C37,'Ventas x tienda'!A4:F8,6,0)</f>
        <v>40121.120000000003</v>
      </c>
      <c r="O37" s="3">
        <f>DSUM('Gastos mensuales'!$A$1:$F$10,Dashboard!$B37,'Gastos mensuales'!$A$1:$A$10)</f>
        <v>33720.93</v>
      </c>
    </row>
    <row r="38" spans="2:15" x14ac:dyDescent="0.25">
      <c r="B38" t="s">
        <v>35</v>
      </c>
      <c r="C38" s="15">
        <v>4</v>
      </c>
      <c r="D38" s="3">
        <f>SUMIF(Ventas!B5:B187,Dashboard!C38:C42,Ventas!D5:D187)</f>
        <v>134942.64000000001</v>
      </c>
      <c r="E38" s="3">
        <f>SUMIF(Ventas!B5:B187,Dashboard!C38:C42,Ventas!E5:E187)</f>
        <v>117844.51000000001</v>
      </c>
      <c r="F38" s="3">
        <f>SUMIF(Ventas!B5:B187,Dashboard!C38:C42,Ventas!F5:F187)</f>
        <v>17098.13</v>
      </c>
      <c r="G38" s="3">
        <f>SUMIF(Ventas!B5:B187,Dashboard!C38:C42,Ventas!G5:G187)</f>
        <v>0</v>
      </c>
      <c r="H38" s="3">
        <f>SUMIF(Ventas!B5:B187,Dashboard!C38:C42,Ventas!H5:H187)</f>
        <v>80419.670000000013</v>
      </c>
      <c r="I38" s="56">
        <f t="shared" si="0"/>
        <v>54522.97</v>
      </c>
      <c r="J38" s="59">
        <f t="shared" si="1"/>
        <v>0.40404552630658475</v>
      </c>
      <c r="K38" s="15">
        <f>SUMIF(Ventas!B5:B187,Dashboard!C38:C42,Ventas!I5:I187)</f>
        <v>1241</v>
      </c>
      <c r="L38" s="3">
        <f>VLOOKUP(Dashboard!C38,'Ventas x tienda'!A5:F9,4,0)</f>
        <v>43116.86</v>
      </c>
      <c r="M38" s="3">
        <f>VLOOKUP(C38,'Ventas x tienda'!A5:F9,5,0)</f>
        <v>36957.31</v>
      </c>
      <c r="N38" s="3">
        <f>VLOOKUP(C38,'Ventas x tienda'!A5:F9,6,0)</f>
        <v>38483.050000000003</v>
      </c>
      <c r="O38" s="3">
        <f>DSUM('Gastos mensuales'!$A$1:$F$10,Dashboard!$B38,'Gastos mensuales'!$A$1:$A$10)</f>
        <v>37694.369999999995</v>
      </c>
    </row>
    <row r="39" spans="2:15" x14ac:dyDescent="0.25">
      <c r="B39" t="s">
        <v>36</v>
      </c>
      <c r="C39" s="15">
        <v>5</v>
      </c>
      <c r="D39" s="3">
        <f>SUMIF(Ventas!B6:B188,Dashboard!C39:C43,Ventas!D6:D188)</f>
        <v>161194.56</v>
      </c>
      <c r="E39" s="3">
        <f>SUMIF(Ventas!B6:B188,Dashboard!C39:C43,Ventas!E6:E188)</f>
        <v>133998.82999999999</v>
      </c>
      <c r="F39" s="3">
        <f>SUMIF(Ventas!B6:B188,Dashboard!C39:C43,Ventas!F6:F188)</f>
        <v>24641.710000000003</v>
      </c>
      <c r="G39" s="3">
        <f>SUMIF(Ventas!B6:B188,Dashboard!C39:C43,Ventas!G6:G188)</f>
        <v>2554.02</v>
      </c>
      <c r="H39" s="3">
        <f>SUMIF(Ventas!B6:B188,Dashboard!C39:C43,Ventas!H6:H188)</f>
        <v>95178.446149999974</v>
      </c>
      <c r="I39" s="56">
        <f t="shared" si="0"/>
        <v>66016.113850000023</v>
      </c>
      <c r="J39" s="59">
        <f t="shared" si="1"/>
        <v>0.40954306305374094</v>
      </c>
      <c r="K39" s="15">
        <f>SUMIF(Ventas!B6:B188,Dashboard!C39:C43,Ventas!I6:I188)</f>
        <v>1397</v>
      </c>
      <c r="L39" s="3">
        <f>VLOOKUP(Dashboard!C39,'Ventas x tienda'!A6:F10,4,0)</f>
        <v>43116.86</v>
      </c>
      <c r="M39" s="3">
        <f>VLOOKUP(C39,'Ventas x tienda'!A6:F10,5,0)</f>
        <v>34493.49</v>
      </c>
      <c r="N39" s="3">
        <f>VLOOKUP(C39,'Ventas x tienda'!A6:F10,6,0)</f>
        <v>48092.27</v>
      </c>
      <c r="O39" s="3">
        <f>DSUM('Gastos mensuales'!$A$1:$F$10,Dashboard!$B39,'Gastos mensuales'!$A$1:$A$10)</f>
        <v>36175.910000000003</v>
      </c>
    </row>
    <row r="40" spans="2:15" x14ac:dyDescent="0.25">
      <c r="B40" s="60" t="s">
        <v>28</v>
      </c>
      <c r="C40" s="60"/>
      <c r="D40" s="61">
        <f t="shared" ref="D40:I40" si="2">SUM(D35:D39)</f>
        <v>747209.67999999993</v>
      </c>
      <c r="E40" s="61">
        <f t="shared" si="2"/>
        <v>631705.50999999989</v>
      </c>
      <c r="F40" s="61">
        <f t="shared" si="2"/>
        <v>107642.79000000002</v>
      </c>
      <c r="G40" s="61">
        <f t="shared" si="2"/>
        <v>7861.3799999999992</v>
      </c>
      <c r="H40" s="61">
        <f t="shared" si="2"/>
        <v>412088.89615000004</v>
      </c>
      <c r="I40" s="61">
        <f t="shared" si="2"/>
        <v>335120.78385000001</v>
      </c>
      <c r="J40" s="62">
        <f>I40/D40</f>
        <v>0.44849630942950314</v>
      </c>
      <c r="K40" s="63">
        <f>SUM(K35:K39)</f>
        <v>6873</v>
      </c>
      <c r="L40" s="61">
        <f>SUM(L35:L39)</f>
        <v>218048.12</v>
      </c>
      <c r="M40" s="61">
        <f>SUM(M35:M39)</f>
        <v>178627</v>
      </c>
      <c r="N40" s="61">
        <f>SUM(N35:N39)</f>
        <v>202891.4</v>
      </c>
      <c r="O40" s="61">
        <f>SUM(O35:O39)</f>
        <v>164312.79</v>
      </c>
    </row>
    <row r="43" spans="2:15" x14ac:dyDescent="0.25">
      <c r="B43" s="64" t="str">
        <f>C18</f>
        <v>Mayo</v>
      </c>
      <c r="C43" s="64">
        <f>VLOOKUP(B43,B35:C39,2,0)</f>
        <v>5</v>
      </c>
      <c r="D43" s="65">
        <f>INDEX(D35:$O$39,C43,D33)</f>
        <v>161194.56</v>
      </c>
      <c r="E43" s="65">
        <f>INDEX(datos_p,C43,2)</f>
        <v>133998.82999999999</v>
      </c>
      <c r="F43" s="65">
        <f>INDEX(datos_p,C43,3)</f>
        <v>24641.710000000003</v>
      </c>
      <c r="G43" s="65">
        <f>INDEX(datos_p,C43,4)</f>
        <v>2554.02</v>
      </c>
      <c r="H43" s="65">
        <f>INDEX(datos_p,C43,5)</f>
        <v>95178.446149999974</v>
      </c>
      <c r="I43" s="65">
        <f>INDEX(datos_p,C43,6)</f>
        <v>66016.113850000023</v>
      </c>
      <c r="J43" s="66">
        <f>INDEX(datos_p,C43,7)</f>
        <v>0.40954306305374094</v>
      </c>
      <c r="K43" s="64">
        <f>INDEX(datos_p,C43,8)</f>
        <v>1397</v>
      </c>
      <c r="L43" s="65">
        <f>INDEX(datos_p,C43,9)</f>
        <v>43116.86</v>
      </c>
      <c r="M43" s="65">
        <f>INDEX(datos_p,C43,M33)</f>
        <v>34493.49</v>
      </c>
      <c r="N43" s="65">
        <f>INDEX(datos_p,C43,N33)</f>
        <v>48092.27</v>
      </c>
      <c r="O43" s="65">
        <f>INDEX(datos_p,C43,O33)</f>
        <v>36175.910000000003</v>
      </c>
    </row>
  </sheetData>
  <dataValidations count="1">
    <dataValidation type="list" allowBlank="1" showInputMessage="1" showErrorMessage="1" sqref="C18" xr:uid="{A5D26690-5C56-468A-A966-543703743E9C}">
      <formula1>$B$35:$B$39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72" t="s">
        <v>49</v>
      </c>
      <c r="L1" s="72"/>
      <c r="M1" s="72"/>
      <c r="N1" s="72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73" t="s">
        <v>50</v>
      </c>
      <c r="D9" s="73"/>
      <c r="E9" s="73"/>
      <c r="F9" s="73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74" t="s">
        <v>57</v>
      </c>
      <c r="J1" s="74"/>
      <c r="K1" s="74"/>
      <c r="M1" s="75" t="s">
        <v>60</v>
      </c>
      <c r="N1" s="75"/>
      <c r="P1" s="76" t="s">
        <v>62</v>
      </c>
      <c r="Q1" s="76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  <vt:lpstr>datos_p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2023-08-11T11:44:24Z</dcterms:modified>
</cp:coreProperties>
</file>