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4A6831E7-8B58-43AC-BA78-76C696DBE943}" xr6:coauthVersionLast="47" xr6:coauthVersionMax="47" xr10:uidLastSave="{00000000-0000-0000-0000-000000000000}"/>
  <bookViews>
    <workbookView xWindow="-120" yWindow="-120" windowWidth="20730" windowHeight="11160" firstSheet="1" activeTab="1" xr2:uid="{B4E16050-6D6A-49A1-83DA-C4CBD7B8666B}"/>
  </bookViews>
  <sheets>
    <sheet name="Ventas" sheetId="3" r:id="rId1"/>
    <sheet name="Dashboard" sheetId="12" r:id="rId2"/>
    <sheet name="Tabla Dinamica" sheetId="11" r:id="rId3"/>
    <sheet name="Ventas x vendedor" sheetId="5" r:id="rId4"/>
    <sheet name="Ventas x tienda" sheetId="6" r:id="rId5"/>
    <sheet name="TD Gastos mensuales" sheetId="9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0" hidden="1">Ventas!$A$1:$I$184</definedName>
    <definedName name="datos_p">Dashboard!$D$42:$O$46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2" l="1"/>
  <c r="C49" i="12" l="1"/>
  <c r="O43" i="12"/>
  <c r="O44" i="12"/>
  <c r="O45" i="12"/>
  <c r="O46" i="12"/>
  <c r="O42" i="12"/>
  <c r="N43" i="12"/>
  <c r="N44" i="12"/>
  <c r="N45" i="12"/>
  <c r="N46" i="12"/>
  <c r="N42" i="12"/>
  <c r="M43" i="12"/>
  <c r="M44" i="12"/>
  <c r="M45" i="12"/>
  <c r="M46" i="12"/>
  <c r="M42" i="12"/>
  <c r="M47" i="12" s="1"/>
  <c r="L43" i="12"/>
  <c r="L44" i="12"/>
  <c r="L45" i="12"/>
  <c r="L46" i="12"/>
  <c r="L42" i="12"/>
  <c r="K43" i="12"/>
  <c r="K44" i="12"/>
  <c r="K45" i="12"/>
  <c r="K46" i="12"/>
  <c r="K42" i="12"/>
  <c r="H43" i="12"/>
  <c r="H44" i="12"/>
  <c r="H45" i="12"/>
  <c r="H46" i="12"/>
  <c r="H42" i="12"/>
  <c r="G43" i="12"/>
  <c r="G44" i="12"/>
  <c r="G45" i="12"/>
  <c r="G46" i="12"/>
  <c r="G42" i="12"/>
  <c r="F43" i="12"/>
  <c r="F44" i="12"/>
  <c r="F45" i="12"/>
  <c r="F46" i="12"/>
  <c r="F42" i="12"/>
  <c r="E43" i="12"/>
  <c r="E44" i="12"/>
  <c r="E45" i="12"/>
  <c r="E46" i="12"/>
  <c r="E42" i="12"/>
  <c r="D43" i="12"/>
  <c r="I43" i="12" s="1"/>
  <c r="J43" i="12" s="1"/>
  <c r="D44" i="12"/>
  <c r="I44" i="12" s="1"/>
  <c r="J44" i="12" s="1"/>
  <c r="D45" i="12"/>
  <c r="I45" i="12" s="1"/>
  <c r="J45" i="12" s="1"/>
  <c r="D46" i="12"/>
  <c r="I46" i="12" s="1"/>
  <c r="J46" i="12" s="1"/>
  <c r="D42" i="12"/>
  <c r="I42" i="12" s="1"/>
  <c r="J42" i="12" s="1"/>
  <c r="N47" i="12" l="1"/>
  <c r="H47" i="12"/>
  <c r="L47" i="12"/>
  <c r="E47" i="12"/>
  <c r="F47" i="12"/>
  <c r="D47" i="12"/>
  <c r="C5" i="12" s="1"/>
  <c r="G47" i="12"/>
  <c r="K47" i="12"/>
  <c r="I47" i="12"/>
  <c r="O47" i="12"/>
  <c r="L5" i="12" s="1"/>
  <c r="O49" i="12"/>
  <c r="C25" i="12" s="1"/>
  <c r="D49" i="12"/>
  <c r="C22" i="12" s="1"/>
  <c r="H49" i="12"/>
  <c r="C24" i="12" s="1"/>
  <c r="L49" i="12"/>
  <c r="E49" i="12"/>
  <c r="I49" i="12"/>
  <c r="C23" i="12" s="1"/>
  <c r="M49" i="12"/>
  <c r="F49" i="12"/>
  <c r="J49" i="12"/>
  <c r="C26" i="12" s="1"/>
  <c r="N49" i="12"/>
  <c r="G49" i="12"/>
  <c r="K49" i="12"/>
  <c r="J47" i="12" l="1"/>
  <c r="H5" i="12" s="1"/>
  <c r="C7" i="8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<sst xmlns="http://schemas.openxmlformats.org/spreadsheetml/2006/main" count="177" uniqueCount="116">
  <si>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</si>
  <si>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</si>
  <si>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</si>
  <si>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</si>
  <si>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</si>
  <si>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</si>
  <si>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</si>
  <si>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</si>
  <si>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</si>
  <si>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</si>
  <si>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</si>
  <si>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</si>
  <si>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</si>
  <si>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</si>
  <si>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</si>
  <si>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</si>
  <si>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</si>
  <si>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</si>
  <si>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</si>
  <si>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</si>
  <si>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</si>
  <si>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</si>
  <si>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</si>
  <si>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</si>
  <si>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</si>
  <si>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</si>
  <si>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</si>
  <si>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</si>
  <si>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</si>
  <si>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</si>
  <si>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</si>
  <si>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</si>
  <si>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</si>
  <si>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</si>
  <si>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</si>
  <si>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</si>
  <si>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</si>
  <si>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</si>
  <si>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</si>
  <si>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</si>
  <si>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</si>
  <si>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</si>
  <si>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</si>
  <si>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</si>
  <si>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</si>
  <si>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</si>
  <si>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</si>
  <si>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</si>
  <si>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</si>
  <si>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</si>
  <si>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</si>
  <si>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</si>
  <si>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</si>
  <si>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</si>
  <si>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</si>
  <si>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</si>
  <si>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</si>
  <si>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</si>
  <si>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</si>
  <si>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</si>
  <si>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</si>
  <si>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</si>
  <si>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</si>
  <si>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</si>
  <si>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</si>
  <si>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</si>
  <si>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</si>
  <si>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</si>
  <si>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</si>
  <si>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</si>
  <si>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</si>
  <si>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</si>
  <si>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</si>
  <si>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</si>
  <si>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</si>
  <si>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</si>
  <si>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</si>
  <si>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</si>
  <si>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</si>
  <si>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</si>
  <si>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</si>
  <si>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</si>
  <si>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</si>
  <si>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</si>
  <si>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</si>
  <si>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</si>
  <si>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</si>
  <si>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</si>
  <si>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</si>
  <si>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</si>
  <si>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</si>
  <si>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</si>
  <si>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</si>
  <si>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</si>
  <si>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</si>
  <si>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</si>
  <si>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</si>
  <si>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</si>
  <si>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</si>
  <si>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</si>
  <si>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</si>
  <si>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</si>
  <si>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</si>
  <si>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</si>
  <si>
    <t>Numero mes</t>
  </si>
  <si>
    <t>Ventas Totales</t>
  </si>
  <si>
    <t>Ventas Efectivo</t>
  </si>
  <si>
    <t>Ventas Tarjeta</t>
  </si>
  <si>
    <t>Ventas Transferencia</t>
  </si>
  <si>
    <t>COGS</t>
  </si>
  <si>
    <t>% Utilidad</t>
  </si>
  <si>
    <t>Gastos</t>
  </si>
  <si>
    <t>Resumen Ventas del Año</t>
  </si>
  <si>
    <t>% Utilidad Total</t>
  </si>
  <si>
    <t>Resumen Ventas Mensuales</t>
  </si>
  <si>
    <t>Ventas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</si>
</sst>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 Black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  <xf numFmtId="0" fontId="11" fillId="14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10" fillId="0" borderId="2" xfId="0" applyFont="1" applyBorder="1"/>
    <xf numFmtId="164" fontId="10" fillId="0" borderId="2" xfId="0" applyNumberFormat="1" applyFont="1" applyBorder="1"/>
    <xf numFmtId="9" fontId="10" fillId="0" borderId="2" xfId="3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15" borderId="0" xfId="0" applyFont="1" applyFill="1"/>
    <xf numFmtId="164" fontId="11" fillId="15" borderId="0" xfId="2" applyNumberFormat="1" applyFont="1" applyFill="1"/>
    <xf numFmtId="9" fontId="11" fillId="15" borderId="0" xfId="3" applyFont="1" applyFill="1"/>
    <xf numFmtId="9" fontId="0" fillId="0" borderId="0" xfId="0" applyNumberFormat="1"/>
    <xf numFmtId="0" fontId="0" fillId="12" borderId="0" xfId="0" applyFill="1"/>
    <xf numFmtId="0" fontId="12" fillId="12" borderId="0" xfId="0" applyFont="1" applyFill="1"/>
    <xf numFmtId="0" fontId="9" fillId="12" borderId="0" xfId="0" applyFont="1" applyFill="1"/>
    <xf numFmtId="0" fontId="13" fillId="12" borderId="0" xfId="0" applyFont="1" applyFill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3" fillId="12" borderId="0" xfId="0" applyFont="1" applyFill="1" applyAlignment="1">
      <alignment horizontal="right"/>
    </xf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Fill="1"/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colors>
    <mruColors>
      <color rgb="FFD37A03"/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Dashboard!$B$42:$B$46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Dashboard!$D$42:$D$46</c:f>
              <c:numCache>
                <c:formatCode>_-"$"\ * #,##0_-;\-"$"\ * #,##0_-;_-"$"\ * "-"??_-;_-@_-</c:formatCode>
                <c:ptCount val="5"/>
                <c:pt idx="0">
                  <c:v>159277.59000000003</c:v>
                </c:pt>
                <c:pt idx="1">
                  <c:v>151460.30000000002</c:v>
                </c:pt>
                <c:pt idx="2">
                  <c:v>140334.59</c:v>
                </c:pt>
                <c:pt idx="3">
                  <c:v>134942.64000000001</c:v>
                </c:pt>
                <c:pt idx="4">
                  <c:v>161194.56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665-A13F-C11637744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267472"/>
        <c:axId val="18480672"/>
      </c:barChart>
      <c:catAx>
        <c:axId val="138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37A03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0672"/>
        <c:crosses val="autoZero"/>
        <c:auto val="1"/>
        <c:lblAlgn val="ctr"/>
        <c:lblOffset val="100"/>
        <c:noMultiLvlLbl val="0"/>
      </c:catAx>
      <c:valAx>
        <c:axId val="18480672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382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Dashboard!$B$42:$B$46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Dashboard!$J$42:$J$46</c:f>
              <c:numCache>
                <c:formatCode>0%</c:formatCode>
                <c:ptCount val="5"/>
                <c:pt idx="0">
                  <c:v>0.4546544808971556</c:v>
                </c:pt>
                <c:pt idx="1">
                  <c:v>0.450633004160166</c:v>
                </c:pt>
                <c:pt idx="2">
                  <c:v>0.52668711256433653</c:v>
                </c:pt>
                <c:pt idx="3">
                  <c:v>0.40404552630658475</c:v>
                </c:pt>
                <c:pt idx="4">
                  <c:v>0.40954306305374094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0-45F2-8D9C-749BB43AB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102976"/>
        <c:axId val="138815440"/>
      </c:barChart>
      <c:catAx>
        <c:axId val="130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37A03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15440"/>
        <c:crosses val="autoZero"/>
        <c:auto val="1"/>
        <c:lblAlgn val="ctr"/>
        <c:lblOffset val="100"/>
        <c:noMultiLvlLbl val="0"/>
      </c:catAx>
      <c:valAx>
        <c:axId val="1388154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83870967741936E-2"/>
          <c:y val="6.741573033707865E-2"/>
          <c:w val="0.92903225806451617"/>
          <c:h val="0.807874900468902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Dashboard!$B$42:$B$46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Dashboard!$O$42:$O$46</c:f>
              <c:numCache>
                <c:formatCode>_-"$"\ * #,##0_-;\-"$"\ * #,##0_-;_-"$"\ * "-"??_-;_-@_-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4-4202-AA09-2F7CEA5748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169776"/>
        <c:axId val="138802480"/>
      </c:lineChart>
      <c:catAx>
        <c:axId val="1861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37A03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02480"/>
        <c:crosses val="autoZero"/>
        <c:auto val="1"/>
        <c:lblAlgn val="ctr"/>
        <c:lblOffset val="100"/>
        <c:noMultiLvlLbl val="0"/>
      </c:catAx>
      <c:valAx>
        <c:axId val="138802480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861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Dashboard!$B$22:$B$25</c:f>
              <c:strCache>
                <c:ptCount val="4"/>
                <c:pt idx="0">
                  <c:v>Ventas Mensuales</c:v>
                </c:pt>
                <c:pt idx="1">
                  <c:v>COGS</c:v>
                </c:pt>
                <c:pt idx="2">
                  <c:v>Utilidad</c:v>
                </c:pt>
                <c:pt idx="3">
                  <c:v>Gastos</c:v>
                </c:pt>
              </c:strCache>
            </c:strRef>
          </c:cat>
          <c:val>
            <c:numRef>
              <c:f>Dashboard!$C$22:$C$25</c:f>
              <c:numCache>
                <c:formatCode>_-"$"\ * #,##0_-;\-"$"\ * #,##0_-;_-"$"\ * "-"??_-;_-@_-</c:formatCode>
                <c:ptCount val="4"/>
                <c:pt idx="0">
                  <c:v>161194.56</c:v>
                </c:pt>
                <c:pt idx="1">
                  <c:v>66016.113850000023</c:v>
                </c:pt>
                <c:pt idx="2">
                  <c:v>95178.446149999974</c:v>
                </c:pt>
                <c:pt idx="3">
                  <c:v>36175.910000000003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4-41FC-8B80-6BCD5410B4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2612031"/>
        <c:axId val="1864248895"/>
      </c:barChart>
      <c:catAx>
        <c:axId val="17426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248895"/>
        <c:crosses val="autoZero"/>
        <c:auto val="1"/>
        <c:lblAlgn val="ctr"/>
        <c:lblOffset val="100"/>
        <c:noMultiLvlLbl val="0"/>
      </c:catAx>
      <c:valAx>
        <c:axId val="1864248895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7426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4998646918544E-2"/>
          <c:y val="0.13774609398703122"/>
          <c:w val="0.53170641324808476"/>
          <c:h val="0.74576631507144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02-478F-9C9D-9745D018AE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02-478F-9C9D-9745D018A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02-478F-9C9D-9745D018A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Dashboard!$E$41:$G$41</c:f>
              <c:strCache>
                <c:ptCount val="3"/>
                <c:pt idx="0">
                  <c:v>Ventas Efectivo</c:v>
                </c:pt>
                <c:pt idx="1">
                  <c:v>Ventas Tarjeta</c:v>
                </c:pt>
                <c:pt idx="2">
                  <c:v>Ventas Transferencia</c:v>
                </c:pt>
              </c:strCache>
            </c:strRef>
          </c:cat>
          <c:val>
            <c:numRef>
              <c:f>Dashboard!$E$49:$G$49</c:f>
              <c:numCache>
                <c:formatCode>_-"$"\ * #,##0_-;\-"$"\ * #,##0_-;_-"$"\ * "-"??_-;_-@_-</c:formatCode>
                <c:ptCount val="3"/>
                <c:pt idx="0">
                  <c:v>133998.82999999999</c:v>
                </c:pt>
                <c:pt idx="1">
                  <c:v>24641.710000000003</c:v>
                </c:pt>
                <c:pt idx="2">
                  <c:v>2554.02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78F-9C9D-9745D018AE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Dashboard!$L$41:$N$41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f>Dashboard!$L$49:$N$49</c:f>
              <c:numCache>
                <c:formatCode>_-"$"\ * #,##0_-;\-"$"\ * #,##0_-;_-"$"\ * "-"??_-;_-@_-</c:formatCode>
                <c:ptCount val="3"/>
                <c:pt idx="0">
                  <c:v>43116.86</c:v>
                </c:pt>
                <c:pt idx="1">
                  <c:v>34493.49</c:v>
                </c:pt>
                <c:pt idx="2">
                  <c:v>48092.27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FD0-9249-BFE4C8C39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55555247"/>
        <c:axId val="1861432335"/>
      </c:barChart>
      <c:catAx>
        <c:axId val="19555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32335"/>
        <c:crosses val="autoZero"/>
        <c:auto val="1"/>
        <c:lblAlgn val="ctr"/>
        <c:lblOffset val="100"/>
        <c:noMultiLvlLbl val="0"/>
      </c:catAx>
      <c:valAx>
        <c:axId val="1861432335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9555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[ventas_original.xlsx]Tabla Dinamica!TablaDinámica5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Dinamica'!$B$3:$B$7</c:f>
              <c:numCache>
                <c:formatCode>"$"\ #,##0.00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Dinamica'!$C$3:$C$7</c:f>
              <c:numCache>
                <c:formatCode>"$"\ #,##0.00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C-4AAD-97BF-434A99459BC3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Dinamica'!$D$3:$D$7</c:f>
              <c:numCache>
                <c:formatCode>"$"\ #,##0.00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C-4AAD-97BF-434A99459BC3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Dinamica'!$E$3:$E$7</c:f>
              <c:numCache>
                <c:formatCode>"$"\ #,##0.00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C-4AAD-97BF-434A99459BC3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Dinamica'!$F$3:$F$7</c:f>
              <c:numCache>
                <c:formatCode>"$"\ #,##0.00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C-4AAD-97BF-434A9945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5</xdr:row>
      <xdr:rowOff>4233</xdr:rowOff>
    </xdr:from>
    <xdr:to>
      <xdr:col>5</xdr:col>
      <xdr:colOff>984250</xdr:colOff>
      <xdr:row>16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010A9-9E8D-DBF2-A06A-493C5A27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1010708</xdr:colOff>
      <xdr:row>5</xdr:row>
      <xdr:rowOff>4233</xdr:rowOff>
    </xdr:from>
    <xdr:to>
      <xdr:col>9</xdr:col>
      <xdr:colOff>751417</xdr:colOff>
      <xdr:row>16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235AA2-0058-94D9-04CB-543425ED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</xdr:colOff>
      <xdr:row>5</xdr:row>
      <xdr:rowOff>4233</xdr:rowOff>
    </xdr:from>
    <xdr:to>
      <xdr:col>15</xdr:col>
      <xdr:colOff>11906</xdr:colOff>
      <xdr:row>16</xdr:row>
      <xdr:rowOff>169333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B22A9F-066A-4AF3-8B1E-988F23815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125015</xdr:colOff>
      <xdr:row>18</xdr:row>
      <xdr:rowOff>15479</xdr:rowOff>
    </xdr:from>
    <xdr:to>
      <xdr:col>6</xdr:col>
      <xdr:colOff>738187</xdr:colOff>
      <xdr:row>30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D61490-BBBA-546C-5794-EA41F953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745464</xdr:colOff>
      <xdr:row>18</xdr:row>
      <xdr:rowOff>15478</xdr:rowOff>
    </xdr:from>
    <xdr:to>
      <xdr:col>10</xdr:col>
      <xdr:colOff>120385</xdr:colOff>
      <xdr:row>30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F5C4D9-74C2-5AB3-4F5E-972EFF47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130307</xdr:colOff>
      <xdr:row>18</xdr:row>
      <xdr:rowOff>7541</xdr:rowOff>
    </xdr:from>
    <xdr:to>
      <xdr:col>14</xdr:col>
      <xdr:colOff>731573</xdr:colOff>
      <xdr:row>30</xdr:row>
      <xdr:rowOff>56885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8C6024-EB59-0481-1997-09BC23D4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)" databaseField="0"/>
    <cacheField name="Total por Concepto" numFmtId="0" formula="Enero+Febrero+Marzo+Abril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 numFmtId="166"/>
    <dataField name="ventas febrero" fld="4" baseField="2" baseItem="0" numFmtId="166"/>
    <dataField name="ventas marzo" fld="5" baseField="2" baseItem="0" numFmtId="166"/>
    <dataField name="ventas abril" fld="6" baseField="2" baseItem="0" numFmtId="166"/>
    <dataField name="ventas mayo" fld="7" baseField="2" baseItem="0" numFmtId="166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A163" workbookViewId="0">
      <selection activeCell="J7" sqref="J7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75" t="s">
        <v>69</v>
      </c>
      <c r="L13" s="75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B40-7C31-412A-964F-737CBFAC57B6}">
  <dimension ref="A1:O49"/>
  <sheetViews>
    <sheetView showGridLines="0" showRowColHeaders="0" tabSelected="1" topLeftCell="B4" zoomScale="90" zoomScaleNormal="90" workbookViewId="0">
      <selection activeCell="A24" sqref="A24"/>
    </sheetView>
  </sheetViews>
  <sheetFormatPr baseColWidth="10" defaultRowHeight="15" x14ac:dyDescent="0.25"/>
  <cols>
    <col min="1" max="1" width="7.28515625" customWidth="1"/>
    <col min="2" max="2" width="19.85546875" customWidth="1"/>
    <col min="3" max="3" width="13.5703125" customWidth="1"/>
    <col min="4" max="4" width="15.85546875" customWidth="1"/>
    <col min="5" max="5" width="17" bestFit="1" customWidth="1"/>
    <col min="6" max="6" width="15.7109375" bestFit="1" customWidth="1"/>
    <col min="7" max="7" width="22.85546875" bestFit="1" customWidth="1"/>
    <col min="8" max="9" width="12.7109375" bestFit="1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4.28515625" customWidth="1"/>
  </cols>
  <sheetData>
    <row r="1" spans="1:15" x14ac:dyDescent="0.25">
      <c r="A1" s="81"/>
    </row>
    <row r="4" spans="1:15" ht="18.75" x14ac:dyDescent="0.4">
      <c r="B4" s="69" t="s">
        <v>112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 x14ac:dyDescent="0.25">
      <c r="B5" s="70" t="s">
        <v>105</v>
      </c>
      <c r="C5" s="56">
        <f>D47</f>
        <v>747209.67999999993</v>
      </c>
      <c r="D5" s="56"/>
      <c r="G5" s="70" t="s">
        <v>113</v>
      </c>
      <c r="H5" s="67">
        <f>J47</f>
        <v>0.44849630942950314</v>
      </c>
      <c r="K5" s="70" t="s">
        <v>111</v>
      </c>
      <c r="L5" s="56">
        <f>O47</f>
        <v>164312.79</v>
      </c>
    </row>
    <row r="15" spans="1:15" x14ac:dyDescent="0.25">
      <c r="A15" s="81"/>
    </row>
    <row r="18" spans="2:15" ht="18.75" x14ac:dyDescent="0.4">
      <c r="B18" s="69" t="s">
        <v>114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</row>
    <row r="21" spans="2:15" ht="15.75" x14ac:dyDescent="0.25">
      <c r="B21" s="71" t="s">
        <v>26</v>
      </c>
      <c r="C21" s="74" t="s">
        <v>36</v>
      </c>
    </row>
    <row r="22" spans="2:15" ht="15.75" x14ac:dyDescent="0.25">
      <c r="B22" s="71" t="s">
        <v>115</v>
      </c>
      <c r="C22" s="72">
        <f>D49</f>
        <v>161194.56</v>
      </c>
    </row>
    <row r="23" spans="2:15" ht="15.75" x14ac:dyDescent="0.25">
      <c r="B23" s="71" t="s">
        <v>109</v>
      </c>
      <c r="C23" s="72">
        <f>I49</f>
        <v>66016.113850000023</v>
      </c>
    </row>
    <row r="24" spans="2:15" ht="15.75" x14ac:dyDescent="0.25">
      <c r="B24" s="71" t="s">
        <v>12</v>
      </c>
      <c r="C24" s="72">
        <f>H49</f>
        <v>95178.446149999974</v>
      </c>
    </row>
    <row r="25" spans="2:15" ht="15.75" x14ac:dyDescent="0.25">
      <c r="B25" s="71" t="s">
        <v>111</v>
      </c>
      <c r="C25" s="72">
        <f>O49</f>
        <v>36175.910000000003</v>
      </c>
    </row>
    <row r="26" spans="2:15" ht="15.75" x14ac:dyDescent="0.25">
      <c r="B26" s="71" t="s">
        <v>110</v>
      </c>
      <c r="C26" s="73">
        <f>J49</f>
        <v>0.40954306305374094</v>
      </c>
    </row>
    <row r="40" spans="2:15" x14ac:dyDescent="0.25"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</row>
    <row r="41" spans="2:15" x14ac:dyDescent="0.25">
      <c r="B41" s="58" t="s">
        <v>26</v>
      </c>
      <c r="C41" s="58" t="s">
        <v>104</v>
      </c>
      <c r="D41" s="58" t="s">
        <v>105</v>
      </c>
      <c r="E41" s="58" t="s">
        <v>106</v>
      </c>
      <c r="F41" s="58" t="s">
        <v>107</v>
      </c>
      <c r="G41" s="58" t="s">
        <v>108</v>
      </c>
      <c r="H41" s="58" t="s">
        <v>12</v>
      </c>
      <c r="I41" s="58" t="s">
        <v>109</v>
      </c>
      <c r="J41" s="58" t="s">
        <v>110</v>
      </c>
      <c r="K41" s="58" t="s">
        <v>13</v>
      </c>
      <c r="L41" s="58" t="s">
        <v>29</v>
      </c>
      <c r="M41" s="58" t="s">
        <v>30</v>
      </c>
      <c r="N41" s="58" t="s">
        <v>31</v>
      </c>
      <c r="O41" s="58" t="s">
        <v>111</v>
      </c>
    </row>
    <row r="42" spans="2:15" x14ac:dyDescent="0.25">
      <c r="B42" t="s">
        <v>32</v>
      </c>
      <c r="C42" s="15">
        <v>1</v>
      </c>
      <c r="D42" s="3">
        <f>SUMIF(Ventas!B2:B184,Dashboard!C42:C46,Ventas!D2:D184)</f>
        <v>159277.59000000003</v>
      </c>
      <c r="E42" s="3">
        <f>SUMIF(Ventas!B2:B184,Dashboard!C42:C46,Ventas!E2:E184)</f>
        <v>138764.61000000002</v>
      </c>
      <c r="F42" s="3">
        <f>SUMIF(Ventas!B2:B184,Dashboard!C42:C46,Ventas!F2:F184)</f>
        <v>15380.620000000003</v>
      </c>
      <c r="G42" s="3">
        <f>SUMIF(Ventas!B2:B184,Dashboard!C42:C46,Ventas!G2:G184)</f>
        <v>5132.3599999999997</v>
      </c>
      <c r="H42" s="3">
        <f>SUMIF(Ventas!B2:B184,Dashboard!C42:C46,Ventas!H2:H184)</f>
        <v>86861.320000000036</v>
      </c>
      <c r="I42" s="56">
        <f>D42-H42</f>
        <v>72416.26999999999</v>
      </c>
      <c r="J42" s="59">
        <f>I42/D42</f>
        <v>0.4546544808971556</v>
      </c>
      <c r="K42" s="15">
        <f>SUMIF(Ventas!B2:B184,Dashboard!C42:C46,Ventas!I2:I184)</f>
        <v>1585</v>
      </c>
      <c r="L42" s="3">
        <f>VLOOKUP(Dashboard!C42,'Ventas x tienda'!A2:F6,4,0)</f>
        <v>45580.68</v>
      </c>
      <c r="M42" s="3">
        <f>VLOOKUP(C42,'Ventas x tienda'!A2:F6,5,0)</f>
        <v>34493.49</v>
      </c>
      <c r="N42" s="3">
        <f>VLOOKUP(C42,'Ventas x tienda'!A2:F6,6,0)</f>
        <v>43116.86</v>
      </c>
      <c r="O42" s="3">
        <f>DSUM('Gastos mensuales'!$A$1:$F$10,Dashboard!$B42,'Gastos mensuales'!$A$1:$A$10)</f>
        <v>28156.440000000002</v>
      </c>
    </row>
    <row r="43" spans="2:15" x14ac:dyDescent="0.25">
      <c r="B43" t="s">
        <v>33</v>
      </c>
      <c r="C43" s="15">
        <v>2</v>
      </c>
      <c r="D43" s="3">
        <f>SUMIF(Ventas!B3:B185,Dashboard!C43:C47,Ventas!D3:D185)</f>
        <v>151460.30000000002</v>
      </c>
      <c r="E43" s="3">
        <f>SUMIF(Ventas!B3:B185,Dashboard!C43:C47,Ventas!E3:E185)</f>
        <v>121277.60999999997</v>
      </c>
      <c r="F43" s="3">
        <f>SUMIF(Ventas!B3:B185,Dashboard!C43:C47,Ventas!F3:F185)</f>
        <v>30182.690000000002</v>
      </c>
      <c r="G43" s="3">
        <f>SUMIF(Ventas!B3:B185,Dashboard!C43:C47,Ventas!G3:G185)</f>
        <v>0</v>
      </c>
      <c r="H43" s="3">
        <f>SUMIF(Ventas!B3:B185,Dashboard!C43:C47,Ventas!H3:H185)</f>
        <v>83207.290000000023</v>
      </c>
      <c r="I43" s="56">
        <f t="shared" ref="I43:I46" si="0">D43-H43</f>
        <v>68253.009999999995</v>
      </c>
      <c r="J43" s="59">
        <f t="shared" ref="J43:J46" si="1">I43/D43</f>
        <v>0.450633004160166</v>
      </c>
      <c r="K43" s="15">
        <f>SUMIF(Ventas!B3:B185,Dashboard!C43:C47,Ventas!I3:I185)</f>
        <v>1346</v>
      </c>
      <c r="L43" s="3">
        <f>VLOOKUP(Dashboard!C43,'Ventas x tienda'!A3:F7,4,0)</f>
        <v>41884.949999999997</v>
      </c>
      <c r="M43" s="3">
        <f>VLOOKUP(C43,'Ventas x tienda'!A3:F7,5,0)</f>
        <v>35725.4</v>
      </c>
      <c r="N43" s="3">
        <f>VLOOKUP(C43,'Ventas x tienda'!A3:F7,6,0)</f>
        <v>33078.1</v>
      </c>
      <c r="O43" s="3">
        <f>DSUM('Gastos mensuales'!$A$1:$F$10,Dashboard!$B43,'Gastos mensuales'!$A$1:$A$10)</f>
        <v>28565.140000000003</v>
      </c>
    </row>
    <row r="44" spans="2:15" x14ac:dyDescent="0.25">
      <c r="B44" t="s">
        <v>34</v>
      </c>
      <c r="C44" s="15">
        <v>3</v>
      </c>
      <c r="D44" s="3">
        <f>SUMIF(Ventas!B4:B186,Dashboard!C41:C47,Ventas!D4:D186)</f>
        <v>140334.59</v>
      </c>
      <c r="E44" s="3">
        <f>SUMIF(Ventas!B4:B186,Dashboard!C41:C47,Ventas!E4:E186)</f>
        <v>119819.94999999998</v>
      </c>
      <c r="F44" s="3">
        <f>SUMIF(Ventas!B4:B186,Dashboard!C41:C47,Ventas!F4:F186)</f>
        <v>20339.64</v>
      </c>
      <c r="G44" s="3">
        <f>SUMIF(Ventas!B4:B186,Dashboard!C41:C47,Ventas!G4:G186)</f>
        <v>175</v>
      </c>
      <c r="H44" s="3">
        <f>SUMIF(Ventas!B4:B186,Dashboard!C41:C47,Ventas!H4:H186)</f>
        <v>66422.169999999984</v>
      </c>
      <c r="I44" s="56">
        <f t="shared" si="0"/>
        <v>73912.420000000013</v>
      </c>
      <c r="J44" s="59">
        <f t="shared" si="1"/>
        <v>0.52668711256433653</v>
      </c>
      <c r="K44" s="15">
        <f>SUMIF(Ventas!B4:B186,Dashboard!C41:C47,Ventas!I4:I186)</f>
        <v>1304</v>
      </c>
      <c r="L44" s="3">
        <f>VLOOKUP(Dashboard!C44,'Ventas x tienda'!A4:F8,4,0)</f>
        <v>44348.77</v>
      </c>
      <c r="M44" s="3">
        <f>VLOOKUP(C44,'Ventas x tienda'!A4:F8,5,0)</f>
        <v>36957.31</v>
      </c>
      <c r="N44" s="3">
        <f>VLOOKUP(C44,'Ventas x tienda'!A4:F8,6,0)</f>
        <v>40121.120000000003</v>
      </c>
      <c r="O44" s="3">
        <f>DSUM('Gastos mensuales'!$A$1:$F$10,Dashboard!$B44,'Gastos mensuales'!$A$1:$A$10)</f>
        <v>33720.93</v>
      </c>
    </row>
    <row r="45" spans="2:15" x14ac:dyDescent="0.25">
      <c r="B45" t="s">
        <v>35</v>
      </c>
      <c r="C45" s="15">
        <v>4</v>
      </c>
      <c r="D45" s="3">
        <f>SUMIF(Ventas!B5:B187,Dashboard!C41:C47,Ventas!D5:D187)</f>
        <v>134942.64000000001</v>
      </c>
      <c r="E45" s="3">
        <f>SUMIF(Ventas!B5:B187,Dashboard!C41:C47,Ventas!E5:E187)</f>
        <v>117844.51000000001</v>
      </c>
      <c r="F45" s="3">
        <f>SUMIF(Ventas!B5:B187,Dashboard!C41:C47,Ventas!F5:F187)</f>
        <v>17098.13</v>
      </c>
      <c r="G45" s="3">
        <f>SUMIF(Ventas!B5:B187,Dashboard!C41:C47,Ventas!G5:G187)</f>
        <v>0</v>
      </c>
      <c r="H45" s="3">
        <f>SUMIF(Ventas!B5:B187,Dashboard!C41:C47,Ventas!H5:H187)</f>
        <v>80419.670000000013</v>
      </c>
      <c r="I45" s="56">
        <f t="shared" si="0"/>
        <v>54522.97</v>
      </c>
      <c r="J45" s="59">
        <f t="shared" si="1"/>
        <v>0.40404552630658475</v>
      </c>
      <c r="K45" s="15">
        <f>SUMIF(Ventas!B5:B187,Dashboard!C41:C47,Ventas!I5:I187)</f>
        <v>1241</v>
      </c>
      <c r="L45" s="3">
        <f>VLOOKUP(Dashboard!C45,'Ventas x tienda'!A5:F9,4,0)</f>
        <v>43116.86</v>
      </c>
      <c r="M45" s="3">
        <f>VLOOKUP(C45,'Ventas x tienda'!A5:F9,5,0)</f>
        <v>36957.31</v>
      </c>
      <c r="N45" s="3">
        <f>VLOOKUP(C45,'Ventas x tienda'!A5:F9,6,0)</f>
        <v>38483.050000000003</v>
      </c>
      <c r="O45" s="3">
        <f>DSUM('Gastos mensuales'!$A$1:$F$10,Dashboard!$B45,'Gastos mensuales'!$A$1:$A$10)</f>
        <v>37694.369999999995</v>
      </c>
    </row>
    <row r="46" spans="2:15" x14ac:dyDescent="0.25">
      <c r="B46" t="s">
        <v>36</v>
      </c>
      <c r="C46" s="15">
        <v>5</v>
      </c>
      <c r="D46" s="3">
        <f>SUMIF(Ventas!B6:B188,Dashboard!C46:C49,Ventas!D6:D188)</f>
        <v>161194.56</v>
      </c>
      <c r="E46" s="3">
        <f>SUMIF(Ventas!B6:B188,Dashboard!C46:C49,Ventas!E6:E188)</f>
        <v>133998.82999999999</v>
      </c>
      <c r="F46" s="3">
        <f>SUMIF(Ventas!B6:B188,Dashboard!C46:C49,Ventas!F6:F188)</f>
        <v>24641.710000000003</v>
      </c>
      <c r="G46" s="3">
        <f>SUMIF(Ventas!B6:B188,Dashboard!C46:C49,Ventas!G6:G188)</f>
        <v>2554.02</v>
      </c>
      <c r="H46" s="3">
        <f>SUMIF(Ventas!B6:B188,Dashboard!C46:C49,Ventas!H6:H188)</f>
        <v>95178.446149999974</v>
      </c>
      <c r="I46" s="56">
        <f t="shared" si="0"/>
        <v>66016.113850000023</v>
      </c>
      <c r="J46" s="59">
        <f t="shared" si="1"/>
        <v>0.40954306305374094</v>
      </c>
      <c r="K46" s="15">
        <f>SUMIF(Ventas!B6:B188,Dashboard!C46:C49,Ventas!I6:I188)</f>
        <v>1397</v>
      </c>
      <c r="L46" s="3">
        <f>VLOOKUP(Dashboard!C46,'Ventas x tienda'!A6:F10,4,0)</f>
        <v>43116.86</v>
      </c>
      <c r="M46" s="3">
        <f>VLOOKUP(C46,'Ventas x tienda'!A6:F10,5,0)</f>
        <v>34493.49</v>
      </c>
      <c r="N46" s="3">
        <f>VLOOKUP(C46,'Ventas x tienda'!A6:F10,6,0)</f>
        <v>48092.27</v>
      </c>
      <c r="O46" s="3">
        <f>DSUM('Gastos mensuales'!$A$1:$F$10,Dashboard!$B46,'Gastos mensuales'!$A$1:$A$10)</f>
        <v>36175.910000000003</v>
      </c>
    </row>
    <row r="47" spans="2:15" x14ac:dyDescent="0.25">
      <c r="B47" s="60" t="s">
        <v>28</v>
      </c>
      <c r="C47" s="60"/>
      <c r="D47" s="61">
        <f t="shared" ref="D47:I47" si="2">SUM(D42:D46)</f>
        <v>747209.67999999993</v>
      </c>
      <c r="E47" s="61">
        <f t="shared" si="2"/>
        <v>631705.50999999989</v>
      </c>
      <c r="F47" s="61">
        <f t="shared" si="2"/>
        <v>107642.79000000002</v>
      </c>
      <c r="G47" s="61">
        <f t="shared" si="2"/>
        <v>7861.3799999999992</v>
      </c>
      <c r="H47" s="61">
        <f t="shared" si="2"/>
        <v>412088.89615000004</v>
      </c>
      <c r="I47" s="61">
        <f t="shared" si="2"/>
        <v>335120.78385000001</v>
      </c>
      <c r="J47" s="62">
        <f>I47/D47</f>
        <v>0.44849630942950314</v>
      </c>
      <c r="K47" s="63">
        <f>SUM(K42:K46)</f>
        <v>6873</v>
      </c>
      <c r="L47" s="61">
        <f>SUM(L42:L46)</f>
        <v>218048.12</v>
      </c>
      <c r="M47" s="61">
        <f>SUM(M42:M46)</f>
        <v>178627</v>
      </c>
      <c r="N47" s="61">
        <f>SUM(N42:N46)</f>
        <v>202891.4</v>
      </c>
      <c r="O47" s="61">
        <f>SUM(O42:O46)</f>
        <v>164312.79</v>
      </c>
    </row>
    <row r="49" spans="2:15" x14ac:dyDescent="0.25">
      <c r="B49" s="64" t="str">
        <f>C21</f>
        <v>Mayo</v>
      </c>
      <c r="C49" s="64">
        <f>VLOOKUP(B49,B42:C46,2,0)</f>
        <v>5</v>
      </c>
      <c r="D49" s="65">
        <f>INDEX(D42:$O$46,C49,D40)</f>
        <v>161194.56</v>
      </c>
      <c r="E49" s="65">
        <f>INDEX(datos_p,C49,2)</f>
        <v>133998.82999999999</v>
      </c>
      <c r="F49" s="65">
        <f>INDEX(datos_p,C49,3)</f>
        <v>24641.710000000003</v>
      </c>
      <c r="G49" s="65">
        <f>INDEX(datos_p,C49,4)</f>
        <v>2554.02</v>
      </c>
      <c r="H49" s="65">
        <f>INDEX(datos_p,C49,5)</f>
        <v>95178.446149999974</v>
      </c>
      <c r="I49" s="65">
        <f>INDEX(datos_p,C49,6)</f>
        <v>66016.113850000023</v>
      </c>
      <c r="J49" s="66">
        <f>INDEX(datos_p,C49,7)</f>
        <v>0.40954306305374094</v>
      </c>
      <c r="K49" s="64">
        <f>INDEX(datos_p,C49,8)</f>
        <v>1397</v>
      </c>
      <c r="L49" s="65">
        <f>INDEX(datos_p,C49,9)</f>
        <v>43116.86</v>
      </c>
      <c r="M49" s="65">
        <f>INDEX(datos_p,C49,M40)</f>
        <v>34493.49</v>
      </c>
      <c r="N49" s="65">
        <f>INDEX(datos_p,C49,N40)</f>
        <v>48092.27</v>
      </c>
      <c r="O49" s="65">
        <f>INDEX(datos_p,C49,O40)</f>
        <v>36175.910000000003</v>
      </c>
    </row>
  </sheetData>
  <dataValidations count="1">
    <dataValidation type="list" allowBlank="1" showInputMessage="1" showErrorMessage="1" sqref="C21" xr:uid="{A5D26690-5C56-468A-A966-543703743E9C}">
      <formula1>$B$42:$B$46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workbookViewId="0">
      <selection activeCell="H16" sqref="H16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0.5703125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55" t="s">
        <v>91</v>
      </c>
    </row>
    <row r="2" spans="1:7" x14ac:dyDescent="0.25">
      <c r="A2" s="55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57">
        <v>22174.383600000001</v>
      </c>
      <c r="C3" s="57">
        <v>28333.934600000001</v>
      </c>
      <c r="D3" s="57">
        <v>14782.922399999999</v>
      </c>
      <c r="E3" s="57">
        <v>30797.755000000001</v>
      </c>
      <c r="F3" s="57">
        <v>27102.024399999998</v>
      </c>
      <c r="G3" s="57">
        <v>123191.02</v>
      </c>
    </row>
    <row r="4" spans="1:7" x14ac:dyDescent="0.25">
      <c r="A4" s="4" t="s">
        <v>100</v>
      </c>
      <c r="B4" s="57">
        <v>23244.572400000001</v>
      </c>
      <c r="C4" s="57">
        <v>21584.245800000001</v>
      </c>
      <c r="D4" s="57">
        <v>19923.9192</v>
      </c>
      <c r="E4" s="57">
        <v>20477.361400000002</v>
      </c>
      <c r="F4" s="57">
        <v>25458.341199999999</v>
      </c>
      <c r="G4" s="57">
        <v>110688.44</v>
      </c>
    </row>
    <row r="5" spans="1:7" x14ac:dyDescent="0.25">
      <c r="A5" s="4" t="s">
        <v>101</v>
      </c>
      <c r="B5" s="57">
        <v>20642.622299999999</v>
      </c>
      <c r="C5" s="57">
        <v>24285.437999999998</v>
      </c>
      <c r="D5" s="57">
        <v>26713.981800000001</v>
      </c>
      <c r="E5" s="57">
        <v>26713.981800000001</v>
      </c>
      <c r="F5" s="57">
        <v>23071.166099999999</v>
      </c>
      <c r="G5" s="57">
        <v>121427.19</v>
      </c>
    </row>
    <row r="6" spans="1:7" x14ac:dyDescent="0.25">
      <c r="A6" s="4" t="s">
        <v>102</v>
      </c>
      <c r="B6" s="57">
        <v>24897.0141</v>
      </c>
      <c r="C6" s="57">
        <v>22525.869900000002</v>
      </c>
      <c r="D6" s="57">
        <v>20154.725699999999</v>
      </c>
      <c r="E6" s="57">
        <v>27268.158299999999</v>
      </c>
      <c r="F6" s="57">
        <v>23711.441999999999</v>
      </c>
      <c r="G6" s="57">
        <v>118557.20999999999</v>
      </c>
    </row>
    <row r="7" spans="1:7" x14ac:dyDescent="0.25">
      <c r="A7" s="4" t="s">
        <v>103</v>
      </c>
      <c r="B7" s="57">
        <v>25309.124800000001</v>
      </c>
      <c r="C7" s="57">
        <v>27973.243200000001</v>
      </c>
      <c r="D7" s="57">
        <v>26641.184000000001</v>
      </c>
      <c r="E7" s="57">
        <v>22645.006399999998</v>
      </c>
      <c r="F7" s="57">
        <v>30637.3616</v>
      </c>
      <c r="G7" s="57">
        <v>133205.91999999998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C14" sqref="C14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76" t="s">
        <v>49</v>
      </c>
      <c r="L1" s="76"/>
      <c r="M1" s="76"/>
      <c r="N1" s="76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77" t="s">
        <v>50</v>
      </c>
      <c r="D9" s="77"/>
      <c r="E9" s="77"/>
      <c r="F9" s="77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55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57">
        <v>2397.6799999999998</v>
      </c>
      <c r="C4" s="57">
        <v>2908.12</v>
      </c>
      <c r="D4" s="56">
        <v>2652.8999999999996</v>
      </c>
      <c r="E4" s="56">
        <v>11529.04</v>
      </c>
    </row>
    <row r="5" spans="1:5" x14ac:dyDescent="0.25">
      <c r="A5" s="4" t="s">
        <v>43</v>
      </c>
      <c r="B5" s="57">
        <v>2240</v>
      </c>
      <c r="C5" s="57">
        <v>2628</v>
      </c>
      <c r="D5" s="56">
        <v>2434</v>
      </c>
      <c r="E5" s="56">
        <v>12608.94</v>
      </c>
    </row>
    <row r="6" spans="1:5" x14ac:dyDescent="0.25">
      <c r="A6" s="4" t="s">
        <v>39</v>
      </c>
      <c r="B6" s="57">
        <v>550</v>
      </c>
      <c r="C6" s="57">
        <v>550</v>
      </c>
      <c r="D6" s="56">
        <v>550</v>
      </c>
      <c r="E6" s="56">
        <v>2750</v>
      </c>
    </row>
    <row r="7" spans="1:5" x14ac:dyDescent="0.25">
      <c r="A7" s="4" t="s">
        <v>42</v>
      </c>
      <c r="B7" s="57">
        <v>290</v>
      </c>
      <c r="C7" s="57">
        <v>917</v>
      </c>
      <c r="D7" s="56">
        <v>603.5</v>
      </c>
      <c r="E7" s="56">
        <v>1833</v>
      </c>
    </row>
    <row r="8" spans="1:5" x14ac:dyDescent="0.25">
      <c r="A8" s="4" t="s">
        <v>44</v>
      </c>
      <c r="B8" s="57">
        <v>2500</v>
      </c>
      <c r="C8" s="57">
        <v>2500</v>
      </c>
      <c r="D8" s="56">
        <v>2500</v>
      </c>
      <c r="E8" s="56">
        <v>10000</v>
      </c>
    </row>
    <row r="9" spans="1:5" x14ac:dyDescent="0.25">
      <c r="A9" s="4" t="s">
        <v>40</v>
      </c>
      <c r="B9" s="57">
        <v>660.75</v>
      </c>
      <c r="C9" s="57">
        <v>660.75</v>
      </c>
      <c r="D9" s="56">
        <v>660.75</v>
      </c>
      <c r="E9" s="56">
        <v>1982.25</v>
      </c>
    </row>
    <row r="10" spans="1:5" x14ac:dyDescent="0.25">
      <c r="A10" s="4" t="s">
        <v>41</v>
      </c>
      <c r="B10" s="57">
        <v>15760</v>
      </c>
      <c r="C10" s="57">
        <v>17432</v>
      </c>
      <c r="D10" s="56">
        <v>16596</v>
      </c>
      <c r="E10" s="56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78" t="s">
        <v>57</v>
      </c>
      <c r="J1" s="78"/>
      <c r="K1" s="78"/>
      <c r="M1" s="79" t="s">
        <v>60</v>
      </c>
      <c r="N1" s="79"/>
      <c r="P1" s="80" t="s">
        <v>62</v>
      </c>
      <c r="Q1" s="80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Ventas</vt:lpstr>
      <vt:lpstr>Dashboard</vt:lpstr>
      <vt:lpstr>Tabla Dinamica</vt:lpstr>
      <vt:lpstr>Ventas x vendedor</vt:lpstr>
      <vt:lpstr>Ventas x tienda</vt:lpstr>
      <vt:lpstr>TD Gastos mensuales</vt:lpstr>
      <vt:lpstr>Gastos mensuales</vt:lpstr>
      <vt:lpstr>Registro clientes</vt:lpstr>
      <vt:lpstr>datos_p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2023-08-25T19:59:11Z</dcterms:modified>
</cp:coreProperties>
</file>