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Publications\Hemibungarus_NewRecord_2019\NewVersion\"/>
    </mc:Choice>
  </mc:AlternateContent>
  <xr:revisionPtr revIDLastSave="0" documentId="13_ncr:1_{43CAC229-0952-4D14-B414-066A84C8982C}" xr6:coauthVersionLast="46" xr6:coauthVersionMax="46" xr10:uidLastSave="{00000000-0000-0000-0000-000000000000}"/>
  <bookViews>
    <workbookView xWindow="-98" yWindow="-98" windowWidth="22695" windowHeight="14595" xr2:uid="{6F0604C2-CB9A-4C50-A6FF-2A3E46F78F9C}"/>
  </bookViews>
  <sheets>
    <sheet name="SuppTable1_Morph-Data" sheetId="1" r:id="rId1"/>
    <sheet name="SuppTable2_Summary-Table" sheetId="8" r:id="rId2"/>
    <sheet name="SuppTable3_Mapped-Data" sheetId="9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2" i="1" l="1"/>
  <c r="P94" i="1"/>
  <c r="P20" i="1"/>
  <c r="P41" i="1"/>
  <c r="P95" i="1"/>
  <c r="P65" i="1"/>
  <c r="P66" i="1"/>
  <c r="P22" i="1"/>
  <c r="P83" i="1"/>
  <c r="P64" i="1"/>
  <c r="P40" i="1"/>
  <c r="P39" i="1"/>
  <c r="P81" i="1"/>
  <c r="P38" i="1"/>
  <c r="P80" i="1"/>
  <c r="P79" i="1"/>
  <c r="P82" i="1"/>
  <c r="P37" i="1"/>
  <c r="P15" i="1"/>
  <c r="P36" i="1"/>
  <c r="P14" i="1"/>
  <c r="P35" i="1"/>
  <c r="P34" i="1"/>
  <c r="P93" i="1"/>
  <c r="P89" i="1"/>
  <c r="P88" i="1"/>
  <c r="P87" i="1"/>
  <c r="P86" i="1"/>
  <c r="P13" i="1"/>
  <c r="P78" i="1"/>
  <c r="P77" i="1"/>
  <c r="P33" i="1"/>
  <c r="P12" i="1"/>
  <c r="P11" i="1"/>
  <c r="P75" i="1"/>
  <c r="P74" i="1"/>
  <c r="P73" i="1"/>
  <c r="P72" i="1"/>
  <c r="P10" i="1"/>
  <c r="P32" i="1"/>
  <c r="P31" i="1"/>
  <c r="P30" i="1"/>
  <c r="P71" i="1"/>
  <c r="P70" i="1"/>
  <c r="P62" i="1"/>
  <c r="P61" i="1"/>
  <c r="P60" i="1"/>
  <c r="P59" i="1"/>
  <c r="P44" i="1"/>
  <c r="P58" i="1"/>
  <c r="W43" i="1"/>
  <c r="P43" i="1"/>
  <c r="J43" i="1"/>
  <c r="P57" i="1"/>
  <c r="P56" i="1"/>
  <c r="P55" i="1"/>
  <c r="P67" i="1"/>
  <c r="P29" i="1"/>
  <c r="P28" i="1"/>
  <c r="P9" i="1"/>
  <c r="P27" i="1"/>
  <c r="P26" i="1"/>
  <c r="P8" i="1"/>
  <c r="P7" i="1"/>
  <c r="P6" i="1"/>
  <c r="P54" i="1"/>
  <c r="P53" i="1"/>
  <c r="P5" i="1"/>
  <c r="P25" i="1"/>
  <c r="P4" i="1"/>
  <c r="P52" i="1"/>
  <c r="P51" i="1"/>
  <c r="P50" i="1"/>
  <c r="J50" i="1"/>
  <c r="X49" i="1"/>
  <c r="W49" i="1"/>
  <c r="P49" i="1"/>
  <c r="J49" i="1"/>
  <c r="G49" i="1"/>
  <c r="P48" i="1"/>
  <c r="P47" i="1"/>
  <c r="P46" i="1"/>
  <c r="P45" i="1"/>
  <c r="P2" i="1"/>
  <c r="P24" i="1"/>
</calcChain>
</file>

<file path=xl/sharedStrings.xml><?xml version="1.0" encoding="utf-8"?>
<sst xmlns="http://schemas.openxmlformats.org/spreadsheetml/2006/main" count="2083" uniqueCount="464">
  <si>
    <t>Taxon</t>
  </si>
  <si>
    <t>Sex</t>
  </si>
  <si>
    <t>Keels</t>
  </si>
  <si>
    <t>Ventrals</t>
  </si>
  <si>
    <t>Subcaudals</t>
  </si>
  <si>
    <t>White Annuli Bordering Ventral Black Bands</t>
  </si>
  <si>
    <t>Hemibungarus calligaster</t>
  </si>
  <si>
    <t>Absent</t>
  </si>
  <si>
    <t>entire</t>
  </si>
  <si>
    <t>Present</t>
  </si>
  <si>
    <t>FLMNH 56314</t>
  </si>
  <si>
    <t>juvenile</t>
  </si>
  <si>
    <t>FLMNH 55662</t>
  </si>
  <si>
    <t>NA</t>
  </si>
  <si>
    <t># Upper Labials (L|R)</t>
  </si>
  <si>
    <t>6|6</t>
  </si>
  <si>
    <t>7|7</t>
  </si>
  <si>
    <t>FMNH 45751</t>
  </si>
  <si>
    <t>Absent?</t>
  </si>
  <si>
    <t>FMNH 15050</t>
  </si>
  <si>
    <t>?</t>
  </si>
  <si>
    <t>Absent? (2 bands have white ventral annuli)</t>
  </si>
  <si>
    <t>FMNH 142525</t>
  </si>
  <si>
    <t>male</t>
  </si>
  <si>
    <t>5-6 | 4</t>
  </si>
  <si>
    <t>FMNH 15009</t>
  </si>
  <si>
    <t>NCSM 86288</t>
  </si>
  <si>
    <t>6-7 | 5-6</t>
  </si>
  <si>
    <t>OMNH 34941</t>
  </si>
  <si>
    <t>5-6 | 5-6</t>
  </si>
  <si>
    <t>OMNH 44830</t>
  </si>
  <si>
    <t>Male</t>
  </si>
  <si>
    <t>OMNH 45931</t>
  </si>
  <si>
    <t>Present (some lack annuli)</t>
  </si>
  <si>
    <t>OMNH 45930</t>
  </si>
  <si>
    <t>Hemibungarus gemianulis</t>
  </si>
  <si>
    <t>CAS 61138</t>
  </si>
  <si>
    <t>CAS 61142</t>
  </si>
  <si>
    <t>CAS 61136</t>
  </si>
  <si>
    <t>CAS 61141</t>
  </si>
  <si>
    <t>CAS 61140</t>
  </si>
  <si>
    <t>CAS 138148</t>
  </si>
  <si>
    <t>CAS 140235</t>
  </si>
  <si>
    <t>CAS-SUR 12968</t>
  </si>
  <si>
    <t>CAS 140236</t>
  </si>
  <si>
    <t>CAS 125363</t>
  </si>
  <si>
    <t>CAS 15345</t>
  </si>
  <si>
    <t>CAS 15346</t>
  </si>
  <si>
    <t>CAS 125364</t>
  </si>
  <si>
    <t>CAS-SUR 12966</t>
  </si>
  <si>
    <t>female?</t>
  </si>
  <si>
    <t>male?</t>
  </si>
  <si>
    <t>No</t>
  </si>
  <si>
    <t>Yes</t>
  </si>
  <si>
    <t>Absent (1 anterior; some blurry)</t>
  </si>
  <si>
    <t>Present (blurry)</t>
  </si>
  <si>
    <t>Absent (2-3 anterior)</t>
  </si>
  <si>
    <t>Absent? (posterior)</t>
  </si>
  <si>
    <t>7|6</t>
  </si>
  <si>
    <t># Lower Labials (L|R)</t>
  </si>
  <si>
    <t>Present?</t>
  </si>
  <si>
    <t>3-4 | 6-7</t>
  </si>
  <si>
    <t>3-4 | 7-8</t>
  </si>
  <si>
    <t>2-3 | 7-9</t>
  </si>
  <si>
    <t>2-3 | 5-6</t>
  </si>
  <si>
    <t>2-3 | 5-7</t>
  </si>
  <si>
    <t>5-6 | 3-4</t>
  </si>
  <si>
    <t>3-4 | 3-4 (4-5 | 5-7 by tail)</t>
  </si>
  <si>
    <t>3-5 | 3-5</t>
  </si>
  <si>
    <t>4-5 | 4-5</t>
  </si>
  <si>
    <t>3-4 | 3-4</t>
  </si>
  <si>
    <t>3-4 | 4-5</t>
  </si>
  <si>
    <t>CAS 129204</t>
  </si>
  <si>
    <t>CAS 144235</t>
  </si>
  <si>
    <t>CAS 134225</t>
  </si>
  <si>
    <t>CAS 61139</t>
  </si>
  <si>
    <t>CAS 15342</t>
  </si>
  <si>
    <t>CAS 61314</t>
  </si>
  <si>
    <t>CAS 15343</t>
  </si>
  <si>
    <t>CAS 15344</t>
  </si>
  <si>
    <t>CAS 61137</t>
  </si>
  <si>
    <t>female</t>
  </si>
  <si>
    <t>198 (some missing)</t>
  </si>
  <si>
    <t>Present but barely</t>
  </si>
  <si>
    <t>Present (some faded)</t>
  </si>
  <si>
    <t>Present (few faded)</t>
  </si>
  <si>
    <t>Only some present</t>
  </si>
  <si>
    <t>Present (faded)</t>
  </si>
  <si>
    <t>Absent (1 anterior; 0.5 posterior)</t>
  </si>
  <si>
    <t>3-4 | 4-6</t>
  </si>
  <si>
    <t>4-6 | 4-6</t>
  </si>
  <si>
    <t>4-5 | 3-4</t>
  </si>
  <si>
    <t>4-5 | 4-6</t>
  </si>
  <si>
    <t>5 | 3-4</t>
  </si>
  <si>
    <t>4-5 | 3-5</t>
  </si>
  <si>
    <t>3-4 | 5-7</t>
  </si>
  <si>
    <t>2 | 6-7</t>
  </si>
  <si>
    <t>3-4 | 5-6</t>
  </si>
  <si>
    <t>4 | 7-8</t>
  </si>
  <si>
    <t>3 | 6-7</t>
  </si>
  <si>
    <t>4-6 | 2-3</t>
  </si>
  <si>
    <t>TNHC 62483</t>
  </si>
  <si>
    <t>Some present</t>
  </si>
  <si>
    <t>ANSP 6784</t>
  </si>
  <si>
    <t>Hemibungarus mcclungi</t>
  </si>
  <si>
    <t>KU 303027</t>
  </si>
  <si>
    <t>KU 323338</t>
  </si>
  <si>
    <t>KU 323337</t>
  </si>
  <si>
    <t>KU 303028</t>
  </si>
  <si>
    <t>KU 313898</t>
  </si>
  <si>
    <t>KU 313897</t>
  </si>
  <si>
    <t>KU 68955</t>
  </si>
  <si>
    <t>KU 345469</t>
  </si>
  <si>
    <t>KU 275815</t>
  </si>
  <si>
    <t>KU 348442</t>
  </si>
  <si>
    <t>KU 346508</t>
  </si>
  <si>
    <t>198/200</t>
  </si>
  <si>
    <t>Some present (2nd and 3rd anterior bands)</t>
  </si>
  <si>
    <t>Some present (3 random bands throughout body)</t>
  </si>
  <si>
    <t>2-4 | 5-6</t>
  </si>
  <si>
    <t>5-8 | 5-6</t>
  </si>
  <si>
    <t>2-3 | 6-7</t>
  </si>
  <si>
    <t>4-5 | 5-6</t>
  </si>
  <si>
    <t>CAS-SUR 19005</t>
  </si>
  <si>
    <t>CAS-SUR 12969</t>
  </si>
  <si>
    <t>CAS-SUR 28489</t>
  </si>
  <si>
    <t>CAS-SUR 18909</t>
  </si>
  <si>
    <t>CAS-SUR 7243</t>
  </si>
  <si>
    <t>CAS-SUR 27548</t>
  </si>
  <si>
    <t>CAS-SUR 28490</t>
  </si>
  <si>
    <t>CAS-SUR 12967</t>
  </si>
  <si>
    <t>Hemibungarus calligaster mcclungi</t>
  </si>
  <si>
    <t>CAS 62431 (NEOTYPE)</t>
  </si>
  <si>
    <t>NA | 6</t>
  </si>
  <si>
    <t>AMNH R-161703</t>
  </si>
  <si>
    <t>AMNH R-73415</t>
  </si>
  <si>
    <t>Absent (but some have faded annuli?)</t>
  </si>
  <si>
    <t>1-2 | 4</t>
  </si>
  <si>
    <t>Latitude</t>
  </si>
  <si>
    <t>Longitude</t>
  </si>
  <si>
    <t>H. mcclungi</t>
  </si>
  <si>
    <t>H. calligaster</t>
  </si>
  <si>
    <t>H. gemianulis</t>
  </si>
  <si>
    <t>Hemibungarus calligaster calligaster</t>
  </si>
  <si>
    <t>Hemibungarus calligaster gemianulis</t>
  </si>
  <si>
    <t>Notes:</t>
  </si>
  <si>
    <t>19+</t>
  </si>
  <si>
    <t>52+</t>
  </si>
  <si>
    <t>CM R 2581</t>
  </si>
  <si>
    <t>? | 6</t>
  </si>
  <si>
    <t>? | 7?</t>
  </si>
  <si>
    <t>KU 328977</t>
  </si>
  <si>
    <t>7|8</t>
  </si>
  <si>
    <t>192+</t>
  </si>
  <si>
    <t>10?</t>
  </si>
  <si>
    <t>30+</t>
  </si>
  <si>
    <t>Present (blurry; some absent)</t>
  </si>
  <si>
    <t>7|7?</t>
  </si>
  <si>
    <t xml:space="preserve">Absent </t>
  </si>
  <si>
    <t>1-3 | 6-8</t>
  </si>
  <si>
    <t>Absent (1 posterior)</t>
  </si>
  <si>
    <t>MNCN 22690*</t>
  </si>
  <si>
    <t>MNCN 16715</t>
  </si>
  <si>
    <t>MNCN 16716</t>
  </si>
  <si>
    <t>MNCN 22684</t>
  </si>
  <si>
    <t>MNCN 22685</t>
  </si>
  <si>
    <t>MNCN 22688</t>
  </si>
  <si>
    <t>MNCN 22689</t>
  </si>
  <si>
    <t>MNCN 23874</t>
  </si>
  <si>
    <t>MNCN 23875</t>
  </si>
  <si>
    <t>4-6 | 3-4</t>
  </si>
  <si>
    <t>6|?</t>
  </si>
  <si>
    <t>7?|?</t>
  </si>
  <si>
    <t>41.23*</t>
  </si>
  <si>
    <t>27 (pigment faded; hard to count)</t>
  </si>
  <si>
    <t>?|7</t>
  </si>
  <si>
    <t>Present (but broken)</t>
  </si>
  <si>
    <t>3-4 | 3-5</t>
  </si>
  <si>
    <t>4-5 | 5-7</t>
  </si>
  <si>
    <t>ZMB 3929</t>
  </si>
  <si>
    <t>ZMB 4024</t>
  </si>
  <si>
    <t>ZMB 7405 (HOLOTYPE)</t>
  </si>
  <si>
    <t>ZMB 7406</t>
  </si>
  <si>
    <t>ZMB 10007</t>
  </si>
  <si>
    <t>ZMB 64857</t>
  </si>
  <si>
    <t>ZMB 64858</t>
  </si>
  <si>
    <t>ZMB 2747</t>
  </si>
  <si>
    <t>ZMB 3747</t>
  </si>
  <si>
    <t>3 | 5-6</t>
  </si>
  <si>
    <t>male; juvenile</t>
  </si>
  <si>
    <t>ZMB 83828</t>
  </si>
  <si>
    <t>6?|6?</t>
  </si>
  <si>
    <t>4-5 | 4</t>
  </si>
  <si>
    <t>1-2 | 5-7</t>
  </si>
  <si>
    <t>2-5 | 5-6</t>
  </si>
  <si>
    <t>Temporal Region Pigmented</t>
  </si>
  <si>
    <t>Present: Blurry</t>
  </si>
  <si>
    <t>Present: Distinct/Complete</t>
  </si>
  <si>
    <t>Present: Right</t>
  </si>
  <si>
    <t>Present: Distinct; Some blurry</t>
  </si>
  <si>
    <t xml:space="preserve">2-3 | 5-6 </t>
  </si>
  <si>
    <t>Present: Both</t>
  </si>
  <si>
    <t>Present: faded; partial; blurry</t>
  </si>
  <si>
    <t>Present: faded; partial; blurry; some absent</t>
  </si>
  <si>
    <t>Present: very faint</t>
  </si>
  <si>
    <t>4-6 | 3</t>
  </si>
  <si>
    <t>Present: Distinct; partial; some absent</t>
  </si>
  <si>
    <t>Present: Distinct/Complete (some divided)</t>
  </si>
  <si>
    <t>5-7 | 4-5</t>
  </si>
  <si>
    <t>Present: Left</t>
  </si>
  <si>
    <t>3-4 | 6</t>
  </si>
  <si>
    <t>2-3 | 6</t>
  </si>
  <si>
    <t>5-9 | 5-6</t>
  </si>
  <si>
    <t>5-8 | 4-6</t>
  </si>
  <si>
    <t>Absent (1 anterior)</t>
  </si>
  <si>
    <t>Absent: some present: faded; blurry</t>
  </si>
  <si>
    <t>6-9 | 4</t>
  </si>
  <si>
    <t>5-6 | 4-5</t>
  </si>
  <si>
    <t>Present: Distinct/Complete; some absent</t>
  </si>
  <si>
    <t>6-8 | 4-6</t>
  </si>
  <si>
    <t>Present?: faint?</t>
  </si>
  <si>
    <t>Present: faint?</t>
  </si>
  <si>
    <t>Present: faint</t>
  </si>
  <si>
    <t>Present (some missing)?</t>
  </si>
  <si>
    <t>Present: Distinct/Complete; some broken</t>
  </si>
  <si>
    <t>Present: faded; blurry</t>
  </si>
  <si>
    <t>CAS 15343*</t>
  </si>
  <si>
    <t>CAS 15344*</t>
  </si>
  <si>
    <t>CAS 61136*</t>
  </si>
  <si>
    <t>CAS 61137*</t>
  </si>
  <si>
    <t>CAS 61138*</t>
  </si>
  <si>
    <t>CAS 61139*</t>
  </si>
  <si>
    <t>CAS 61140*</t>
  </si>
  <si>
    <t>CAS 61141*</t>
  </si>
  <si>
    <t>CAS 61142*</t>
  </si>
  <si>
    <t>CAS 61314*</t>
  </si>
  <si>
    <t>FMNH 142525*</t>
  </si>
  <si>
    <t>TNHC 62483*</t>
  </si>
  <si>
    <t>Dead on Road</t>
  </si>
  <si>
    <t>ZMB 4024*</t>
  </si>
  <si>
    <t>ZMB 3747*</t>
  </si>
  <si>
    <t>ZMB 2747*</t>
  </si>
  <si>
    <t>ZMB 10007*</t>
  </si>
  <si>
    <t>ANSP 6784*</t>
  </si>
  <si>
    <t>210–263</t>
  </si>
  <si>
    <t>13–21</t>
  </si>
  <si>
    <t>23–41</t>
  </si>
  <si>
    <t>191–251</t>
  </si>
  <si>
    <t>15–23</t>
  </si>
  <si>
    <t>16–27.5</t>
  </si>
  <si>
    <t>223–257</t>
  </si>
  <si>
    <t>20–30</t>
  </si>
  <si>
    <t>195–229</t>
  </si>
  <si>
    <t>14–22</t>
  </si>
  <si>
    <t>Catalogue_ID</t>
  </si>
  <si>
    <t>Apical_Pits</t>
  </si>
  <si>
    <t>Anal_Scale</t>
  </si>
  <si>
    <t>Subcaudals_Type</t>
  </si>
  <si>
    <t>Divided</t>
  </si>
  <si>
    <t>17?</t>
  </si>
  <si>
    <t>20 (L)</t>
  </si>
  <si>
    <t>17 (L)</t>
  </si>
  <si>
    <t>19 (L)</t>
  </si>
  <si>
    <t>NMPH 7451</t>
  </si>
  <si>
    <t>PNM 6612</t>
  </si>
  <si>
    <t>PNM 6610</t>
  </si>
  <si>
    <t>Hemibungarus calligaster  mcclungi</t>
  </si>
  <si>
    <t>Absent (rarely present)</t>
  </si>
  <si>
    <t>Juveniles Average</t>
  </si>
  <si>
    <t>Adults (n=20)</t>
  </si>
  <si>
    <t>Juveniles (n=2)</t>
  </si>
  <si>
    <t>Adults Average</t>
  </si>
  <si>
    <t>Juveniles (n=1)</t>
  </si>
  <si>
    <t>faded; sometimes broken and not on all bands</t>
  </si>
  <si>
    <t>Sometimes (faint)</t>
  </si>
  <si>
    <t>4 | 6</t>
  </si>
  <si>
    <t>Faint or absent</t>
  </si>
  <si>
    <t>faded; blurry; on most bands</t>
  </si>
  <si>
    <t>Juveniles (n=4)</t>
  </si>
  <si>
    <t>Distinct/Complete</t>
  </si>
  <si>
    <t>6|6 (one specimen has 7|7)</t>
  </si>
  <si>
    <t>6|6 (rarely 7 on left)</t>
  </si>
  <si>
    <t>Adults (n=18)</t>
  </si>
  <si>
    <t>Adults (n=26)</t>
  </si>
  <si>
    <t>Juveniles (n=3)</t>
  </si>
  <si>
    <t>Present (but very faint)</t>
  </si>
  <si>
    <t>Present (faint; rarely absent)</t>
  </si>
  <si>
    <t>Present (faint)</t>
  </si>
  <si>
    <t>Present (faint) or absent</t>
  </si>
  <si>
    <t>34.35–56.5</t>
  </si>
  <si>
    <t>1.8–3.9</t>
  </si>
  <si>
    <t>7.35–12.7</t>
  </si>
  <si>
    <t>4.78–8.57</t>
  </si>
  <si>
    <t>44–78</t>
  </si>
  <si>
    <t>18.5–22.4</t>
  </si>
  <si>
    <t>0.8–1.1</t>
  </si>
  <si>
    <t>224–246</t>
  </si>
  <si>
    <t>19–20</t>
  </si>
  <si>
    <t>5.7–6.6</t>
  </si>
  <si>
    <t>4.6–4.6</t>
  </si>
  <si>
    <t>23–32</t>
  </si>
  <si>
    <t>26–30</t>
  </si>
  <si>
    <t>29.15–56</t>
  </si>
  <si>
    <t>1.5–3.1</t>
  </si>
  <si>
    <t>16–24</t>
  </si>
  <si>
    <t>8.45–13</t>
  </si>
  <si>
    <t>5.05–8.5</t>
  </si>
  <si>
    <t>39–56</t>
  </si>
  <si>
    <t>40–58.9</t>
  </si>
  <si>
    <t>2.2–4.65</t>
  </si>
  <si>
    <t>8.89–14.3</t>
  </si>
  <si>
    <t>7–9.67</t>
  </si>
  <si>
    <t>58–85</t>
  </si>
  <si>
    <t>21–30</t>
  </si>
  <si>
    <t>16.6–26.5</t>
  </si>
  <si>
    <t>1.07–1.34</t>
  </si>
  <si>
    <t>202–226</t>
  </si>
  <si>
    <t>17–20</t>
  </si>
  <si>
    <t>7.02–8.8</t>
  </si>
  <si>
    <t>4.04–5.36</t>
  </si>
  <si>
    <t>25–32</t>
  </si>
  <si>
    <t>25–31</t>
  </si>
  <si>
    <t>26.9–59.4</t>
  </si>
  <si>
    <t>1.5–3.7</t>
  </si>
  <si>
    <t>7.59–16.4</t>
  </si>
  <si>
    <t>5.96–10</t>
  </si>
  <si>
    <t>40–64</t>
  </si>
  <si>
    <t>18.2–19</t>
  </si>
  <si>
    <t>0.95–1.6</t>
  </si>
  <si>
    <t>204–250</t>
  </si>
  <si>
    <t>18–19</t>
  </si>
  <si>
    <t>6.5–9.1</t>
  </si>
  <si>
    <t>4–5.7</t>
  </si>
  <si>
    <t>21–26</t>
  </si>
  <si>
    <t>Group</t>
  </si>
  <si>
    <t>4.59–9.17</t>
  </si>
  <si>
    <t>3.8–3.96</t>
  </si>
  <si>
    <t>5.67–10.83</t>
  </si>
  <si>
    <t>7.94–12.96</t>
  </si>
  <si>
    <t>5.06–6.58</t>
  </si>
  <si>
    <t>6.53–10.42</t>
  </si>
  <si>
    <t>3.57–4.11</t>
  </si>
  <si>
    <t>Group for Statistical Analysis (taxonomic designation)</t>
  </si>
  <si>
    <t>Red cells = missing data due to photo angle</t>
  </si>
  <si>
    <t>NA = missing data due to specimen damage or character not applicable</t>
  </si>
  <si>
    <t>Dorsal Scale Rows at Midbody</t>
  </si>
  <si>
    <t>TL (cm)</t>
  </si>
  <si>
    <t>SVL (cm)</t>
  </si>
  <si>
    <t>Head Length (mm)</t>
  </si>
  <si>
    <t>Head Width (mm)</t>
  </si>
  <si>
    <t>Body Width (mm)</t>
  </si>
  <si>
    <t>White Bar in Ventral Black Bands</t>
  </si>
  <si>
    <t># White Dorsal Annuli (# Dorsal Black Bands for Juveniles)</t>
  </si>
  <si>
    <t># Ventral Black Bands</t>
  </si>
  <si>
    <t>Summary values of variable characters for all 94 specimens in the morphological examination</t>
  </si>
  <si>
    <t>?=unsure character state or count due to specimen quality</t>
  </si>
  <si>
    <t># Scales per Orange Ventral Band</t>
  </si>
  <si>
    <t># Scales per Black Ventral Band</t>
  </si>
  <si>
    <t xml:space="preserve"> (5–6)–(6–8)</t>
  </si>
  <si>
    <t>(1–2)–(3–4)</t>
  </si>
  <si>
    <t xml:space="preserve"> 5-6</t>
  </si>
  <si>
    <t xml:space="preserve">(2–3)–(4–6) </t>
  </si>
  <si>
    <t xml:space="preserve"> (3–4)–(7–8)</t>
  </si>
  <si>
    <t xml:space="preserve">(3–4)–(5–6) </t>
  </si>
  <si>
    <t xml:space="preserve"> (2–3)–(6–7)</t>
  </si>
  <si>
    <t xml:space="preserve">(4–5) </t>
  </si>
  <si>
    <t xml:space="preserve"> (4–5)</t>
  </si>
  <si>
    <t xml:space="preserve">(3–4)–(4–5) </t>
  </si>
  <si>
    <t xml:space="preserve"> (3–4)–(4–5)</t>
  </si>
  <si>
    <t xml:space="preserve"> (3–4),(4–5)</t>
  </si>
  <si>
    <t xml:space="preserve">(2–5)–(6–9) </t>
  </si>
  <si>
    <t xml:space="preserve"> (4–5)–(5–7)</t>
  </si>
  <si>
    <t xml:space="preserve">(5–6) </t>
  </si>
  <si>
    <t xml:space="preserve"> (5–6)</t>
  </si>
  <si>
    <t xml:space="preserve">(3–4)–(5–8) </t>
  </si>
  <si>
    <t xml:space="preserve"> (5–6)–(6–7)</t>
  </si>
  <si>
    <t xml:space="preserve">(3–4)+(4–5)+(5–8) </t>
  </si>
  <si>
    <t>3-4</t>
  </si>
  <si>
    <t>Ranges fpr number of scales per orange and black ventral bands are given as the range over all bands for an individual</t>
  </si>
  <si>
    <t>Dorsal White Annuli in Dorsal Black Bands as Juvenile</t>
  </si>
  <si>
    <t xml:space="preserve">State of White Bar in Ventral Black Band </t>
  </si>
  <si>
    <t>White Annulus on Dorsal Black Tail Bands</t>
  </si>
  <si>
    <r>
      <t xml:space="preserve">H. </t>
    </r>
    <r>
      <rPr>
        <sz val="11"/>
        <color theme="1"/>
        <rFont val="Calibri"/>
        <family val="2"/>
        <scheme val="minor"/>
      </rPr>
      <t>cf.</t>
    </r>
    <r>
      <rPr>
        <i/>
        <sz val="11"/>
        <color theme="1"/>
        <rFont val="Calibri"/>
        <family val="2"/>
        <scheme val="minor"/>
      </rPr>
      <t xml:space="preserve"> mcclungi</t>
    </r>
  </si>
  <si>
    <t>15/16?</t>
  </si>
  <si>
    <t>?=Unsure character state due to photo angle or specimen quality</t>
  </si>
  <si>
    <t>15?</t>
  </si>
  <si>
    <t>Mental Scale Touching Anterior Chin Chields</t>
  </si>
  <si>
    <t># Scales Bordering Right Parietals</t>
  </si>
  <si>
    <t># Scales Bordering Left Parietals</t>
  </si>
  <si>
    <t>Ventral Black Scales | Orange Scales per Band</t>
  </si>
  <si>
    <t xml:space="preserve">State of Ventral Annuli </t>
  </si>
  <si>
    <t>Upper Temporal Divided</t>
  </si>
  <si>
    <t>Green cells indicate specimens and characters used in statistical analyses</t>
  </si>
  <si>
    <r>
      <t xml:space="preserve">H. </t>
    </r>
    <r>
      <rPr>
        <sz val="10"/>
        <color theme="1"/>
        <rFont val="Calibri"/>
        <family val="2"/>
        <scheme val="minor"/>
      </rPr>
      <t>cf.</t>
    </r>
    <r>
      <rPr>
        <i/>
        <sz val="10"/>
        <color theme="1"/>
        <rFont val="Calibri"/>
        <family val="2"/>
        <scheme val="minor"/>
      </rPr>
      <t xml:space="preserve"> mcclungi</t>
    </r>
  </si>
  <si>
    <t>Asterisks (*) indicate central coordinates of locality; only coordinates with locality information at the Provincial level or lower were used</t>
  </si>
  <si>
    <t>Institution Codes</t>
  </si>
  <si>
    <t>MNCN: 
Museo Nacional de Ciencias Naturales (Madrid, Spain)</t>
  </si>
  <si>
    <t>NMPH/PNM: National Museum of the Philippines (Manila, Philippines)</t>
  </si>
  <si>
    <t>ZMB: Museum für Naturkunde (Berlin, Germany)</t>
  </si>
  <si>
    <t>AMNH: American Museum of Natural History (New York, New York, United States)</t>
  </si>
  <si>
    <t>ANSP: The Academy of Natural Sciences of Philadelphia (Philadelphia, PA, United States)</t>
  </si>
  <si>
    <t>CAS: California Academiy of Sciences (San Francisco, California, United States)</t>
  </si>
  <si>
    <t>CAS-SUR: California Academiy of Sciences (collection from Stanford University) (San Francisco, California, United States)</t>
  </si>
  <si>
    <t>CM: Carnegie Museum of Natural History (Pittsburgh, Pennsylvania, United States)</t>
  </si>
  <si>
    <t>FLMNH: Florida Museum of Natural History (Gainesville, Florida, United States)</t>
  </si>
  <si>
    <t>FMNH: Field Museum of Natural History (Chicago, Illinois, United States)</t>
  </si>
  <si>
    <t>KU: University of Kansas Biodiversity Institute &amp; Natural History Museum (Lawrence, Kansas, United States)</t>
  </si>
  <si>
    <t>MCZ: Museum of Comparative Zoology Cambridge, Massachusetts, United States)</t>
  </si>
  <si>
    <t>NCSM: North Carolina Museum of Natural Sciences (Raleigh, North Carolina, United States)</t>
  </si>
  <si>
    <t>OMNH: Sam Noble Oklahoma Museum of Natural History (Norman, Oklahoma, United States)</t>
  </si>
  <si>
    <t>TNHC: Texas Natural History Collections at University of Texas at Austin (Austin, Texas, United States)</t>
  </si>
  <si>
    <t>https://www.inaturalist.org/observations/49547050</t>
  </si>
  <si>
    <t>https://www.inaturalist.org/observations/3408998</t>
  </si>
  <si>
    <t>https://www.inaturalist.org/observations/8308356</t>
  </si>
  <si>
    <t>https://www.inaturalist.org/observations/37543772</t>
  </si>
  <si>
    <t>Catalogue ID (or iNaturalist Occurrence ID)</t>
  </si>
  <si>
    <t>MNCN 22690</t>
  </si>
  <si>
    <t>NMPH 7451*</t>
  </si>
  <si>
    <t>NMPH 1487/NPM 6603*</t>
  </si>
  <si>
    <t>NMPH 3454/ PNM 6605*</t>
  </si>
  <si>
    <t>NMPH 3449/ PNM 6602*</t>
  </si>
  <si>
    <t>NMPH 453/ PNM 6596</t>
  </si>
  <si>
    <t>NMPH 453/ PNM 6596*</t>
  </si>
  <si>
    <t>NMPH 1487/NPM 6603</t>
  </si>
  <si>
    <t>Taxon ID is based on morphology from this study, not on name used in institutional records</t>
  </si>
  <si>
    <t>KU 275815*</t>
  </si>
  <si>
    <t>KU 323337*</t>
  </si>
  <si>
    <t>KU 323338*</t>
  </si>
  <si>
    <t>KU 68955*</t>
  </si>
  <si>
    <t>MCZ R-25846*</t>
  </si>
  <si>
    <t>MCZ R-25848*</t>
  </si>
  <si>
    <t>FMNH 15009*</t>
  </si>
  <si>
    <t>KU 328977*</t>
  </si>
  <si>
    <t>MCZ R-25844*</t>
  </si>
  <si>
    <t>MCZ R-25845*</t>
  </si>
  <si>
    <t>MCZ R-25847*</t>
  </si>
  <si>
    <t>MCZ R-25849*</t>
  </si>
  <si>
    <t>FLMNH 55662*</t>
  </si>
  <si>
    <t>FLMNH 56314*</t>
  </si>
  <si>
    <t>KU 303027*</t>
  </si>
  <si>
    <t>KU 303028*</t>
  </si>
  <si>
    <t>KU 313897*</t>
  </si>
  <si>
    <t>KU 313898*</t>
  </si>
  <si>
    <t>KU 345469*</t>
  </si>
  <si>
    <t>KU 346508*</t>
  </si>
  <si>
    <t>KU 348442*</t>
  </si>
  <si>
    <t>NCSM 86288*</t>
  </si>
  <si>
    <t>OMNH 44830*</t>
  </si>
  <si>
    <t>OMNH 45930*</t>
  </si>
  <si>
    <t>OMNH 45931*</t>
  </si>
  <si>
    <t>NMPH 6546/ PNM 6607</t>
  </si>
  <si>
    <t>Taxon (in institutional database)</t>
  </si>
  <si>
    <t>CM R 2581*</t>
  </si>
  <si>
    <t>MCZ R-25846</t>
  </si>
  <si>
    <t>MCZ R-25848</t>
  </si>
  <si>
    <t>MCZ R-25844</t>
  </si>
  <si>
    <t>MCZ R-25845</t>
  </si>
  <si>
    <t>MCZ R-25847</t>
  </si>
  <si>
    <t>MCZ R-25849</t>
  </si>
  <si>
    <t>NMPH 3449/ PNM 6602</t>
  </si>
  <si>
    <t>NMPH 3454/ PNM 6605</t>
  </si>
  <si>
    <r>
      <rPr>
        <i/>
        <sz val="10"/>
        <color theme="1"/>
        <rFont val="Calibri"/>
        <family val="2"/>
        <scheme val="minor"/>
      </rPr>
      <t>H.</t>
    </r>
    <r>
      <rPr>
        <sz val="10"/>
        <color theme="1"/>
        <rFont val="Calibri"/>
        <family val="2"/>
        <scheme val="minor"/>
      </rPr>
      <t xml:space="preserve"> cf. </t>
    </r>
    <r>
      <rPr>
        <i/>
        <sz val="10"/>
        <color theme="1"/>
        <rFont val="Calibri"/>
        <family val="2"/>
        <scheme val="minor"/>
      </rPr>
      <t>mcclungi</t>
    </r>
  </si>
  <si>
    <t>NMPH 6546/ PNM 6607*</t>
  </si>
  <si>
    <t>Note: Institutional abbreviations follow Sabaj (2019).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</si>
</sst>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333333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DC6FE"/>
        <bgColor indexed="64"/>
      </patternFill>
    </fill>
    <fill>
      <patternFill patternType="solid">
        <fgColor rgb="FFFFE6C5"/>
        <bgColor indexed="64"/>
      </patternFill>
    </fill>
    <fill>
      <patternFill patternType="solid">
        <fgColor rgb="FF66FF9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2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5" borderId="1" xfId="0" applyFont="1" applyFill="1" applyBorder="1" applyAlignment="1">
      <alignment horizontal="left"/>
    </xf>
    <xf numFmtId="2" fontId="0" fillId="5" borderId="1" xfId="0" applyNumberFormat="1" applyFont="1" applyFill="1" applyBorder="1" applyAlignment="1">
      <alignment horizontal="left"/>
    </xf>
    <xf numFmtId="0" fontId="0" fillId="5" borderId="5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2" fontId="0" fillId="4" borderId="1" xfId="0" applyNumberFormat="1" applyFont="1" applyFill="1" applyBorder="1" applyAlignment="1">
      <alignment horizontal="left"/>
    </xf>
    <xf numFmtId="0" fontId="0" fillId="4" borderId="5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2" fontId="0" fillId="6" borderId="1" xfId="0" applyNumberFormat="1" applyFont="1" applyFill="1" applyBorder="1" applyAlignment="1">
      <alignment horizontal="left"/>
    </xf>
    <xf numFmtId="0" fontId="0" fillId="6" borderId="5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2" fontId="0" fillId="7" borderId="1" xfId="0" applyNumberFormat="1" applyFont="1" applyFill="1" applyBorder="1" applyAlignment="1">
      <alignment horizontal="left"/>
    </xf>
    <xf numFmtId="0" fontId="0" fillId="7" borderId="5" xfId="0" applyFont="1" applyFill="1" applyBorder="1" applyAlignment="1">
      <alignment horizontal="left"/>
    </xf>
    <xf numFmtId="0" fontId="0" fillId="7" borderId="6" xfId="0" applyFont="1" applyFill="1" applyBorder="1" applyAlignment="1">
      <alignment horizontal="left"/>
    </xf>
    <xf numFmtId="2" fontId="0" fillId="7" borderId="6" xfId="0" applyNumberFormat="1" applyFont="1" applyFill="1" applyBorder="1" applyAlignment="1">
      <alignment horizontal="left"/>
    </xf>
    <xf numFmtId="0" fontId="0" fillId="7" borderId="7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49" fontId="0" fillId="5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6" fillId="0" borderId="0" xfId="0" applyFont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0" fillId="0" borderId="14" xfId="0" applyBorder="1"/>
    <xf numFmtId="0" fontId="10" fillId="0" borderId="0" xfId="0" applyFont="1"/>
    <xf numFmtId="0" fontId="0" fillId="0" borderId="0" xfId="0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0" fillId="0" borderId="19" xfId="0" applyBorder="1"/>
    <xf numFmtId="0" fontId="0" fillId="0" borderId="18" xfId="0" applyFont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164" fontId="6" fillId="0" borderId="1" xfId="0" applyNumberFormat="1" applyFont="1" applyFill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/>
    </xf>
    <xf numFmtId="0" fontId="6" fillId="8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2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49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8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49" fontId="6" fillId="0" borderId="0" xfId="0" applyNumberFormat="1" applyFont="1"/>
    <xf numFmtId="2" fontId="6" fillId="0" borderId="0" xfId="0" applyNumberFormat="1" applyFont="1"/>
    <xf numFmtId="2" fontId="6" fillId="2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3" borderId="0" xfId="0" applyFont="1" applyFill="1" applyAlignment="1">
      <alignment horizontal="center"/>
    </xf>
    <xf numFmtId="16" fontId="6" fillId="3" borderId="0" xfId="0" applyNumberFormat="1" applyFont="1" applyFill="1" applyAlignment="1">
      <alignment horizontal="center"/>
    </xf>
    <xf numFmtId="16" fontId="6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ill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0" fillId="8" borderId="18" xfId="0" applyFill="1" applyBorder="1" applyAlignment="1">
      <alignment horizontal="left" vertical="center"/>
    </xf>
    <xf numFmtId="0" fontId="0" fillId="8" borderId="19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6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9" xfId="0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left"/>
    </xf>
    <xf numFmtId="0" fontId="6" fillId="0" borderId="16" xfId="0" applyFont="1" applyFill="1" applyBorder="1" applyAlignment="1">
      <alignment horizontal="left"/>
    </xf>
    <xf numFmtId="0" fontId="6" fillId="0" borderId="17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99"/>
      <color rgb="FFFFE6C5"/>
      <color rgb="FFEDC6FE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9081-6AAE-4A8B-A1A9-9CE7A13C8B79}">
  <dimension ref="A1:AK121"/>
  <sheetViews>
    <sheetView tabSelected="1" zoomScale="85" zoomScaleNormal="70" workbookViewId="0">
      <pane ySplit="1" topLeftCell="A81" activePane="bottomLeft" state="frozen"/>
      <selection pane="bottomLeft" activeCell="A121" sqref="A121"/>
    </sheetView>
  </sheetViews>
  <sheetFormatPr defaultRowHeight="14.25" x14ac:dyDescent="0.45"/>
  <cols>
    <col min="1" max="1" width="29.9296875" bestFit="1" customWidth="1"/>
    <col min="2" max="2" width="41.265625" style="11" bestFit="1" customWidth="1"/>
    <col min="3" max="3" width="24.46484375" bestFit="1" customWidth="1"/>
    <col min="6" max="6" width="10.59765625" bestFit="1" customWidth="1"/>
    <col min="7" max="7" width="11.1328125" customWidth="1"/>
    <col min="8" max="8" width="20.59765625" bestFit="1" customWidth="1"/>
    <col min="9" max="9" width="23.53125" bestFit="1" customWidth="1"/>
    <col min="11" max="11" width="10.19921875" bestFit="1" customWidth="1"/>
    <col min="12" max="12" width="15.265625" bestFit="1" customWidth="1"/>
    <col min="13" max="13" width="19.73046875" bestFit="1" customWidth="1"/>
    <col min="14" max="14" width="15" bestFit="1" customWidth="1"/>
    <col min="15" max="15" width="14" bestFit="1" customWidth="1"/>
    <col min="16" max="16" width="23.9296875" style="4" bestFit="1" customWidth="1"/>
    <col min="17" max="17" width="23.9296875" customWidth="1"/>
    <col min="18" max="18" width="25.9296875" bestFit="1" customWidth="1"/>
    <col min="19" max="19" width="26.06640625" style="3" bestFit="1" customWidth="1"/>
    <col min="20" max="20" width="33.1328125" bestFit="1" customWidth="1"/>
    <col min="21" max="21" width="33.86328125" bestFit="1" customWidth="1"/>
    <col min="22" max="22" width="32.796875" bestFit="1" customWidth="1"/>
    <col min="23" max="23" width="44.265625" bestFit="1" customWidth="1"/>
    <col min="24" max="24" width="15.53125" bestFit="1" customWidth="1"/>
    <col min="25" max="26" width="16.265625" bestFit="1" customWidth="1"/>
    <col min="27" max="27" width="23.33203125" bestFit="1" customWidth="1"/>
    <col min="28" max="28" width="35.19921875" style="3" bestFit="1" customWidth="1"/>
    <col min="29" max="29" width="31.265625" style="3" bestFit="1" customWidth="1"/>
    <col min="30" max="30" width="36.06640625" style="3" bestFit="1" customWidth="1"/>
    <col min="31" max="31" width="44.73046875" style="3" bestFit="1" customWidth="1"/>
    <col min="32" max="32" width="45.796875" bestFit="1" customWidth="1"/>
  </cols>
  <sheetData>
    <row r="1" spans="1:37" s="38" customFormat="1" ht="13.15" x14ac:dyDescent="0.4">
      <c r="A1" s="34" t="s">
        <v>451</v>
      </c>
      <c r="B1" s="35" t="s">
        <v>342</v>
      </c>
      <c r="C1" s="36" t="s">
        <v>254</v>
      </c>
      <c r="D1" s="34" t="s">
        <v>1</v>
      </c>
      <c r="E1" s="34" t="s">
        <v>2</v>
      </c>
      <c r="F1" s="34" t="s">
        <v>255</v>
      </c>
      <c r="G1" s="39" t="s">
        <v>347</v>
      </c>
      <c r="H1" s="39" t="s">
        <v>346</v>
      </c>
      <c r="I1" s="34" t="s">
        <v>345</v>
      </c>
      <c r="J1" s="39" t="s">
        <v>3</v>
      </c>
      <c r="K1" s="34" t="s">
        <v>256</v>
      </c>
      <c r="L1" s="34" t="s">
        <v>257</v>
      </c>
      <c r="M1" s="34" t="s">
        <v>4</v>
      </c>
      <c r="N1" s="39" t="s">
        <v>348</v>
      </c>
      <c r="O1" s="39" t="s">
        <v>349</v>
      </c>
      <c r="P1" s="40" t="s">
        <v>350</v>
      </c>
      <c r="Q1" s="39" t="s">
        <v>388</v>
      </c>
      <c r="R1" s="39" t="s">
        <v>387</v>
      </c>
      <c r="S1" s="39" t="s">
        <v>391</v>
      </c>
      <c r="T1" s="34" t="s">
        <v>386</v>
      </c>
      <c r="U1" s="39" t="s">
        <v>5</v>
      </c>
      <c r="V1" s="39" t="s">
        <v>351</v>
      </c>
      <c r="W1" s="39" t="s">
        <v>352</v>
      </c>
      <c r="X1" s="39" t="s">
        <v>353</v>
      </c>
      <c r="Y1" s="34" t="s">
        <v>14</v>
      </c>
      <c r="Z1" s="34" t="s">
        <v>59</v>
      </c>
      <c r="AA1" s="39" t="s">
        <v>389</v>
      </c>
      <c r="AB1" s="34" t="s">
        <v>195</v>
      </c>
      <c r="AC1" s="39" t="s">
        <v>381</v>
      </c>
      <c r="AD1" s="39" t="s">
        <v>390</v>
      </c>
      <c r="AE1" s="12" t="s">
        <v>379</v>
      </c>
      <c r="AF1" s="34"/>
      <c r="AG1" s="34"/>
      <c r="AH1" s="34"/>
      <c r="AI1" s="34"/>
      <c r="AJ1" s="37"/>
      <c r="AK1" s="34"/>
    </row>
    <row r="2" spans="1:37" s="6" customFormat="1" x14ac:dyDescent="0.4">
      <c r="A2" s="60" t="s">
        <v>6</v>
      </c>
      <c r="B2" s="61" t="s">
        <v>141</v>
      </c>
      <c r="C2" s="62" t="s">
        <v>135</v>
      </c>
      <c r="D2" s="63" t="s">
        <v>20</v>
      </c>
      <c r="E2" s="63" t="s">
        <v>7</v>
      </c>
      <c r="F2" s="63" t="s">
        <v>7</v>
      </c>
      <c r="G2" s="63">
        <v>44.04</v>
      </c>
      <c r="H2" s="63">
        <v>3.03</v>
      </c>
      <c r="I2" s="64"/>
      <c r="J2" s="63">
        <v>239</v>
      </c>
      <c r="K2" s="63" t="s">
        <v>8</v>
      </c>
      <c r="L2" s="63" t="s">
        <v>258</v>
      </c>
      <c r="M2" s="63">
        <v>17</v>
      </c>
      <c r="N2" s="63">
        <v>11.7</v>
      </c>
      <c r="O2" s="63">
        <v>7</v>
      </c>
      <c r="P2" s="65">
        <f>AVERAGE(8.31,8.92,8.78)</f>
        <v>8.67</v>
      </c>
      <c r="Q2" s="63">
        <v>3</v>
      </c>
      <c r="R2" s="63">
        <v>3</v>
      </c>
      <c r="S2" s="63" t="s">
        <v>7</v>
      </c>
      <c r="T2" s="63" t="s">
        <v>52</v>
      </c>
      <c r="U2" s="63" t="s">
        <v>7</v>
      </c>
      <c r="V2" s="63" t="s">
        <v>136</v>
      </c>
      <c r="W2" s="63">
        <v>78</v>
      </c>
      <c r="X2" s="63">
        <v>41</v>
      </c>
      <c r="Y2" s="63" t="s">
        <v>15</v>
      </c>
      <c r="Z2" s="63" t="s">
        <v>16</v>
      </c>
      <c r="AA2" s="67" t="s">
        <v>137</v>
      </c>
      <c r="AB2" s="63" t="s">
        <v>9</v>
      </c>
      <c r="AC2" s="63" t="s">
        <v>7</v>
      </c>
      <c r="AD2" s="63" t="s">
        <v>7</v>
      </c>
      <c r="AE2" s="63" t="s">
        <v>13</v>
      </c>
      <c r="AF2" s="5"/>
      <c r="AG2" s="5"/>
      <c r="AH2" s="5"/>
      <c r="AI2" s="5"/>
      <c r="AJ2" s="7"/>
      <c r="AK2" s="5"/>
    </row>
    <row r="3" spans="1:37" s="6" customFormat="1" x14ac:dyDescent="0.4">
      <c r="A3" s="68" t="s">
        <v>6</v>
      </c>
      <c r="B3" s="61" t="s">
        <v>141</v>
      </c>
      <c r="C3" s="62" t="s">
        <v>103</v>
      </c>
      <c r="D3" s="66" t="s">
        <v>20</v>
      </c>
      <c r="E3" s="66" t="s">
        <v>7</v>
      </c>
      <c r="F3" s="66" t="s">
        <v>7</v>
      </c>
      <c r="G3" s="66">
        <v>45.5</v>
      </c>
      <c r="H3" s="66">
        <v>2.4</v>
      </c>
      <c r="I3" s="66">
        <v>15</v>
      </c>
      <c r="J3" s="66">
        <v>250</v>
      </c>
      <c r="K3" s="66" t="s">
        <v>8</v>
      </c>
      <c r="L3" s="63" t="s">
        <v>258</v>
      </c>
      <c r="M3" s="66">
        <v>17</v>
      </c>
      <c r="N3" s="66">
        <v>11</v>
      </c>
      <c r="O3" s="66">
        <v>6</v>
      </c>
      <c r="P3" s="69"/>
      <c r="Q3" s="70"/>
      <c r="R3" s="70"/>
      <c r="S3" s="63" t="s">
        <v>7</v>
      </c>
      <c r="T3" s="66" t="s">
        <v>52</v>
      </c>
      <c r="U3" s="66" t="s">
        <v>7</v>
      </c>
      <c r="V3" s="66" t="s">
        <v>7</v>
      </c>
      <c r="W3" s="66">
        <v>56</v>
      </c>
      <c r="X3" s="66">
        <v>29</v>
      </c>
      <c r="Y3" s="70"/>
      <c r="Z3" s="70"/>
      <c r="AA3" s="71" t="s">
        <v>200</v>
      </c>
      <c r="AB3" s="63" t="s">
        <v>9</v>
      </c>
      <c r="AC3" s="63" t="s">
        <v>7</v>
      </c>
      <c r="AD3" s="63" t="s">
        <v>7</v>
      </c>
      <c r="AE3" s="63" t="s">
        <v>13</v>
      </c>
      <c r="AF3" s="5"/>
      <c r="AG3" s="5"/>
      <c r="AH3" s="5"/>
      <c r="AI3" s="5"/>
      <c r="AJ3" s="7"/>
      <c r="AK3" s="5"/>
    </row>
    <row r="4" spans="1:37" x14ac:dyDescent="0.45">
      <c r="A4" s="68" t="s">
        <v>6</v>
      </c>
      <c r="B4" s="61" t="s">
        <v>141</v>
      </c>
      <c r="C4" s="62" t="s">
        <v>76</v>
      </c>
      <c r="D4" s="66" t="s">
        <v>50</v>
      </c>
      <c r="E4" s="66" t="s">
        <v>7</v>
      </c>
      <c r="F4" s="66" t="s">
        <v>7</v>
      </c>
      <c r="G4" s="66">
        <v>44.7</v>
      </c>
      <c r="H4" s="66">
        <v>2.3090000000000002</v>
      </c>
      <c r="I4" s="66">
        <v>15</v>
      </c>
      <c r="J4" s="66">
        <v>257</v>
      </c>
      <c r="K4" s="66" t="s">
        <v>8</v>
      </c>
      <c r="L4" s="63" t="s">
        <v>258</v>
      </c>
      <c r="M4" s="66">
        <v>16</v>
      </c>
      <c r="N4" s="66">
        <v>10.09</v>
      </c>
      <c r="O4" s="66">
        <v>5.18</v>
      </c>
      <c r="P4" s="72">
        <f>AVERAGE(6.25,5.55,6.5)</f>
        <v>6.1000000000000005</v>
      </c>
      <c r="Q4" s="66">
        <v>3</v>
      </c>
      <c r="R4" s="66">
        <v>3</v>
      </c>
      <c r="S4" s="66" t="s">
        <v>7</v>
      </c>
      <c r="T4" s="66" t="s">
        <v>52</v>
      </c>
      <c r="U4" s="66" t="s">
        <v>7</v>
      </c>
      <c r="V4" s="66" t="s">
        <v>7</v>
      </c>
      <c r="W4" s="66">
        <v>52</v>
      </c>
      <c r="X4" s="66">
        <v>26</v>
      </c>
      <c r="Y4" s="66" t="s">
        <v>15</v>
      </c>
      <c r="Z4" s="66" t="s">
        <v>16</v>
      </c>
      <c r="AA4" s="71" t="s">
        <v>96</v>
      </c>
      <c r="AB4" s="66" t="s">
        <v>9</v>
      </c>
      <c r="AC4" s="66" t="s">
        <v>7</v>
      </c>
      <c r="AD4" s="66" t="s">
        <v>7</v>
      </c>
      <c r="AE4" s="66" t="s">
        <v>13</v>
      </c>
    </row>
    <row r="5" spans="1:37" x14ac:dyDescent="0.45">
      <c r="A5" s="68" t="s">
        <v>6</v>
      </c>
      <c r="B5" s="61" t="s">
        <v>141</v>
      </c>
      <c r="C5" s="62" t="s">
        <v>79</v>
      </c>
      <c r="D5" s="66" t="s">
        <v>20</v>
      </c>
      <c r="E5" s="66" t="s">
        <v>7</v>
      </c>
      <c r="F5" s="66" t="s">
        <v>7</v>
      </c>
      <c r="G5" s="66">
        <v>35.1</v>
      </c>
      <c r="H5" s="66">
        <v>2.1349999999999998</v>
      </c>
      <c r="I5" s="66">
        <v>15</v>
      </c>
      <c r="J5" s="66">
        <v>257</v>
      </c>
      <c r="K5" s="66" t="s">
        <v>8</v>
      </c>
      <c r="L5" s="63" t="s">
        <v>258</v>
      </c>
      <c r="M5" s="66">
        <v>20</v>
      </c>
      <c r="N5" s="66">
        <v>7.35</v>
      </c>
      <c r="O5" s="66">
        <v>4.78</v>
      </c>
      <c r="P5" s="72">
        <f>AVERAGE(4.39,4.67,4.7)</f>
        <v>4.586666666666666</v>
      </c>
      <c r="Q5" s="66">
        <v>3</v>
      </c>
      <c r="R5" s="66">
        <v>3</v>
      </c>
      <c r="S5" s="66" t="s">
        <v>7</v>
      </c>
      <c r="T5" s="66" t="s">
        <v>52</v>
      </c>
      <c r="U5" s="66" t="s">
        <v>7</v>
      </c>
      <c r="V5" s="66" t="s">
        <v>88</v>
      </c>
      <c r="W5" s="66">
        <v>52</v>
      </c>
      <c r="X5" s="66">
        <v>28</v>
      </c>
      <c r="Y5" s="66" t="s">
        <v>15</v>
      </c>
      <c r="Z5" s="66" t="s">
        <v>16</v>
      </c>
      <c r="AA5" s="71" t="s">
        <v>99</v>
      </c>
      <c r="AB5" s="66" t="s">
        <v>9</v>
      </c>
      <c r="AC5" s="66" t="s">
        <v>7</v>
      </c>
      <c r="AD5" s="66" t="s">
        <v>7</v>
      </c>
      <c r="AE5" s="66" t="s">
        <v>13</v>
      </c>
    </row>
    <row r="6" spans="1:37" x14ac:dyDescent="0.45">
      <c r="A6" s="68" t="s">
        <v>6</v>
      </c>
      <c r="B6" s="61" t="s">
        <v>141</v>
      </c>
      <c r="C6" s="62" t="s">
        <v>38</v>
      </c>
      <c r="D6" s="66" t="s">
        <v>50</v>
      </c>
      <c r="E6" s="66" t="s">
        <v>7</v>
      </c>
      <c r="F6" s="66" t="s">
        <v>7</v>
      </c>
      <c r="G6" s="66">
        <v>44.1</v>
      </c>
      <c r="H6" s="66">
        <v>1.8</v>
      </c>
      <c r="I6" s="66">
        <v>15</v>
      </c>
      <c r="J6" s="66">
        <v>257</v>
      </c>
      <c r="K6" s="66" t="s">
        <v>8</v>
      </c>
      <c r="L6" s="63" t="s">
        <v>258</v>
      </c>
      <c r="M6" s="66">
        <v>13</v>
      </c>
      <c r="N6" s="66">
        <v>9.9600000000000009</v>
      </c>
      <c r="O6" s="66">
        <v>5.38</v>
      </c>
      <c r="P6" s="72">
        <f>AVERAGE(5.06,5.69,5.12)</f>
        <v>5.29</v>
      </c>
      <c r="Q6" s="66">
        <v>3</v>
      </c>
      <c r="R6" s="66">
        <v>3</v>
      </c>
      <c r="S6" s="66" t="s">
        <v>7</v>
      </c>
      <c r="T6" s="66" t="s">
        <v>53</v>
      </c>
      <c r="U6" s="66" t="s">
        <v>7</v>
      </c>
      <c r="V6" s="66" t="s">
        <v>7</v>
      </c>
      <c r="W6" s="66">
        <v>48</v>
      </c>
      <c r="X6" s="66">
        <v>24</v>
      </c>
      <c r="Y6" s="66" t="s">
        <v>15</v>
      </c>
      <c r="Z6" s="66" t="s">
        <v>16</v>
      </c>
      <c r="AA6" s="71" t="s">
        <v>63</v>
      </c>
      <c r="AB6" s="66" t="s">
        <v>9</v>
      </c>
      <c r="AC6" s="66" t="s">
        <v>7</v>
      </c>
      <c r="AD6" s="66" t="s">
        <v>7</v>
      </c>
      <c r="AE6" s="66" t="s">
        <v>13</v>
      </c>
    </row>
    <row r="7" spans="1:37" x14ac:dyDescent="0.45">
      <c r="A7" s="68" t="s">
        <v>6</v>
      </c>
      <c r="B7" s="61" t="s">
        <v>141</v>
      </c>
      <c r="C7" s="62" t="s">
        <v>80</v>
      </c>
      <c r="D7" s="66" t="s">
        <v>23</v>
      </c>
      <c r="E7" s="66" t="s">
        <v>7</v>
      </c>
      <c r="F7" s="66" t="s">
        <v>7</v>
      </c>
      <c r="G7" s="66">
        <v>44.15</v>
      </c>
      <c r="H7" s="66">
        <v>2.4430000000000001</v>
      </c>
      <c r="I7" s="66">
        <v>15</v>
      </c>
      <c r="J7" s="66">
        <v>232</v>
      </c>
      <c r="K7" s="66" t="s">
        <v>8</v>
      </c>
      <c r="L7" s="63" t="s">
        <v>258</v>
      </c>
      <c r="M7" s="66">
        <v>20</v>
      </c>
      <c r="N7" s="66">
        <v>8.1199999999999992</v>
      </c>
      <c r="O7" s="66">
        <v>6.39</v>
      </c>
      <c r="P7" s="72">
        <f>AVERAGE(6.97,7.04,7.38)</f>
        <v>7.13</v>
      </c>
      <c r="Q7" s="66">
        <v>3</v>
      </c>
      <c r="R7" s="66">
        <v>3</v>
      </c>
      <c r="S7" s="66" t="s">
        <v>7</v>
      </c>
      <c r="T7" s="66" t="s">
        <v>53</v>
      </c>
      <c r="U7" s="66" t="s">
        <v>7</v>
      </c>
      <c r="V7" s="66" t="s">
        <v>7</v>
      </c>
      <c r="W7" s="66">
        <v>54</v>
      </c>
      <c r="X7" s="66">
        <v>29</v>
      </c>
      <c r="Y7" s="66" t="s">
        <v>15</v>
      </c>
      <c r="Z7" s="66" t="s">
        <v>15</v>
      </c>
      <c r="AA7" s="71" t="s">
        <v>64</v>
      </c>
      <c r="AB7" s="66" t="s">
        <v>9</v>
      </c>
      <c r="AC7" s="66" t="s">
        <v>7</v>
      </c>
      <c r="AD7" s="66" t="s">
        <v>7</v>
      </c>
      <c r="AE7" s="66" t="s">
        <v>13</v>
      </c>
    </row>
    <row r="8" spans="1:37" x14ac:dyDescent="0.45">
      <c r="A8" s="68" t="s">
        <v>6</v>
      </c>
      <c r="B8" s="61" t="s">
        <v>141</v>
      </c>
      <c r="C8" s="73" t="s">
        <v>36</v>
      </c>
      <c r="D8" s="66" t="s">
        <v>50</v>
      </c>
      <c r="E8" s="66" t="s">
        <v>7</v>
      </c>
      <c r="F8" s="66" t="s">
        <v>7</v>
      </c>
      <c r="G8" s="66">
        <v>51.3</v>
      </c>
      <c r="H8" s="66">
        <v>3</v>
      </c>
      <c r="I8" s="66">
        <v>15</v>
      </c>
      <c r="J8" s="66">
        <v>224</v>
      </c>
      <c r="K8" s="66" t="s">
        <v>8</v>
      </c>
      <c r="L8" s="63" t="s">
        <v>258</v>
      </c>
      <c r="M8" s="66">
        <v>20</v>
      </c>
      <c r="N8" s="66">
        <v>12.53</v>
      </c>
      <c r="O8" s="66">
        <v>8.57</v>
      </c>
      <c r="P8" s="72">
        <f>AVERAGE(9.28,8.97,9.27)</f>
        <v>9.1733333333333338</v>
      </c>
      <c r="Q8" s="66">
        <v>3</v>
      </c>
      <c r="R8" s="66">
        <v>3</v>
      </c>
      <c r="S8" s="66" t="s">
        <v>7</v>
      </c>
      <c r="T8" s="66" t="s">
        <v>52</v>
      </c>
      <c r="U8" s="66" t="s">
        <v>7</v>
      </c>
      <c r="V8" s="66" t="s">
        <v>54</v>
      </c>
      <c r="W8" s="66">
        <v>44</v>
      </c>
      <c r="X8" s="66">
        <v>23</v>
      </c>
      <c r="Y8" s="66" t="s">
        <v>15</v>
      </c>
      <c r="Z8" s="66" t="s">
        <v>16</v>
      </c>
      <c r="AA8" s="71" t="s">
        <v>61</v>
      </c>
      <c r="AB8" s="66" t="s">
        <v>9</v>
      </c>
      <c r="AC8" s="66" t="s">
        <v>7</v>
      </c>
      <c r="AD8" s="66" t="s">
        <v>7</v>
      </c>
      <c r="AE8" s="66" t="s">
        <v>13</v>
      </c>
    </row>
    <row r="9" spans="1:37" x14ac:dyDescent="0.45">
      <c r="A9" s="68" t="s">
        <v>6</v>
      </c>
      <c r="B9" s="61" t="s">
        <v>141</v>
      </c>
      <c r="C9" s="73" t="s">
        <v>39</v>
      </c>
      <c r="D9" s="66" t="s">
        <v>50</v>
      </c>
      <c r="E9" s="66" t="s">
        <v>7</v>
      </c>
      <c r="F9" s="66" t="s">
        <v>7</v>
      </c>
      <c r="G9" s="66">
        <v>39.85</v>
      </c>
      <c r="H9" s="66">
        <v>2.7</v>
      </c>
      <c r="I9" s="66">
        <v>15</v>
      </c>
      <c r="J9" s="66">
        <v>230</v>
      </c>
      <c r="K9" s="66" t="s">
        <v>8</v>
      </c>
      <c r="L9" s="63" t="s">
        <v>258</v>
      </c>
      <c r="M9" s="66">
        <v>19</v>
      </c>
      <c r="N9" s="66">
        <v>8.1300000000000008</v>
      </c>
      <c r="O9" s="66">
        <v>6.7</v>
      </c>
      <c r="P9" s="72">
        <f>AVERAGE(7.42,7.6,7.58)</f>
        <v>7.5333333333333341</v>
      </c>
      <c r="Q9" s="66">
        <v>3</v>
      </c>
      <c r="R9" s="66">
        <v>3</v>
      </c>
      <c r="S9" s="66" t="s">
        <v>7</v>
      </c>
      <c r="T9" s="66" t="s">
        <v>52</v>
      </c>
      <c r="U9" s="66" t="s">
        <v>7</v>
      </c>
      <c r="V9" s="66" t="s">
        <v>56</v>
      </c>
      <c r="W9" s="66">
        <v>54</v>
      </c>
      <c r="X9" s="66">
        <v>28</v>
      </c>
      <c r="Y9" s="66" t="s">
        <v>15</v>
      </c>
      <c r="Z9" s="66" t="s">
        <v>16</v>
      </c>
      <c r="AA9" s="71" t="s">
        <v>64</v>
      </c>
      <c r="AB9" s="66" t="s">
        <v>9</v>
      </c>
      <c r="AC9" s="66" t="s">
        <v>7</v>
      </c>
      <c r="AD9" s="66" t="s">
        <v>7</v>
      </c>
      <c r="AE9" s="66" t="s">
        <v>13</v>
      </c>
    </row>
    <row r="10" spans="1:37" x14ac:dyDescent="0.45">
      <c r="A10" s="68" t="s">
        <v>104</v>
      </c>
      <c r="B10" s="61" t="s">
        <v>141</v>
      </c>
      <c r="C10" s="74" t="s">
        <v>113</v>
      </c>
      <c r="D10" s="66" t="s">
        <v>11</v>
      </c>
      <c r="E10" s="66" t="s">
        <v>7</v>
      </c>
      <c r="F10" s="66" t="s">
        <v>7</v>
      </c>
      <c r="G10" s="66">
        <v>22.4</v>
      </c>
      <c r="H10" s="66">
        <v>0.8</v>
      </c>
      <c r="I10" s="66">
        <v>15</v>
      </c>
      <c r="J10" s="66">
        <v>246</v>
      </c>
      <c r="K10" s="66" t="s">
        <v>8</v>
      </c>
      <c r="L10" s="63" t="s">
        <v>258</v>
      </c>
      <c r="M10" s="66">
        <v>19</v>
      </c>
      <c r="N10" s="66">
        <v>6.6</v>
      </c>
      <c r="O10" s="66">
        <v>4.5999999999999996</v>
      </c>
      <c r="P10" s="72">
        <f>AVERAGE(3.99,3.77,4.13)</f>
        <v>3.9633333333333334</v>
      </c>
      <c r="Q10" s="66">
        <v>3</v>
      </c>
      <c r="R10" s="66">
        <v>3</v>
      </c>
      <c r="S10" s="66" t="s">
        <v>7</v>
      </c>
      <c r="T10" s="66" t="s">
        <v>52</v>
      </c>
      <c r="U10" s="66" t="s">
        <v>7</v>
      </c>
      <c r="V10" s="66" t="s">
        <v>7</v>
      </c>
      <c r="W10" s="66">
        <v>32</v>
      </c>
      <c r="X10" s="66">
        <v>30</v>
      </c>
      <c r="Y10" s="66" t="s">
        <v>15</v>
      </c>
      <c r="Z10" s="66" t="s">
        <v>16</v>
      </c>
      <c r="AA10" s="71" t="s">
        <v>97</v>
      </c>
      <c r="AB10" s="66" t="s">
        <v>7</v>
      </c>
      <c r="AC10" s="66" t="s">
        <v>7</v>
      </c>
      <c r="AD10" s="66" t="s">
        <v>7</v>
      </c>
      <c r="AE10" s="66" t="s">
        <v>7</v>
      </c>
    </row>
    <row r="11" spans="1:37" x14ac:dyDescent="0.45">
      <c r="A11" s="68" t="s">
        <v>6</v>
      </c>
      <c r="B11" s="61" t="s">
        <v>141</v>
      </c>
      <c r="C11" s="73" t="s">
        <v>107</v>
      </c>
      <c r="D11" s="66" t="s">
        <v>20</v>
      </c>
      <c r="E11" s="66" t="s">
        <v>7</v>
      </c>
      <c r="F11" s="66" t="s">
        <v>7</v>
      </c>
      <c r="G11" s="66">
        <v>55.5</v>
      </c>
      <c r="H11" s="66">
        <v>3</v>
      </c>
      <c r="I11" s="66">
        <v>15</v>
      </c>
      <c r="J11" s="66">
        <v>245</v>
      </c>
      <c r="K11" s="66" t="s">
        <v>8</v>
      </c>
      <c r="L11" s="63" t="s">
        <v>258</v>
      </c>
      <c r="M11" s="66">
        <v>18</v>
      </c>
      <c r="N11" s="66">
        <v>12.1</v>
      </c>
      <c r="O11" s="66">
        <v>6.5</v>
      </c>
      <c r="P11" s="72">
        <f>AVERAGE(8.94,8.64,8.77)</f>
        <v>8.7833333333333332</v>
      </c>
      <c r="Q11" s="66">
        <v>4</v>
      </c>
      <c r="R11" s="66">
        <v>3</v>
      </c>
      <c r="S11" s="66" t="s">
        <v>209</v>
      </c>
      <c r="T11" s="66" t="s">
        <v>53</v>
      </c>
      <c r="U11" s="66" t="s">
        <v>7</v>
      </c>
      <c r="V11" s="66" t="s">
        <v>7</v>
      </c>
      <c r="W11" s="66">
        <v>60</v>
      </c>
      <c r="X11" s="66">
        <v>32</v>
      </c>
      <c r="Y11" s="70"/>
      <c r="Z11" s="70"/>
      <c r="AA11" s="71" t="s">
        <v>119</v>
      </c>
      <c r="AB11" s="66" t="s">
        <v>9</v>
      </c>
      <c r="AC11" s="66" t="s">
        <v>7</v>
      </c>
      <c r="AD11" s="66" t="s">
        <v>7</v>
      </c>
      <c r="AE11" s="66" t="s">
        <v>13</v>
      </c>
    </row>
    <row r="12" spans="1:37" x14ac:dyDescent="0.45">
      <c r="A12" s="68" t="s">
        <v>6</v>
      </c>
      <c r="B12" s="61" t="s">
        <v>141</v>
      </c>
      <c r="C12" s="73" t="s">
        <v>106</v>
      </c>
      <c r="D12" s="66" t="s">
        <v>20</v>
      </c>
      <c r="E12" s="66" t="s">
        <v>7</v>
      </c>
      <c r="F12" s="66" t="s">
        <v>7</v>
      </c>
      <c r="G12" s="66">
        <v>56.5</v>
      </c>
      <c r="H12" s="66">
        <v>3.1</v>
      </c>
      <c r="I12" s="66">
        <v>15</v>
      </c>
      <c r="J12" s="66">
        <v>246</v>
      </c>
      <c r="K12" s="66" t="s">
        <v>8</v>
      </c>
      <c r="L12" s="63" t="s">
        <v>258</v>
      </c>
      <c r="M12" s="66">
        <v>18</v>
      </c>
      <c r="N12" s="66">
        <v>12.7</v>
      </c>
      <c r="O12" s="66">
        <v>6.6</v>
      </c>
      <c r="P12" s="72">
        <f>AVERAGE(7.98,8.5,8.25)</f>
        <v>8.2433333333333341</v>
      </c>
      <c r="Q12" s="66">
        <v>4</v>
      </c>
      <c r="R12" s="66">
        <v>5</v>
      </c>
      <c r="S12" s="66" t="s">
        <v>7</v>
      </c>
      <c r="T12" s="66" t="s">
        <v>52</v>
      </c>
      <c r="U12" s="66" t="s">
        <v>7</v>
      </c>
      <c r="V12" s="66" t="s">
        <v>117</v>
      </c>
      <c r="W12" s="66">
        <v>56</v>
      </c>
      <c r="X12" s="66">
        <v>30</v>
      </c>
      <c r="Y12" s="66" t="s">
        <v>15</v>
      </c>
      <c r="Z12" s="66" t="s">
        <v>16</v>
      </c>
      <c r="AA12" s="71" t="s">
        <v>97</v>
      </c>
      <c r="AB12" s="66" t="s">
        <v>9</v>
      </c>
      <c r="AC12" s="66" t="s">
        <v>7</v>
      </c>
      <c r="AD12" s="66" t="s">
        <v>214</v>
      </c>
      <c r="AE12" s="66" t="s">
        <v>13</v>
      </c>
    </row>
    <row r="13" spans="1:37" x14ac:dyDescent="0.45">
      <c r="A13" s="68" t="s">
        <v>104</v>
      </c>
      <c r="B13" s="61" t="s">
        <v>141</v>
      </c>
      <c r="C13" s="73" t="s">
        <v>111</v>
      </c>
      <c r="D13" s="66" t="s">
        <v>20</v>
      </c>
      <c r="E13" s="66" t="s">
        <v>7</v>
      </c>
      <c r="F13" s="66" t="s">
        <v>7</v>
      </c>
      <c r="G13" s="66">
        <v>54</v>
      </c>
      <c r="H13" s="66">
        <v>3.9</v>
      </c>
      <c r="I13" s="66">
        <v>15</v>
      </c>
      <c r="J13" s="66">
        <v>243</v>
      </c>
      <c r="K13" s="66" t="s">
        <v>8</v>
      </c>
      <c r="L13" s="63" t="s">
        <v>258</v>
      </c>
      <c r="M13" s="66">
        <v>21</v>
      </c>
      <c r="N13" s="66">
        <v>9.9</v>
      </c>
      <c r="O13" s="66">
        <v>7.3</v>
      </c>
      <c r="P13" s="72">
        <f>AVERAGE(7.26,8.05,8.2)</f>
        <v>7.836666666666666</v>
      </c>
      <c r="Q13" s="66">
        <v>3</v>
      </c>
      <c r="R13" s="66">
        <v>3</v>
      </c>
      <c r="S13" s="66" t="s">
        <v>7</v>
      </c>
      <c r="T13" s="66" t="s">
        <v>52</v>
      </c>
      <c r="U13" s="66" t="s">
        <v>7</v>
      </c>
      <c r="V13" s="66" t="s">
        <v>7</v>
      </c>
      <c r="W13" s="66">
        <v>56</v>
      </c>
      <c r="X13" s="66">
        <v>29</v>
      </c>
      <c r="Y13" s="66" t="s">
        <v>15</v>
      </c>
      <c r="Z13" s="66" t="s">
        <v>16</v>
      </c>
      <c r="AA13" s="71" t="s">
        <v>121</v>
      </c>
      <c r="AB13" s="66" t="s">
        <v>9</v>
      </c>
      <c r="AC13" s="66" t="s">
        <v>7</v>
      </c>
      <c r="AD13" s="66" t="s">
        <v>7</v>
      </c>
      <c r="AE13" s="66" t="s">
        <v>13</v>
      </c>
    </row>
    <row r="14" spans="1:37" x14ac:dyDescent="0.45">
      <c r="A14" s="68" t="s">
        <v>6</v>
      </c>
      <c r="B14" s="61" t="s">
        <v>141</v>
      </c>
      <c r="C14" s="73" t="s">
        <v>453</v>
      </c>
      <c r="D14" s="66" t="s">
        <v>20</v>
      </c>
      <c r="E14" s="66" t="s">
        <v>7</v>
      </c>
      <c r="F14" s="66" t="s">
        <v>7</v>
      </c>
      <c r="G14" s="66">
        <v>46.7</v>
      </c>
      <c r="H14" s="66">
        <v>2.19</v>
      </c>
      <c r="I14" s="66">
        <v>15</v>
      </c>
      <c r="J14" s="66">
        <v>261</v>
      </c>
      <c r="K14" s="66" t="s">
        <v>8</v>
      </c>
      <c r="L14" s="63" t="s">
        <v>258</v>
      </c>
      <c r="M14" s="66">
        <v>16</v>
      </c>
      <c r="N14" s="66">
        <v>11.23</v>
      </c>
      <c r="O14" s="66">
        <v>7.07</v>
      </c>
      <c r="P14" s="72">
        <f>AVERAGE(7.57,6.97,6.86)</f>
        <v>7.1333333333333329</v>
      </c>
      <c r="Q14" s="66" t="s">
        <v>20</v>
      </c>
      <c r="R14" s="66">
        <v>3</v>
      </c>
      <c r="S14" s="66" t="s">
        <v>7</v>
      </c>
      <c r="T14" s="66" t="s">
        <v>13</v>
      </c>
      <c r="U14" s="66" t="s">
        <v>7</v>
      </c>
      <c r="V14" s="66" t="s">
        <v>7</v>
      </c>
      <c r="W14" s="66">
        <v>57</v>
      </c>
      <c r="X14" s="66">
        <v>30</v>
      </c>
      <c r="Y14" s="66" t="s">
        <v>15</v>
      </c>
      <c r="Z14" s="66" t="s">
        <v>13</v>
      </c>
      <c r="AA14" s="71" t="s">
        <v>64</v>
      </c>
      <c r="AB14" s="66" t="s">
        <v>9</v>
      </c>
      <c r="AC14" s="66" t="s">
        <v>7</v>
      </c>
      <c r="AD14" s="66" t="s">
        <v>7</v>
      </c>
      <c r="AE14" s="66" t="s">
        <v>13</v>
      </c>
    </row>
    <row r="15" spans="1:37" x14ac:dyDescent="0.45">
      <c r="A15" s="68" t="s">
        <v>6</v>
      </c>
      <c r="B15" s="61" t="s">
        <v>141</v>
      </c>
      <c r="C15" s="73" t="s">
        <v>454</v>
      </c>
      <c r="D15" s="66" t="s">
        <v>20</v>
      </c>
      <c r="E15" s="66" t="s">
        <v>7</v>
      </c>
      <c r="F15" s="66" t="s">
        <v>7</v>
      </c>
      <c r="G15" s="66">
        <v>42.67</v>
      </c>
      <c r="H15" s="66">
        <v>2.63</v>
      </c>
      <c r="I15" s="66">
        <v>15</v>
      </c>
      <c r="J15" s="66">
        <v>227</v>
      </c>
      <c r="K15" s="66" t="s">
        <v>8</v>
      </c>
      <c r="L15" s="63" t="s">
        <v>258</v>
      </c>
      <c r="M15" s="66">
        <v>18</v>
      </c>
      <c r="N15" s="66">
        <v>12.56</v>
      </c>
      <c r="O15" s="66">
        <v>7</v>
      </c>
      <c r="P15" s="72">
        <f>AVERAGE(9.45,8.17,9.55)</f>
        <v>9.0566666666666666</v>
      </c>
      <c r="Q15" s="66">
        <v>4</v>
      </c>
      <c r="R15" s="66">
        <v>3</v>
      </c>
      <c r="S15" s="66" t="s">
        <v>209</v>
      </c>
      <c r="T15" s="66" t="s">
        <v>52</v>
      </c>
      <c r="U15" s="66" t="s">
        <v>7</v>
      </c>
      <c r="V15" s="66" t="s">
        <v>158</v>
      </c>
      <c r="W15" s="66">
        <v>54</v>
      </c>
      <c r="X15" s="66">
        <v>28</v>
      </c>
      <c r="Y15" s="66" t="s">
        <v>15</v>
      </c>
      <c r="Z15" s="66" t="s">
        <v>16</v>
      </c>
      <c r="AA15" s="71" t="s">
        <v>159</v>
      </c>
      <c r="AB15" s="66" t="s">
        <v>9</v>
      </c>
      <c r="AC15" s="66" t="s">
        <v>7</v>
      </c>
      <c r="AD15" s="66" t="s">
        <v>7</v>
      </c>
      <c r="AE15" s="66" t="s">
        <v>13</v>
      </c>
    </row>
    <row r="16" spans="1:37" x14ac:dyDescent="0.45">
      <c r="A16" s="68" t="s">
        <v>143</v>
      </c>
      <c r="B16" s="61" t="s">
        <v>141</v>
      </c>
      <c r="C16" s="75" t="s">
        <v>421</v>
      </c>
      <c r="D16" s="63" t="s">
        <v>20</v>
      </c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7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8"/>
      <c r="AB16" s="76"/>
      <c r="AC16" s="76"/>
      <c r="AD16" s="76"/>
      <c r="AE16" s="76"/>
    </row>
    <row r="17" spans="1:31" x14ac:dyDescent="0.45">
      <c r="A17" s="68" t="s">
        <v>143</v>
      </c>
      <c r="B17" s="61" t="s">
        <v>141</v>
      </c>
      <c r="C17" s="55" t="s">
        <v>423</v>
      </c>
      <c r="D17" s="63" t="s">
        <v>20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72"/>
      <c r="Q17" s="66"/>
      <c r="R17" s="66"/>
      <c r="S17" s="38"/>
      <c r="T17" s="38"/>
      <c r="U17" s="38"/>
      <c r="V17" s="38"/>
      <c r="W17" s="38"/>
      <c r="X17" s="38"/>
      <c r="Y17" s="38"/>
      <c r="Z17" s="38"/>
      <c r="AA17" s="79"/>
      <c r="AB17" s="38"/>
      <c r="AC17" s="38"/>
      <c r="AD17" s="38"/>
      <c r="AE17" s="38"/>
    </row>
    <row r="18" spans="1:31" x14ac:dyDescent="0.45">
      <c r="A18" s="68" t="s">
        <v>143</v>
      </c>
      <c r="B18" s="61" t="s">
        <v>141</v>
      </c>
      <c r="C18" s="75" t="s">
        <v>265</v>
      </c>
      <c r="D18" s="63" t="s">
        <v>20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80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79"/>
      <c r="AB18" s="38"/>
      <c r="AC18" s="38"/>
      <c r="AD18" s="38"/>
      <c r="AE18" s="38"/>
    </row>
    <row r="19" spans="1:31" x14ac:dyDescent="0.45">
      <c r="A19" s="68" t="s">
        <v>143</v>
      </c>
      <c r="B19" s="61" t="s">
        <v>141</v>
      </c>
      <c r="C19" s="75" t="s">
        <v>264</v>
      </c>
      <c r="D19" s="63" t="s">
        <v>20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80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79"/>
      <c r="AB19" s="38"/>
      <c r="AC19" s="38"/>
      <c r="AD19" s="38"/>
      <c r="AE19" s="38"/>
    </row>
    <row r="20" spans="1:31" x14ac:dyDescent="0.45">
      <c r="A20" s="68" t="s">
        <v>143</v>
      </c>
      <c r="B20" s="61" t="s">
        <v>141</v>
      </c>
      <c r="C20" s="73" t="s">
        <v>186</v>
      </c>
      <c r="D20" s="63" t="s">
        <v>20</v>
      </c>
      <c r="E20" s="63" t="s">
        <v>7</v>
      </c>
      <c r="F20" s="63" t="s">
        <v>7</v>
      </c>
      <c r="G20" s="63">
        <v>34.35</v>
      </c>
      <c r="H20" s="63">
        <v>1.9870000000000001</v>
      </c>
      <c r="I20" s="66">
        <v>15</v>
      </c>
      <c r="J20" s="63">
        <v>251</v>
      </c>
      <c r="K20" s="63" t="s">
        <v>8</v>
      </c>
      <c r="L20" s="63" t="s">
        <v>258</v>
      </c>
      <c r="M20" s="63" t="s">
        <v>262</v>
      </c>
      <c r="N20" s="66">
        <v>9.51</v>
      </c>
      <c r="O20" s="66">
        <v>5.59</v>
      </c>
      <c r="P20" s="72">
        <f>AVERAGE(7.21,6.21,6.04)</f>
        <v>6.4866666666666672</v>
      </c>
      <c r="Q20" s="66">
        <v>3</v>
      </c>
      <c r="R20" s="66">
        <v>3</v>
      </c>
      <c r="S20" s="66" t="s">
        <v>7</v>
      </c>
      <c r="T20" s="66" t="s">
        <v>52</v>
      </c>
      <c r="U20" s="66" t="s">
        <v>7</v>
      </c>
      <c r="V20" s="66" t="s">
        <v>7</v>
      </c>
      <c r="W20" s="66">
        <v>54</v>
      </c>
      <c r="X20" s="66">
        <v>29</v>
      </c>
      <c r="Y20" s="66" t="s">
        <v>15</v>
      </c>
      <c r="Z20" s="66" t="s">
        <v>16</v>
      </c>
      <c r="AA20" s="71" t="s">
        <v>65</v>
      </c>
      <c r="AB20" s="66" t="s">
        <v>9</v>
      </c>
      <c r="AC20" s="66" t="s">
        <v>7</v>
      </c>
      <c r="AD20" s="66" t="s">
        <v>7</v>
      </c>
      <c r="AE20" s="66" t="s">
        <v>13</v>
      </c>
    </row>
    <row r="21" spans="1:31" x14ac:dyDescent="0.45">
      <c r="A21" s="68" t="s">
        <v>6</v>
      </c>
      <c r="B21" s="61" t="s">
        <v>141</v>
      </c>
      <c r="C21" s="73" t="s">
        <v>179</v>
      </c>
      <c r="D21" s="63" t="s">
        <v>20</v>
      </c>
      <c r="E21" s="63" t="s">
        <v>7</v>
      </c>
      <c r="F21" s="63" t="s">
        <v>7</v>
      </c>
      <c r="G21" s="64"/>
      <c r="H21" s="64"/>
      <c r="I21" s="64"/>
      <c r="J21" s="63">
        <v>263</v>
      </c>
      <c r="K21" s="63" t="s">
        <v>8</v>
      </c>
      <c r="L21" s="63" t="s">
        <v>258</v>
      </c>
      <c r="M21" s="63">
        <v>18</v>
      </c>
      <c r="N21" s="64"/>
      <c r="O21" s="64"/>
      <c r="P21" s="81"/>
      <c r="Q21" s="64"/>
      <c r="R21" s="64"/>
      <c r="S21" s="70"/>
      <c r="T21" s="66" t="s">
        <v>52</v>
      </c>
      <c r="U21" s="66" t="s">
        <v>102</v>
      </c>
      <c r="V21" s="66" t="s">
        <v>7</v>
      </c>
      <c r="W21" s="66">
        <v>58</v>
      </c>
      <c r="X21" s="66">
        <v>31</v>
      </c>
      <c r="Y21" s="70"/>
      <c r="Z21" s="70"/>
      <c r="AA21" s="71" t="s">
        <v>64</v>
      </c>
      <c r="AB21" s="66" t="s">
        <v>9</v>
      </c>
      <c r="AC21" s="66" t="s">
        <v>7</v>
      </c>
      <c r="AD21" s="66" t="s">
        <v>7</v>
      </c>
      <c r="AE21" s="66" t="s">
        <v>13</v>
      </c>
    </row>
    <row r="22" spans="1:31" x14ac:dyDescent="0.45">
      <c r="A22" s="68" t="s">
        <v>143</v>
      </c>
      <c r="B22" s="61" t="s">
        <v>141</v>
      </c>
      <c r="C22" s="74" t="s">
        <v>180</v>
      </c>
      <c r="D22" s="63" t="s">
        <v>189</v>
      </c>
      <c r="E22" s="63" t="s">
        <v>7</v>
      </c>
      <c r="F22" s="63" t="s">
        <v>7</v>
      </c>
      <c r="G22" s="63">
        <v>18.5</v>
      </c>
      <c r="H22" s="63">
        <v>1.1000000000000001</v>
      </c>
      <c r="I22" s="66">
        <v>15</v>
      </c>
      <c r="J22" s="63">
        <v>224</v>
      </c>
      <c r="K22" s="63" t="s">
        <v>8</v>
      </c>
      <c r="L22" s="63" t="s">
        <v>258</v>
      </c>
      <c r="M22" s="63">
        <v>20</v>
      </c>
      <c r="N22" s="66">
        <v>5.7</v>
      </c>
      <c r="O22" s="63" t="s">
        <v>13</v>
      </c>
      <c r="P22" s="65">
        <f>AVERAGE(4.11,3.98,3.31)</f>
        <v>3.8000000000000003</v>
      </c>
      <c r="Q22" s="64"/>
      <c r="R22" s="64"/>
      <c r="S22" s="66" t="s">
        <v>13</v>
      </c>
      <c r="T22" s="64"/>
      <c r="U22" s="66" t="s">
        <v>7</v>
      </c>
      <c r="V22" s="66" t="s">
        <v>7</v>
      </c>
      <c r="W22" s="66">
        <v>23</v>
      </c>
      <c r="X22" s="66">
        <v>26</v>
      </c>
      <c r="Y22" s="66" t="s">
        <v>15</v>
      </c>
      <c r="Z22" s="70"/>
      <c r="AA22" s="71" t="s">
        <v>188</v>
      </c>
      <c r="AB22" s="66" t="s">
        <v>7</v>
      </c>
      <c r="AC22" s="66" t="s">
        <v>7</v>
      </c>
      <c r="AD22" s="66" t="s">
        <v>7</v>
      </c>
      <c r="AE22" s="66" t="s">
        <v>7</v>
      </c>
    </row>
    <row r="23" spans="1:31" x14ac:dyDescent="0.45">
      <c r="A23" s="68" t="s">
        <v>6</v>
      </c>
      <c r="B23" s="61" t="s">
        <v>141</v>
      </c>
      <c r="C23" s="73" t="s">
        <v>182</v>
      </c>
      <c r="D23" s="63" t="s">
        <v>20</v>
      </c>
      <c r="E23" s="63" t="s">
        <v>7</v>
      </c>
      <c r="F23" s="63" t="s">
        <v>7</v>
      </c>
      <c r="G23" s="64"/>
      <c r="H23" s="64"/>
      <c r="I23" s="64"/>
      <c r="J23" s="63">
        <v>210</v>
      </c>
      <c r="K23" s="63" t="s">
        <v>8</v>
      </c>
      <c r="L23" s="63" t="s">
        <v>258</v>
      </c>
      <c r="M23" s="63">
        <v>18</v>
      </c>
      <c r="N23" s="64"/>
      <c r="O23" s="64"/>
      <c r="P23" s="81"/>
      <c r="Q23" s="64"/>
      <c r="R23" s="64"/>
      <c r="S23" s="66" t="s">
        <v>209</v>
      </c>
      <c r="T23" s="66" t="s">
        <v>52</v>
      </c>
      <c r="U23" s="66" t="s">
        <v>7</v>
      </c>
      <c r="V23" s="66" t="s">
        <v>7</v>
      </c>
      <c r="W23" s="66">
        <v>52</v>
      </c>
      <c r="X23" s="66">
        <v>27</v>
      </c>
      <c r="Y23" s="70"/>
      <c r="Z23" s="70"/>
      <c r="AA23" s="71" t="s">
        <v>193</v>
      </c>
      <c r="AB23" s="66" t="s">
        <v>9</v>
      </c>
      <c r="AC23" s="66" t="s">
        <v>7</v>
      </c>
      <c r="AD23" s="66" t="s">
        <v>7</v>
      </c>
      <c r="AE23" s="66" t="s">
        <v>13</v>
      </c>
    </row>
    <row r="24" spans="1:31" x14ac:dyDescent="0.45">
      <c r="A24" s="60" t="s">
        <v>6</v>
      </c>
      <c r="B24" s="82" t="s">
        <v>461</v>
      </c>
      <c r="C24" s="62" t="s">
        <v>134</v>
      </c>
      <c r="D24" s="63" t="s">
        <v>20</v>
      </c>
      <c r="E24" s="63" t="s">
        <v>7</v>
      </c>
      <c r="F24" s="63" t="s">
        <v>7</v>
      </c>
      <c r="G24" s="63">
        <v>46.98</v>
      </c>
      <c r="H24" s="63">
        <v>2.14</v>
      </c>
      <c r="I24" s="64"/>
      <c r="J24" s="63">
        <v>230</v>
      </c>
      <c r="K24" s="63" t="s">
        <v>8</v>
      </c>
      <c r="L24" s="63" t="s">
        <v>258</v>
      </c>
      <c r="M24" s="63">
        <v>19</v>
      </c>
      <c r="N24" s="63">
        <v>12.1</v>
      </c>
      <c r="O24" s="63">
        <v>7.49</v>
      </c>
      <c r="P24" s="65">
        <f>AVERAGE(10.2,10.4,10.1)</f>
        <v>10.233333333333334</v>
      </c>
      <c r="Q24" s="63">
        <v>3</v>
      </c>
      <c r="R24" s="63">
        <v>4</v>
      </c>
      <c r="S24" s="63" t="s">
        <v>7</v>
      </c>
      <c r="T24" s="63" t="s">
        <v>52</v>
      </c>
      <c r="U24" s="63" t="s">
        <v>7</v>
      </c>
      <c r="V24" s="66" t="s">
        <v>87</v>
      </c>
      <c r="W24" s="63" t="s">
        <v>147</v>
      </c>
      <c r="X24" s="63">
        <v>28</v>
      </c>
      <c r="Y24" s="63" t="s">
        <v>15</v>
      </c>
      <c r="Z24" s="63" t="s">
        <v>16</v>
      </c>
      <c r="AA24" s="67" t="s">
        <v>97</v>
      </c>
      <c r="AB24" s="63" t="s">
        <v>9</v>
      </c>
      <c r="AC24" s="70"/>
      <c r="AD24" s="63" t="s">
        <v>196</v>
      </c>
      <c r="AE24" s="63" t="s">
        <v>13</v>
      </c>
    </row>
    <row r="25" spans="1:31" x14ac:dyDescent="0.45">
      <c r="A25" s="68" t="s">
        <v>6</v>
      </c>
      <c r="B25" s="82" t="s">
        <v>461</v>
      </c>
      <c r="C25" s="62" t="s">
        <v>78</v>
      </c>
      <c r="D25" s="66" t="s">
        <v>50</v>
      </c>
      <c r="E25" s="66" t="s">
        <v>7</v>
      </c>
      <c r="F25" s="66" t="s">
        <v>7</v>
      </c>
      <c r="G25" s="66">
        <v>36.4</v>
      </c>
      <c r="H25" s="66">
        <v>2.004</v>
      </c>
      <c r="I25" s="66">
        <v>15</v>
      </c>
      <c r="J25" s="66">
        <v>228</v>
      </c>
      <c r="K25" s="66" t="s">
        <v>8</v>
      </c>
      <c r="L25" s="63" t="s">
        <v>258</v>
      </c>
      <c r="M25" s="66">
        <v>17</v>
      </c>
      <c r="N25" s="66">
        <v>8.85</v>
      </c>
      <c r="O25" s="66">
        <v>5.05</v>
      </c>
      <c r="P25" s="72">
        <f>AVERAGE(6.18,5.24,5.6)</f>
        <v>5.6733333333333329</v>
      </c>
      <c r="Q25" s="66">
        <v>3</v>
      </c>
      <c r="R25" s="66">
        <v>2</v>
      </c>
      <c r="S25" s="66" t="s">
        <v>7</v>
      </c>
      <c r="T25" s="66" t="s">
        <v>53</v>
      </c>
      <c r="U25" s="66" t="s">
        <v>7</v>
      </c>
      <c r="V25" s="66" t="s">
        <v>87</v>
      </c>
      <c r="W25" s="66">
        <v>39</v>
      </c>
      <c r="X25" s="66">
        <v>20</v>
      </c>
      <c r="Y25" s="66" t="s">
        <v>15</v>
      </c>
      <c r="Z25" s="66" t="s">
        <v>16</v>
      </c>
      <c r="AA25" s="71" t="s">
        <v>98</v>
      </c>
      <c r="AB25" s="66" t="s">
        <v>9</v>
      </c>
      <c r="AC25" s="66" t="s">
        <v>7</v>
      </c>
      <c r="AD25" s="66" t="s">
        <v>202</v>
      </c>
      <c r="AE25" s="66" t="s">
        <v>13</v>
      </c>
    </row>
    <row r="26" spans="1:31" x14ac:dyDescent="0.45">
      <c r="A26" s="68" t="s">
        <v>6</v>
      </c>
      <c r="B26" s="82" t="s">
        <v>461</v>
      </c>
      <c r="C26" s="62" t="s">
        <v>75</v>
      </c>
      <c r="D26" s="66" t="s">
        <v>50</v>
      </c>
      <c r="E26" s="66" t="s">
        <v>7</v>
      </c>
      <c r="F26" s="66" t="s">
        <v>7</v>
      </c>
      <c r="G26" s="66">
        <v>48.9</v>
      </c>
      <c r="H26" s="66">
        <v>2.323</v>
      </c>
      <c r="I26" s="66">
        <v>15</v>
      </c>
      <c r="J26" s="66">
        <v>223</v>
      </c>
      <c r="K26" s="66" t="s">
        <v>8</v>
      </c>
      <c r="L26" s="63" t="s">
        <v>258</v>
      </c>
      <c r="M26" s="66">
        <v>18</v>
      </c>
      <c r="N26" s="66">
        <v>9.4499999999999993</v>
      </c>
      <c r="O26" s="66">
        <v>6.66</v>
      </c>
      <c r="P26" s="72">
        <f>AVERAGE(7.63,7.35,7.76)</f>
        <v>7.580000000000001</v>
      </c>
      <c r="Q26" s="66">
        <v>3</v>
      </c>
      <c r="R26" s="66">
        <v>4</v>
      </c>
      <c r="S26" s="66" t="s">
        <v>198</v>
      </c>
      <c r="T26" s="66" t="s">
        <v>52</v>
      </c>
      <c r="U26" s="66" t="s">
        <v>7</v>
      </c>
      <c r="V26" s="66" t="s">
        <v>86</v>
      </c>
      <c r="W26" s="66">
        <v>53</v>
      </c>
      <c r="X26" s="66">
        <v>28</v>
      </c>
      <c r="Y26" s="66" t="s">
        <v>15</v>
      </c>
      <c r="Z26" s="66" t="s">
        <v>16</v>
      </c>
      <c r="AA26" s="71" t="s">
        <v>95</v>
      </c>
      <c r="AB26" s="66" t="s">
        <v>9</v>
      </c>
      <c r="AC26" s="66" t="s">
        <v>204</v>
      </c>
      <c r="AD26" s="66" t="s">
        <v>203</v>
      </c>
      <c r="AE26" s="66" t="s">
        <v>13</v>
      </c>
    </row>
    <row r="27" spans="1:31" x14ac:dyDescent="0.45">
      <c r="A27" s="68" t="s">
        <v>6</v>
      </c>
      <c r="B27" s="82" t="s">
        <v>461</v>
      </c>
      <c r="C27" s="62" t="s">
        <v>40</v>
      </c>
      <c r="D27" s="66" t="s">
        <v>50</v>
      </c>
      <c r="E27" s="66" t="s">
        <v>7</v>
      </c>
      <c r="F27" s="66" t="s">
        <v>7</v>
      </c>
      <c r="G27" s="66">
        <v>56</v>
      </c>
      <c r="H27" s="66">
        <v>2.75</v>
      </c>
      <c r="I27" s="66">
        <v>15</v>
      </c>
      <c r="J27" s="66">
        <v>255</v>
      </c>
      <c r="K27" s="66" t="s">
        <v>8</v>
      </c>
      <c r="L27" s="63" t="s">
        <v>258</v>
      </c>
      <c r="M27" s="66">
        <v>21</v>
      </c>
      <c r="N27" s="66">
        <v>9.9700000000000006</v>
      </c>
      <c r="O27" s="66">
        <v>6.08</v>
      </c>
      <c r="P27" s="72">
        <f>AVERAGE(6.66,6.82,6.36)</f>
        <v>6.6133333333333333</v>
      </c>
      <c r="Q27" s="66">
        <v>4</v>
      </c>
      <c r="R27" s="66">
        <v>5</v>
      </c>
      <c r="S27" s="66" t="s">
        <v>9</v>
      </c>
      <c r="T27" s="66" t="s">
        <v>52</v>
      </c>
      <c r="U27" s="66" t="s">
        <v>7</v>
      </c>
      <c r="V27" s="66" t="s">
        <v>57</v>
      </c>
      <c r="W27" s="66">
        <v>54</v>
      </c>
      <c r="X27" s="66">
        <v>28</v>
      </c>
      <c r="Y27" s="66" t="s">
        <v>15</v>
      </c>
      <c r="Z27" s="66" t="s">
        <v>16</v>
      </c>
      <c r="AA27" s="71" t="s">
        <v>65</v>
      </c>
      <c r="AB27" s="66" t="s">
        <v>9</v>
      </c>
      <c r="AC27" s="66" t="s">
        <v>7</v>
      </c>
      <c r="AD27" s="66" t="s">
        <v>203</v>
      </c>
      <c r="AE27" s="66" t="s">
        <v>13</v>
      </c>
    </row>
    <row r="28" spans="1:31" x14ac:dyDescent="0.45">
      <c r="A28" s="68" t="s">
        <v>6</v>
      </c>
      <c r="B28" s="82" t="s">
        <v>461</v>
      </c>
      <c r="C28" s="62" t="s">
        <v>37</v>
      </c>
      <c r="D28" s="66" t="s">
        <v>20</v>
      </c>
      <c r="E28" s="66" t="s">
        <v>7</v>
      </c>
      <c r="F28" s="66" t="s">
        <v>7</v>
      </c>
      <c r="G28" s="66">
        <v>49.05</v>
      </c>
      <c r="H28" s="66">
        <v>2.7</v>
      </c>
      <c r="I28" s="66">
        <v>15</v>
      </c>
      <c r="J28" s="66">
        <v>257</v>
      </c>
      <c r="K28" s="66" t="s">
        <v>8</v>
      </c>
      <c r="L28" s="63" t="s">
        <v>258</v>
      </c>
      <c r="M28" s="66">
        <v>17</v>
      </c>
      <c r="N28" s="66">
        <v>9.8000000000000007</v>
      </c>
      <c r="O28" s="66">
        <v>6.39</v>
      </c>
      <c r="P28" s="72">
        <f>AVERAGE(7.35,7.88,7.39)</f>
        <v>7.54</v>
      </c>
      <c r="Q28" s="66">
        <v>3</v>
      </c>
      <c r="R28" s="66">
        <v>3</v>
      </c>
      <c r="S28" s="66" t="s">
        <v>198</v>
      </c>
      <c r="T28" s="66" t="s">
        <v>52</v>
      </c>
      <c r="U28" s="66" t="s">
        <v>7</v>
      </c>
      <c r="V28" s="66" t="s">
        <v>55</v>
      </c>
      <c r="W28" s="66">
        <v>48</v>
      </c>
      <c r="X28" s="66">
        <v>24</v>
      </c>
      <c r="Y28" s="66" t="s">
        <v>15</v>
      </c>
      <c r="Z28" s="66" t="s">
        <v>16</v>
      </c>
      <c r="AA28" s="71" t="s">
        <v>62</v>
      </c>
      <c r="AB28" s="66" t="s">
        <v>9</v>
      </c>
      <c r="AC28" s="66" t="s">
        <v>204</v>
      </c>
      <c r="AD28" s="66" t="s">
        <v>202</v>
      </c>
      <c r="AE28" s="66" t="s">
        <v>13</v>
      </c>
    </row>
    <row r="29" spans="1:31" x14ac:dyDescent="0.45">
      <c r="A29" s="68" t="s">
        <v>6</v>
      </c>
      <c r="B29" s="82" t="s">
        <v>461</v>
      </c>
      <c r="C29" s="62" t="s">
        <v>77</v>
      </c>
      <c r="D29" s="66" t="s">
        <v>20</v>
      </c>
      <c r="E29" s="66" t="s">
        <v>7</v>
      </c>
      <c r="F29" s="66" t="s">
        <v>7</v>
      </c>
      <c r="G29" s="66">
        <v>55.15</v>
      </c>
      <c r="H29" s="66">
        <v>2.8010000000000002</v>
      </c>
      <c r="I29" s="66">
        <v>15</v>
      </c>
      <c r="J29" s="66">
        <v>225</v>
      </c>
      <c r="K29" s="66" t="s">
        <v>8</v>
      </c>
      <c r="L29" s="63" t="s">
        <v>258</v>
      </c>
      <c r="M29" s="66">
        <v>21</v>
      </c>
      <c r="N29" s="66">
        <v>11.28</v>
      </c>
      <c r="O29" s="66">
        <v>7.84</v>
      </c>
      <c r="P29" s="72">
        <f>AVERAGE(9.67,9.67,9.84)</f>
        <v>9.7266666666666666</v>
      </c>
      <c r="Q29" s="66">
        <v>3</v>
      </c>
      <c r="R29" s="66">
        <v>3</v>
      </c>
      <c r="S29" s="66" t="s">
        <v>7</v>
      </c>
      <c r="T29" s="66" t="s">
        <v>52</v>
      </c>
      <c r="U29" s="66" t="s">
        <v>83</v>
      </c>
      <c r="V29" s="66" t="s">
        <v>86</v>
      </c>
      <c r="W29" s="66">
        <v>51</v>
      </c>
      <c r="X29" s="66">
        <v>27</v>
      </c>
      <c r="Y29" s="66" t="s">
        <v>15</v>
      </c>
      <c r="Z29" s="66" t="s">
        <v>16</v>
      </c>
      <c r="AA29" s="71" t="s">
        <v>97</v>
      </c>
      <c r="AB29" s="66" t="s">
        <v>9</v>
      </c>
      <c r="AC29" s="66" t="s">
        <v>7</v>
      </c>
      <c r="AD29" s="66" t="s">
        <v>203</v>
      </c>
      <c r="AE29" s="66" t="s">
        <v>13</v>
      </c>
    </row>
    <row r="30" spans="1:31" x14ac:dyDescent="0.45">
      <c r="A30" s="68" t="s">
        <v>6</v>
      </c>
      <c r="B30" s="82" t="s">
        <v>461</v>
      </c>
      <c r="C30" s="62" t="s">
        <v>25</v>
      </c>
      <c r="D30" s="66" t="s">
        <v>20</v>
      </c>
      <c r="E30" s="66" t="s">
        <v>7</v>
      </c>
      <c r="F30" s="66" t="s">
        <v>7</v>
      </c>
      <c r="G30" s="66">
        <v>52.7</v>
      </c>
      <c r="H30" s="66">
        <v>3</v>
      </c>
      <c r="I30" s="66">
        <v>15</v>
      </c>
      <c r="J30" s="66">
        <v>231</v>
      </c>
      <c r="K30" s="66" t="s">
        <v>8</v>
      </c>
      <c r="L30" s="63" t="s">
        <v>258</v>
      </c>
      <c r="M30" s="66">
        <v>20</v>
      </c>
      <c r="N30" s="66">
        <v>13</v>
      </c>
      <c r="O30" s="66">
        <v>8.5</v>
      </c>
      <c r="P30" s="72">
        <f>AVERAGE(9.6,9.1,11.4)</f>
        <v>10.033333333333333</v>
      </c>
      <c r="Q30" s="66">
        <v>4</v>
      </c>
      <c r="R30" s="66">
        <v>4</v>
      </c>
      <c r="S30" s="66" t="s">
        <v>209</v>
      </c>
      <c r="T30" s="70"/>
      <c r="U30" s="66" t="s">
        <v>7</v>
      </c>
      <c r="V30" s="66" t="s">
        <v>9</v>
      </c>
      <c r="W30" s="66">
        <v>53</v>
      </c>
      <c r="X30" s="66">
        <v>27</v>
      </c>
      <c r="Y30" s="66" t="s">
        <v>15</v>
      </c>
      <c r="Z30" s="66" t="s">
        <v>16</v>
      </c>
      <c r="AA30" s="71" t="s">
        <v>210</v>
      </c>
      <c r="AB30" s="66" t="s">
        <v>9</v>
      </c>
      <c r="AC30" s="70"/>
      <c r="AD30" s="66" t="s">
        <v>203</v>
      </c>
      <c r="AE30" s="66" t="s">
        <v>13</v>
      </c>
    </row>
    <row r="31" spans="1:31" x14ac:dyDescent="0.45">
      <c r="A31" s="68" t="s">
        <v>6</v>
      </c>
      <c r="B31" s="82" t="s">
        <v>461</v>
      </c>
      <c r="C31" s="62" t="s">
        <v>19</v>
      </c>
      <c r="D31" s="66" t="s">
        <v>20</v>
      </c>
      <c r="E31" s="66" t="s">
        <v>7</v>
      </c>
      <c r="F31" s="66" t="s">
        <v>7</v>
      </c>
      <c r="G31" s="66">
        <v>45.4</v>
      </c>
      <c r="H31" s="66">
        <v>3.1</v>
      </c>
      <c r="I31" s="66">
        <v>15</v>
      </c>
      <c r="J31" s="66">
        <v>257</v>
      </c>
      <c r="K31" s="66" t="s">
        <v>8</v>
      </c>
      <c r="L31" s="63" t="s">
        <v>258</v>
      </c>
      <c r="M31" s="66">
        <v>18</v>
      </c>
      <c r="N31" s="66">
        <v>9.5</v>
      </c>
      <c r="O31" s="66">
        <v>5.5</v>
      </c>
      <c r="P31" s="72">
        <f>AVERAGE(6.16,5.95,5.85)</f>
        <v>5.9866666666666672</v>
      </c>
      <c r="Q31" s="66">
        <v>3</v>
      </c>
      <c r="R31" s="66">
        <v>3</v>
      </c>
      <c r="S31" s="66" t="s">
        <v>7</v>
      </c>
      <c r="T31" s="66" t="s">
        <v>52</v>
      </c>
      <c r="U31" s="66" t="s">
        <v>7</v>
      </c>
      <c r="V31" s="66" t="s">
        <v>21</v>
      </c>
      <c r="W31" s="66">
        <v>56</v>
      </c>
      <c r="X31" s="66">
        <v>28</v>
      </c>
      <c r="Y31" s="66" t="s">
        <v>15</v>
      </c>
      <c r="Z31" s="66" t="s">
        <v>16</v>
      </c>
      <c r="AA31" s="71" t="s">
        <v>211</v>
      </c>
      <c r="AB31" s="66" t="s">
        <v>9</v>
      </c>
      <c r="AC31" s="66" t="s">
        <v>7</v>
      </c>
      <c r="AD31" s="66" t="s">
        <v>203</v>
      </c>
      <c r="AE31" s="66" t="s">
        <v>13</v>
      </c>
    </row>
    <row r="32" spans="1:31" x14ac:dyDescent="0.45">
      <c r="A32" s="68" t="s">
        <v>6</v>
      </c>
      <c r="B32" s="82" t="s">
        <v>461</v>
      </c>
      <c r="C32" s="83" t="s">
        <v>17</v>
      </c>
      <c r="D32" s="66" t="s">
        <v>11</v>
      </c>
      <c r="E32" s="66" t="s">
        <v>7</v>
      </c>
      <c r="F32" s="66" t="s">
        <v>7</v>
      </c>
      <c r="G32" s="66">
        <v>18.95</v>
      </c>
      <c r="H32" s="66">
        <v>1</v>
      </c>
      <c r="I32" s="66">
        <v>15</v>
      </c>
      <c r="J32" s="66">
        <v>249</v>
      </c>
      <c r="K32" s="66" t="s">
        <v>8</v>
      </c>
      <c r="L32" s="63" t="s">
        <v>258</v>
      </c>
      <c r="M32" s="66">
        <v>17</v>
      </c>
      <c r="N32" s="66">
        <v>6</v>
      </c>
      <c r="O32" s="66">
        <v>3.5</v>
      </c>
      <c r="P32" s="72">
        <f>AVERAGE(3.27,3.63,4.07)</f>
        <v>3.6566666666666667</v>
      </c>
      <c r="Q32" s="66">
        <v>3</v>
      </c>
      <c r="R32" s="66">
        <v>3</v>
      </c>
      <c r="S32" s="66" t="s">
        <v>7</v>
      </c>
      <c r="T32" s="66" t="s">
        <v>52</v>
      </c>
      <c r="U32" s="66" t="s">
        <v>7</v>
      </c>
      <c r="V32" s="66" t="s">
        <v>9</v>
      </c>
      <c r="W32" s="66">
        <v>28</v>
      </c>
      <c r="X32" s="66">
        <v>27</v>
      </c>
      <c r="Y32" s="66" t="s">
        <v>149</v>
      </c>
      <c r="Z32" s="66" t="s">
        <v>150</v>
      </c>
      <c r="AA32" s="71" t="s">
        <v>275</v>
      </c>
      <c r="AB32" s="66" t="s">
        <v>7</v>
      </c>
      <c r="AC32" s="66" t="s">
        <v>7</v>
      </c>
      <c r="AD32" s="66" t="s">
        <v>203</v>
      </c>
      <c r="AE32" s="66" t="s">
        <v>7</v>
      </c>
    </row>
    <row r="33" spans="1:31" x14ac:dyDescent="0.45">
      <c r="A33" s="68" t="s">
        <v>104</v>
      </c>
      <c r="B33" s="82" t="s">
        <v>461</v>
      </c>
      <c r="C33" s="62" t="s">
        <v>151</v>
      </c>
      <c r="D33" s="66" t="s">
        <v>20</v>
      </c>
      <c r="E33" s="66" t="s">
        <v>7</v>
      </c>
      <c r="F33" s="66" t="s">
        <v>7</v>
      </c>
      <c r="G33" s="66">
        <v>47.5</v>
      </c>
      <c r="H33" s="66">
        <v>1.5</v>
      </c>
      <c r="I33" s="66">
        <v>15</v>
      </c>
      <c r="J33" s="66">
        <v>249</v>
      </c>
      <c r="K33" s="66" t="s">
        <v>8</v>
      </c>
      <c r="L33" s="63" t="s">
        <v>258</v>
      </c>
      <c r="M33" s="66">
        <v>17</v>
      </c>
      <c r="N33" s="66">
        <v>10.8</v>
      </c>
      <c r="O33" s="66">
        <v>5.7</v>
      </c>
      <c r="P33" s="72">
        <f>AVERAGE(5.43,5.79,5.93)</f>
        <v>5.7166666666666659</v>
      </c>
      <c r="Q33" s="66">
        <v>3</v>
      </c>
      <c r="R33" s="66">
        <v>4</v>
      </c>
      <c r="S33" s="66" t="s">
        <v>7</v>
      </c>
      <c r="T33" s="66" t="s">
        <v>52</v>
      </c>
      <c r="U33" s="66" t="s">
        <v>9</v>
      </c>
      <c r="V33" s="66" t="s">
        <v>118</v>
      </c>
      <c r="W33" s="66">
        <v>56</v>
      </c>
      <c r="X33" s="66">
        <v>30</v>
      </c>
      <c r="Y33" s="66" t="s">
        <v>15</v>
      </c>
      <c r="Z33" s="66" t="s">
        <v>16</v>
      </c>
      <c r="AA33" s="71" t="s">
        <v>97</v>
      </c>
      <c r="AB33" s="66" t="s">
        <v>9</v>
      </c>
      <c r="AC33" s="66" t="s">
        <v>7</v>
      </c>
      <c r="AD33" s="66" t="s">
        <v>215</v>
      </c>
      <c r="AE33" s="66" t="s">
        <v>13</v>
      </c>
    </row>
    <row r="34" spans="1:31" x14ac:dyDescent="0.45">
      <c r="A34" s="68" t="s">
        <v>6</v>
      </c>
      <c r="B34" s="82" t="s">
        <v>461</v>
      </c>
      <c r="C34" s="62" t="s">
        <v>455</v>
      </c>
      <c r="D34" s="66" t="s">
        <v>20</v>
      </c>
      <c r="E34" s="66" t="s">
        <v>7</v>
      </c>
      <c r="F34" s="66" t="s">
        <v>7</v>
      </c>
      <c r="G34" s="66">
        <v>36.799999999999997</v>
      </c>
      <c r="H34" s="66">
        <v>2.6</v>
      </c>
      <c r="I34" s="66">
        <v>15</v>
      </c>
      <c r="J34" s="66">
        <v>232</v>
      </c>
      <c r="K34" s="66" t="s">
        <v>8</v>
      </c>
      <c r="L34" s="63" t="s">
        <v>258</v>
      </c>
      <c r="M34" s="66">
        <v>24</v>
      </c>
      <c r="N34" s="66">
        <v>10.37</v>
      </c>
      <c r="O34" s="66">
        <v>6.26</v>
      </c>
      <c r="P34" s="72">
        <f>AVERAGE(10.35,9.18,7.8)</f>
        <v>9.1100000000000012</v>
      </c>
      <c r="Q34" s="66">
        <v>4</v>
      </c>
      <c r="R34" s="66">
        <v>3</v>
      </c>
      <c r="S34" s="66" t="s">
        <v>7</v>
      </c>
      <c r="T34" s="66" t="s">
        <v>52</v>
      </c>
      <c r="U34" s="66" t="s">
        <v>7</v>
      </c>
      <c r="V34" s="66" t="s">
        <v>156</v>
      </c>
      <c r="W34" s="66">
        <v>46</v>
      </c>
      <c r="X34" s="66">
        <v>25</v>
      </c>
      <c r="Y34" s="66" t="s">
        <v>15</v>
      </c>
      <c r="Z34" s="66" t="s">
        <v>16</v>
      </c>
      <c r="AA34" s="71" t="s">
        <v>121</v>
      </c>
      <c r="AB34" s="66" t="s">
        <v>9</v>
      </c>
      <c r="AC34" s="66" t="s">
        <v>204</v>
      </c>
      <c r="AD34" s="66" t="s">
        <v>202</v>
      </c>
      <c r="AE34" s="66" t="s">
        <v>13</v>
      </c>
    </row>
    <row r="35" spans="1:31" x14ac:dyDescent="0.45">
      <c r="A35" s="68" t="s">
        <v>6</v>
      </c>
      <c r="B35" s="82" t="s">
        <v>461</v>
      </c>
      <c r="C35" s="62" t="s">
        <v>456</v>
      </c>
      <c r="D35" s="66" t="s">
        <v>20</v>
      </c>
      <c r="E35" s="66" t="s">
        <v>7</v>
      </c>
      <c r="F35" s="66" t="s">
        <v>7</v>
      </c>
      <c r="G35" s="66">
        <v>39.06</v>
      </c>
      <c r="H35" s="66">
        <v>2.71</v>
      </c>
      <c r="I35" s="66">
        <v>15</v>
      </c>
      <c r="J35" s="66">
        <v>229</v>
      </c>
      <c r="K35" s="66" t="s">
        <v>8</v>
      </c>
      <c r="L35" s="63" t="s">
        <v>258</v>
      </c>
      <c r="M35" s="66">
        <v>20</v>
      </c>
      <c r="N35" s="66">
        <v>10.3</v>
      </c>
      <c r="O35" s="66">
        <v>5.26</v>
      </c>
      <c r="P35" s="72">
        <f>AVERAGE(7.65,8.33,7.03)</f>
        <v>7.6700000000000008</v>
      </c>
      <c r="Q35" s="66">
        <v>3</v>
      </c>
      <c r="R35" s="66">
        <v>3</v>
      </c>
      <c r="S35" s="66" t="s">
        <v>7</v>
      </c>
      <c r="T35" s="66" t="s">
        <v>52</v>
      </c>
      <c r="U35" s="66" t="s">
        <v>7</v>
      </c>
      <c r="V35" s="66" t="s">
        <v>55</v>
      </c>
      <c r="W35" s="66">
        <v>46</v>
      </c>
      <c r="X35" s="66">
        <v>25</v>
      </c>
      <c r="Y35" s="66" t="s">
        <v>15</v>
      </c>
      <c r="Z35" s="66" t="s">
        <v>157</v>
      </c>
      <c r="AA35" s="71" t="s">
        <v>61</v>
      </c>
      <c r="AB35" s="66" t="s">
        <v>9</v>
      </c>
      <c r="AC35" s="66" t="s">
        <v>204</v>
      </c>
      <c r="AD35" s="66" t="s">
        <v>202</v>
      </c>
      <c r="AE35" s="66" t="s">
        <v>13</v>
      </c>
    </row>
    <row r="36" spans="1:31" x14ac:dyDescent="0.45">
      <c r="A36" s="68" t="s">
        <v>6</v>
      </c>
      <c r="B36" s="82" t="s">
        <v>461</v>
      </c>
      <c r="C36" s="62" t="s">
        <v>457</v>
      </c>
      <c r="D36" s="66" t="s">
        <v>20</v>
      </c>
      <c r="E36" s="66" t="s">
        <v>7</v>
      </c>
      <c r="F36" s="66" t="s">
        <v>7</v>
      </c>
      <c r="G36" s="66">
        <v>46.17</v>
      </c>
      <c r="H36" s="66">
        <v>2.96</v>
      </c>
      <c r="I36" s="66">
        <v>15</v>
      </c>
      <c r="J36" s="66">
        <v>232</v>
      </c>
      <c r="K36" s="66" t="s">
        <v>8</v>
      </c>
      <c r="L36" s="63" t="s">
        <v>258</v>
      </c>
      <c r="M36" s="66">
        <v>22</v>
      </c>
      <c r="N36" s="66">
        <v>10.27</v>
      </c>
      <c r="O36" s="66">
        <v>6.46</v>
      </c>
      <c r="P36" s="72">
        <f>AVERAGE(8.15,7.87,7.06)</f>
        <v>7.6933333333333325</v>
      </c>
      <c r="Q36" s="66">
        <v>3</v>
      </c>
      <c r="R36" s="66">
        <v>3</v>
      </c>
      <c r="S36" s="66" t="s">
        <v>209</v>
      </c>
      <c r="T36" s="66" t="s">
        <v>52</v>
      </c>
      <c r="U36" s="66" t="s">
        <v>7</v>
      </c>
      <c r="V36" s="66" t="s">
        <v>55</v>
      </c>
      <c r="W36" s="66">
        <v>52</v>
      </c>
      <c r="X36" s="66">
        <v>27</v>
      </c>
      <c r="Y36" s="66" t="s">
        <v>15</v>
      </c>
      <c r="Z36" s="66" t="s">
        <v>157</v>
      </c>
      <c r="AA36" s="71" t="s">
        <v>99</v>
      </c>
      <c r="AB36" s="66" t="s">
        <v>9</v>
      </c>
      <c r="AC36" s="66" t="s">
        <v>220</v>
      </c>
      <c r="AD36" s="66" t="s">
        <v>203</v>
      </c>
      <c r="AE36" s="66" t="s">
        <v>13</v>
      </c>
    </row>
    <row r="37" spans="1:31" x14ac:dyDescent="0.45">
      <c r="A37" s="68" t="s">
        <v>6</v>
      </c>
      <c r="B37" s="82" t="s">
        <v>461</v>
      </c>
      <c r="C37" s="62" t="s">
        <v>458</v>
      </c>
      <c r="D37" s="66" t="s">
        <v>20</v>
      </c>
      <c r="E37" s="66" t="s">
        <v>7</v>
      </c>
      <c r="F37" s="66" t="s">
        <v>7</v>
      </c>
      <c r="G37" s="66">
        <v>34.07</v>
      </c>
      <c r="H37" s="66">
        <v>2.42</v>
      </c>
      <c r="I37" s="66">
        <v>15</v>
      </c>
      <c r="J37" s="66">
        <v>231</v>
      </c>
      <c r="K37" s="66" t="s">
        <v>8</v>
      </c>
      <c r="L37" s="63" t="s">
        <v>258</v>
      </c>
      <c r="M37" s="66">
        <v>21</v>
      </c>
      <c r="N37" s="66">
        <v>8.4499999999999993</v>
      </c>
      <c r="O37" s="66">
        <v>5.56</v>
      </c>
      <c r="P37" s="72">
        <f>AVERAGE(6.18,7.1,7.13)</f>
        <v>6.8033333333333337</v>
      </c>
      <c r="Q37" s="66">
        <v>3</v>
      </c>
      <c r="R37" s="66">
        <v>3</v>
      </c>
      <c r="S37" s="66" t="s">
        <v>7</v>
      </c>
      <c r="T37" s="66" t="s">
        <v>53</v>
      </c>
      <c r="U37" s="66" t="s">
        <v>7</v>
      </c>
      <c r="V37" s="66" t="s">
        <v>160</v>
      </c>
      <c r="W37" s="66">
        <v>47</v>
      </c>
      <c r="X37" s="66">
        <v>25</v>
      </c>
      <c r="Y37" s="66" t="s">
        <v>15</v>
      </c>
      <c r="Z37" s="66" t="s">
        <v>16</v>
      </c>
      <c r="AA37" s="71" t="s">
        <v>121</v>
      </c>
      <c r="AB37" s="66" t="s">
        <v>9</v>
      </c>
      <c r="AC37" s="66" t="s">
        <v>18</v>
      </c>
      <c r="AD37" s="66" t="s">
        <v>215</v>
      </c>
      <c r="AE37" s="66" t="s">
        <v>13</v>
      </c>
    </row>
    <row r="38" spans="1:31" x14ac:dyDescent="0.45">
      <c r="A38" s="68" t="s">
        <v>6</v>
      </c>
      <c r="B38" s="82" t="s">
        <v>461</v>
      </c>
      <c r="C38" s="62" t="s">
        <v>164</v>
      </c>
      <c r="D38" s="66" t="s">
        <v>20</v>
      </c>
      <c r="E38" s="66" t="s">
        <v>7</v>
      </c>
      <c r="F38" s="66" t="s">
        <v>7</v>
      </c>
      <c r="G38" s="66">
        <v>29.15</v>
      </c>
      <c r="H38" s="66">
        <v>1.81</v>
      </c>
      <c r="I38" s="63" t="s">
        <v>385</v>
      </c>
      <c r="J38" s="63">
        <v>223</v>
      </c>
      <c r="K38" s="66" t="s">
        <v>8</v>
      </c>
      <c r="L38" s="63" t="s">
        <v>258</v>
      </c>
      <c r="M38" s="66">
        <v>16</v>
      </c>
      <c r="N38" s="66">
        <v>9.09</v>
      </c>
      <c r="O38" s="66">
        <v>5.83</v>
      </c>
      <c r="P38" s="72">
        <f>AVERAGE(6.04, 5.81, 6.36)</f>
        <v>6.07</v>
      </c>
      <c r="Q38" s="66">
        <v>4</v>
      </c>
      <c r="R38" s="66">
        <v>3</v>
      </c>
      <c r="S38" s="84" t="s">
        <v>9</v>
      </c>
      <c r="T38" s="70"/>
      <c r="U38" s="66" t="s">
        <v>7</v>
      </c>
      <c r="V38" s="66" t="s">
        <v>9</v>
      </c>
      <c r="W38" s="66">
        <v>47</v>
      </c>
      <c r="X38" s="66">
        <v>24</v>
      </c>
      <c r="Y38" s="70"/>
      <c r="Z38" s="70"/>
      <c r="AA38" s="71" t="s">
        <v>170</v>
      </c>
      <c r="AB38" s="84" t="s">
        <v>9</v>
      </c>
      <c r="AC38" s="85" t="s">
        <v>222</v>
      </c>
      <c r="AD38" s="84" t="s">
        <v>203</v>
      </c>
      <c r="AE38" s="84" t="s">
        <v>13</v>
      </c>
    </row>
    <row r="39" spans="1:31" x14ac:dyDescent="0.45">
      <c r="A39" s="68" t="s">
        <v>6</v>
      </c>
      <c r="B39" s="82" t="s">
        <v>461</v>
      </c>
      <c r="C39" s="62" t="s">
        <v>166</v>
      </c>
      <c r="D39" s="66" t="s">
        <v>20</v>
      </c>
      <c r="E39" s="66" t="s">
        <v>7</v>
      </c>
      <c r="F39" s="66" t="s">
        <v>7</v>
      </c>
      <c r="G39" s="66" t="s">
        <v>173</v>
      </c>
      <c r="H39" s="66">
        <v>2.87</v>
      </c>
      <c r="I39" s="63" t="s">
        <v>385</v>
      </c>
      <c r="J39" s="63">
        <v>227</v>
      </c>
      <c r="K39" s="66" t="s">
        <v>8</v>
      </c>
      <c r="L39" s="63" t="s">
        <v>258</v>
      </c>
      <c r="M39" s="66">
        <v>24</v>
      </c>
      <c r="N39" s="66" t="s">
        <v>13</v>
      </c>
      <c r="O39" s="66" t="s">
        <v>13</v>
      </c>
      <c r="P39" s="72">
        <f>AVERAGE(9.32,9.97,8.89)</f>
        <v>9.3933333333333326</v>
      </c>
      <c r="Q39" s="66" t="s">
        <v>13</v>
      </c>
      <c r="R39" s="66" t="s">
        <v>13</v>
      </c>
      <c r="S39" s="84" t="s">
        <v>13</v>
      </c>
      <c r="T39" s="66" t="s">
        <v>13</v>
      </c>
      <c r="U39" s="66" t="s">
        <v>7</v>
      </c>
      <c r="V39" s="66" t="s">
        <v>223</v>
      </c>
      <c r="W39" s="66" t="s">
        <v>174</v>
      </c>
      <c r="X39" s="66">
        <v>26</v>
      </c>
      <c r="Y39" s="66" t="s">
        <v>13</v>
      </c>
      <c r="Z39" s="66" t="s">
        <v>13</v>
      </c>
      <c r="AA39" s="71" t="s">
        <v>61</v>
      </c>
      <c r="AB39" s="84" t="s">
        <v>13</v>
      </c>
      <c r="AC39" s="84" t="s">
        <v>220</v>
      </c>
      <c r="AD39" s="84" t="s">
        <v>215</v>
      </c>
      <c r="AE39" s="84" t="s">
        <v>13</v>
      </c>
    </row>
    <row r="40" spans="1:31" x14ac:dyDescent="0.45">
      <c r="A40" s="68" t="s">
        <v>6</v>
      </c>
      <c r="B40" s="82" t="s">
        <v>461</v>
      </c>
      <c r="C40" s="62" t="s">
        <v>167</v>
      </c>
      <c r="D40" s="66" t="s">
        <v>20</v>
      </c>
      <c r="E40" s="66" t="s">
        <v>7</v>
      </c>
      <c r="F40" s="66" t="s">
        <v>7</v>
      </c>
      <c r="G40" s="66">
        <v>43.99</v>
      </c>
      <c r="H40" s="66">
        <v>2.57</v>
      </c>
      <c r="I40" s="63" t="s">
        <v>385</v>
      </c>
      <c r="J40" s="63">
        <v>249</v>
      </c>
      <c r="K40" s="66" t="s">
        <v>8</v>
      </c>
      <c r="L40" s="63" t="s">
        <v>258</v>
      </c>
      <c r="M40" s="66">
        <v>19</v>
      </c>
      <c r="N40" s="66">
        <v>11.02</v>
      </c>
      <c r="O40" s="66">
        <v>6.28</v>
      </c>
      <c r="P40" s="72">
        <f>AVERAGE(7.44,7.32,6.93)</f>
        <v>7.23</v>
      </c>
      <c r="Q40" s="66">
        <v>4</v>
      </c>
      <c r="R40" s="66">
        <v>3</v>
      </c>
      <c r="S40" s="84" t="s">
        <v>7</v>
      </c>
      <c r="T40" s="70"/>
      <c r="U40" s="66" t="s">
        <v>7</v>
      </c>
      <c r="V40" s="66" t="s">
        <v>7</v>
      </c>
      <c r="W40" s="66" t="s">
        <v>13</v>
      </c>
      <c r="X40" s="66">
        <v>30</v>
      </c>
      <c r="Y40" s="66" t="s">
        <v>15</v>
      </c>
      <c r="Z40" s="66" t="s">
        <v>175</v>
      </c>
      <c r="AA40" s="71" t="s">
        <v>64</v>
      </c>
      <c r="AB40" s="84" t="s">
        <v>60</v>
      </c>
      <c r="AC40" s="84" t="s">
        <v>7</v>
      </c>
      <c r="AD40" s="84" t="s">
        <v>7</v>
      </c>
      <c r="AE40" s="84" t="s">
        <v>13</v>
      </c>
    </row>
    <row r="41" spans="1:31" x14ac:dyDescent="0.45">
      <c r="A41" s="68" t="s">
        <v>6</v>
      </c>
      <c r="B41" s="82" t="s">
        <v>461</v>
      </c>
      <c r="C41" s="62" t="s">
        <v>185</v>
      </c>
      <c r="D41" s="63" t="s">
        <v>20</v>
      </c>
      <c r="E41" s="63" t="s">
        <v>7</v>
      </c>
      <c r="F41" s="63" t="s">
        <v>7</v>
      </c>
      <c r="G41" s="63">
        <v>45.01</v>
      </c>
      <c r="H41" s="63">
        <v>2.91</v>
      </c>
      <c r="I41" s="63" t="s">
        <v>385</v>
      </c>
      <c r="J41" s="63">
        <v>230</v>
      </c>
      <c r="K41" s="63" t="s">
        <v>8</v>
      </c>
      <c r="L41" s="63" t="s">
        <v>258</v>
      </c>
      <c r="M41" s="63">
        <v>22</v>
      </c>
      <c r="N41" s="66">
        <v>10.51</v>
      </c>
      <c r="O41" s="66">
        <v>7.64</v>
      </c>
      <c r="P41" s="72">
        <f>AVERAGE(10.75,10.45,11.29)</f>
        <v>10.829999999999998</v>
      </c>
      <c r="Q41" s="66">
        <v>3</v>
      </c>
      <c r="R41" s="66">
        <v>3</v>
      </c>
      <c r="S41" s="66" t="s">
        <v>7</v>
      </c>
      <c r="T41" s="66" t="s">
        <v>52</v>
      </c>
      <c r="U41" s="66" t="s">
        <v>7</v>
      </c>
      <c r="V41" s="66" t="s">
        <v>156</v>
      </c>
      <c r="W41" s="66">
        <v>48</v>
      </c>
      <c r="X41" s="66">
        <v>25</v>
      </c>
      <c r="Y41" s="66" t="s">
        <v>15</v>
      </c>
      <c r="Z41" s="66" t="s">
        <v>16</v>
      </c>
      <c r="AA41" s="71" t="s">
        <v>122</v>
      </c>
      <c r="AB41" s="66" t="s">
        <v>9</v>
      </c>
      <c r="AC41" s="66" t="s">
        <v>222</v>
      </c>
      <c r="AD41" s="66" t="s">
        <v>218</v>
      </c>
      <c r="AE41" s="66" t="s">
        <v>13</v>
      </c>
    </row>
    <row r="42" spans="1:31" x14ac:dyDescent="0.45">
      <c r="A42" s="68" t="s">
        <v>144</v>
      </c>
      <c r="B42" s="82" t="s">
        <v>461</v>
      </c>
      <c r="C42" s="62" t="s">
        <v>190</v>
      </c>
      <c r="D42" s="63" t="s">
        <v>20</v>
      </c>
      <c r="E42" s="63" t="s">
        <v>7</v>
      </c>
      <c r="F42" s="63" t="s">
        <v>7</v>
      </c>
      <c r="G42" s="66">
        <v>31.35</v>
      </c>
      <c r="H42" s="66">
        <v>1.95</v>
      </c>
      <c r="I42" s="63" t="s">
        <v>385</v>
      </c>
      <c r="J42" s="63">
        <v>230</v>
      </c>
      <c r="K42" s="63" t="s">
        <v>8</v>
      </c>
      <c r="L42" s="63" t="s">
        <v>258</v>
      </c>
      <c r="M42" s="63">
        <v>19</v>
      </c>
      <c r="N42" s="66">
        <v>8.84</v>
      </c>
      <c r="O42" s="66">
        <v>5.82</v>
      </c>
      <c r="P42" s="72">
        <f>AVERAGE(6.01,5.88,6.6)</f>
        <v>6.163333333333334</v>
      </c>
      <c r="Q42" s="66">
        <v>3</v>
      </c>
      <c r="R42" s="66">
        <v>3</v>
      </c>
      <c r="S42" s="66" t="s">
        <v>7</v>
      </c>
      <c r="T42" s="66" t="s">
        <v>52</v>
      </c>
      <c r="U42" s="66" t="s">
        <v>7</v>
      </c>
      <c r="V42" s="66" t="s">
        <v>55</v>
      </c>
      <c r="W42" s="66">
        <v>50</v>
      </c>
      <c r="X42" s="66">
        <v>25</v>
      </c>
      <c r="Y42" s="66" t="s">
        <v>15</v>
      </c>
      <c r="Z42" s="66" t="s">
        <v>16</v>
      </c>
      <c r="AA42" s="71" t="s">
        <v>122</v>
      </c>
      <c r="AB42" s="66" t="s">
        <v>9</v>
      </c>
      <c r="AC42" s="66" t="s">
        <v>222</v>
      </c>
      <c r="AD42" s="66" t="s">
        <v>225</v>
      </c>
      <c r="AE42" s="66" t="s">
        <v>13</v>
      </c>
    </row>
    <row r="43" spans="1:31" x14ac:dyDescent="0.45">
      <c r="A43" s="68" t="s">
        <v>35</v>
      </c>
      <c r="B43" s="61" t="s">
        <v>142</v>
      </c>
      <c r="C43" s="62" t="s">
        <v>124</v>
      </c>
      <c r="D43" s="66" t="s">
        <v>20</v>
      </c>
      <c r="E43" s="66" t="s">
        <v>7</v>
      </c>
      <c r="F43" s="66" t="s">
        <v>7</v>
      </c>
      <c r="G43" s="66">
        <v>47</v>
      </c>
      <c r="H43" s="66">
        <v>2.7269999999999999</v>
      </c>
      <c r="I43" s="66">
        <v>15</v>
      </c>
      <c r="J43" s="66">
        <f>103+114</f>
        <v>217</v>
      </c>
      <c r="K43" s="66" t="s">
        <v>8</v>
      </c>
      <c r="L43" s="63" t="s">
        <v>258</v>
      </c>
      <c r="M43" s="66">
        <v>19</v>
      </c>
      <c r="N43" s="66">
        <v>10.55</v>
      </c>
      <c r="O43" s="66">
        <v>7.81</v>
      </c>
      <c r="P43" s="72">
        <f>AVERAGE(8.33,8.36,9.09)</f>
        <v>8.5933333333333319</v>
      </c>
      <c r="Q43" s="66">
        <v>3</v>
      </c>
      <c r="R43" s="66">
        <v>3</v>
      </c>
      <c r="S43" s="66" t="s">
        <v>7</v>
      </c>
      <c r="T43" s="66" t="s">
        <v>52</v>
      </c>
      <c r="U43" s="66" t="s">
        <v>7</v>
      </c>
      <c r="V43" s="66" t="s">
        <v>84</v>
      </c>
      <c r="W43" s="66">
        <f>38+42</f>
        <v>80</v>
      </c>
      <c r="X43" s="66">
        <v>29</v>
      </c>
      <c r="Y43" s="66" t="s">
        <v>15</v>
      </c>
      <c r="Z43" s="66" t="s">
        <v>16</v>
      </c>
      <c r="AA43" s="71" t="s">
        <v>89</v>
      </c>
      <c r="AB43" s="66" t="s">
        <v>7</v>
      </c>
      <c r="AC43" s="66" t="s">
        <v>9</v>
      </c>
      <c r="AD43" s="66" t="s">
        <v>206</v>
      </c>
      <c r="AE43" s="66" t="s">
        <v>13</v>
      </c>
    </row>
    <row r="44" spans="1:31" x14ac:dyDescent="0.45">
      <c r="A44" s="68" t="s">
        <v>35</v>
      </c>
      <c r="B44" s="61" t="s">
        <v>142</v>
      </c>
      <c r="C44" s="62" t="s">
        <v>123</v>
      </c>
      <c r="D44" s="66" t="s">
        <v>51</v>
      </c>
      <c r="E44" s="66" t="s">
        <v>7</v>
      </c>
      <c r="F44" s="66" t="s">
        <v>7</v>
      </c>
      <c r="G44" s="66">
        <v>46.05</v>
      </c>
      <c r="H44" s="66">
        <v>2.56</v>
      </c>
      <c r="I44" s="66">
        <v>15</v>
      </c>
      <c r="J44" s="66">
        <v>223</v>
      </c>
      <c r="K44" s="66" t="s">
        <v>8</v>
      </c>
      <c r="L44" s="63" t="s">
        <v>258</v>
      </c>
      <c r="M44" s="66">
        <v>17</v>
      </c>
      <c r="N44" s="66">
        <v>11.42</v>
      </c>
      <c r="O44" s="66">
        <v>7</v>
      </c>
      <c r="P44" s="72">
        <f>AVERAGE(9.34,7.68,8.6)</f>
        <v>8.5399999999999991</v>
      </c>
      <c r="Q44" s="66">
        <v>4</v>
      </c>
      <c r="R44" s="66">
        <v>3</v>
      </c>
      <c r="S44" s="66" t="s">
        <v>7</v>
      </c>
      <c r="T44" s="66" t="s">
        <v>52</v>
      </c>
      <c r="U44" s="66" t="s">
        <v>7</v>
      </c>
      <c r="V44" s="66" t="s">
        <v>55</v>
      </c>
      <c r="W44" s="66">
        <v>77</v>
      </c>
      <c r="X44" s="66">
        <v>28</v>
      </c>
      <c r="Y44" s="66" t="s">
        <v>15</v>
      </c>
      <c r="Z44" s="66" t="s">
        <v>16</v>
      </c>
      <c r="AA44" s="71" t="s">
        <v>71</v>
      </c>
      <c r="AB44" s="66" t="s">
        <v>7</v>
      </c>
      <c r="AC44" s="66" t="s">
        <v>9</v>
      </c>
      <c r="AD44" s="66" t="s">
        <v>202</v>
      </c>
      <c r="AE44" s="66" t="s">
        <v>13</v>
      </c>
    </row>
    <row r="45" spans="1:31" x14ac:dyDescent="0.45">
      <c r="A45" s="68" t="s">
        <v>35</v>
      </c>
      <c r="B45" s="61" t="s">
        <v>142</v>
      </c>
      <c r="C45" s="62" t="s">
        <v>45</v>
      </c>
      <c r="D45" s="66" t="s">
        <v>20</v>
      </c>
      <c r="E45" s="66" t="s">
        <v>7</v>
      </c>
      <c r="F45" s="66" t="s">
        <v>7</v>
      </c>
      <c r="G45" s="66">
        <v>42.15</v>
      </c>
      <c r="H45" s="66">
        <v>2.9</v>
      </c>
      <c r="I45" s="66">
        <v>15</v>
      </c>
      <c r="J45" s="66">
        <v>203</v>
      </c>
      <c r="K45" s="66" t="s">
        <v>8</v>
      </c>
      <c r="L45" s="63" t="s">
        <v>258</v>
      </c>
      <c r="M45" s="66">
        <v>20</v>
      </c>
      <c r="N45" s="66">
        <v>12.24</v>
      </c>
      <c r="O45" s="66">
        <v>7.51</v>
      </c>
      <c r="P45" s="72">
        <f>AVERAGE(8.35,8,8.15)</f>
        <v>8.1666666666666661</v>
      </c>
      <c r="Q45" s="66">
        <v>4</v>
      </c>
      <c r="R45" s="66">
        <v>5</v>
      </c>
      <c r="S45" s="63" t="s">
        <v>7</v>
      </c>
      <c r="T45" s="66" t="s">
        <v>52</v>
      </c>
      <c r="U45" s="66" t="s">
        <v>7</v>
      </c>
      <c r="V45" s="66" t="s">
        <v>9</v>
      </c>
      <c r="W45" s="66">
        <v>72</v>
      </c>
      <c r="X45" s="66">
        <v>26</v>
      </c>
      <c r="Y45" s="66" t="s">
        <v>15</v>
      </c>
      <c r="Z45" s="66" t="s">
        <v>16</v>
      </c>
      <c r="AA45" s="71" t="s">
        <v>69</v>
      </c>
      <c r="AB45" s="66" t="s">
        <v>7</v>
      </c>
      <c r="AC45" s="66" t="s">
        <v>9</v>
      </c>
      <c r="AD45" s="66" t="s">
        <v>197</v>
      </c>
      <c r="AE45" s="63" t="s">
        <v>13</v>
      </c>
    </row>
    <row r="46" spans="1:31" x14ac:dyDescent="0.45">
      <c r="A46" s="68" t="s">
        <v>35</v>
      </c>
      <c r="B46" s="61" t="s">
        <v>142</v>
      </c>
      <c r="C46" s="83" t="s">
        <v>48</v>
      </c>
      <c r="D46" s="66" t="s">
        <v>11</v>
      </c>
      <c r="E46" s="66" t="s">
        <v>7</v>
      </c>
      <c r="F46" s="66" t="s">
        <v>7</v>
      </c>
      <c r="G46" s="66">
        <v>16.600000000000001</v>
      </c>
      <c r="H46" s="66">
        <v>1.07</v>
      </c>
      <c r="I46" s="66">
        <v>15</v>
      </c>
      <c r="J46" s="66">
        <v>202</v>
      </c>
      <c r="K46" s="66" t="s">
        <v>8</v>
      </c>
      <c r="L46" s="63" t="s">
        <v>258</v>
      </c>
      <c r="M46" s="66">
        <v>18</v>
      </c>
      <c r="N46" s="66">
        <v>8.1</v>
      </c>
      <c r="O46" s="66">
        <v>4.62</v>
      </c>
      <c r="P46" s="72">
        <f>AVERAGE(4.54,5.48,5.15)</f>
        <v>5.0566666666666666</v>
      </c>
      <c r="Q46" s="66">
        <v>3</v>
      </c>
      <c r="R46" s="66">
        <v>4</v>
      </c>
      <c r="S46" s="63" t="s">
        <v>7</v>
      </c>
      <c r="T46" s="66" t="s">
        <v>52</v>
      </c>
      <c r="U46" s="66" t="s">
        <v>7</v>
      </c>
      <c r="V46" s="66" t="s">
        <v>9</v>
      </c>
      <c r="W46" s="66">
        <v>25</v>
      </c>
      <c r="X46" s="66">
        <v>25</v>
      </c>
      <c r="Y46" s="66" t="s">
        <v>15</v>
      </c>
      <c r="Z46" s="66" t="s">
        <v>16</v>
      </c>
      <c r="AA46" s="71" t="s">
        <v>69</v>
      </c>
      <c r="AB46" s="66" t="s">
        <v>7</v>
      </c>
      <c r="AC46" s="66" t="s">
        <v>9</v>
      </c>
      <c r="AD46" s="66" t="s">
        <v>197</v>
      </c>
      <c r="AE46" s="66" t="s">
        <v>9</v>
      </c>
    </row>
    <row r="47" spans="1:31" x14ac:dyDescent="0.45">
      <c r="A47" s="68" t="s">
        <v>35</v>
      </c>
      <c r="B47" s="61" t="s">
        <v>142</v>
      </c>
      <c r="C47" s="62" t="s">
        <v>72</v>
      </c>
      <c r="D47" s="66" t="s">
        <v>20</v>
      </c>
      <c r="E47" s="66" t="s">
        <v>7</v>
      </c>
      <c r="F47" s="66" t="s">
        <v>7</v>
      </c>
      <c r="G47" s="66">
        <v>53.3</v>
      </c>
      <c r="H47" s="66">
        <v>3.032</v>
      </c>
      <c r="I47" s="66">
        <v>15</v>
      </c>
      <c r="J47" s="66">
        <v>221</v>
      </c>
      <c r="K47" s="66" t="s">
        <v>8</v>
      </c>
      <c r="L47" s="63" t="s">
        <v>258</v>
      </c>
      <c r="M47" s="66">
        <v>18</v>
      </c>
      <c r="N47" s="66">
        <v>10.56</v>
      </c>
      <c r="O47" s="66">
        <v>9.26</v>
      </c>
      <c r="P47" s="72">
        <f>AVERAGE(9.6,10.06,10.11)</f>
        <v>9.9233333333333338</v>
      </c>
      <c r="Q47" s="66">
        <v>4</v>
      </c>
      <c r="R47" s="66">
        <v>4</v>
      </c>
      <c r="S47" s="66" t="s">
        <v>198</v>
      </c>
      <c r="T47" s="66" t="s">
        <v>52</v>
      </c>
      <c r="U47" s="66" t="s">
        <v>7</v>
      </c>
      <c r="V47" s="66" t="s">
        <v>85</v>
      </c>
      <c r="W47" s="66">
        <v>77</v>
      </c>
      <c r="X47" s="66">
        <v>28</v>
      </c>
      <c r="Y47" s="66" t="s">
        <v>15</v>
      </c>
      <c r="Z47" s="66" t="s">
        <v>16</v>
      </c>
      <c r="AA47" s="71" t="s">
        <v>71</v>
      </c>
      <c r="AB47" s="66" t="s">
        <v>7</v>
      </c>
      <c r="AC47" s="66" t="s">
        <v>9</v>
      </c>
      <c r="AD47" s="66" t="s">
        <v>199</v>
      </c>
      <c r="AE47" s="63" t="s">
        <v>13</v>
      </c>
    </row>
    <row r="48" spans="1:31" x14ac:dyDescent="0.45">
      <c r="A48" s="68" t="s">
        <v>35</v>
      </c>
      <c r="B48" s="61" t="s">
        <v>142</v>
      </c>
      <c r="C48" s="83" t="s">
        <v>74</v>
      </c>
      <c r="D48" s="66" t="s">
        <v>11</v>
      </c>
      <c r="E48" s="66" t="s">
        <v>7</v>
      </c>
      <c r="F48" s="66" t="s">
        <v>7</v>
      </c>
      <c r="G48" s="66">
        <v>18.850000000000001</v>
      </c>
      <c r="H48" s="66">
        <v>1.3029999999999999</v>
      </c>
      <c r="I48" s="66">
        <v>15</v>
      </c>
      <c r="J48" s="66">
        <v>226</v>
      </c>
      <c r="K48" s="66" t="s">
        <v>8</v>
      </c>
      <c r="L48" s="63" t="s">
        <v>258</v>
      </c>
      <c r="M48" s="66">
        <v>17</v>
      </c>
      <c r="N48" s="66">
        <v>7.02</v>
      </c>
      <c r="O48" s="66">
        <v>4.04</v>
      </c>
      <c r="P48" s="72">
        <f>AVERAGE(5.17,5.02,5.12)</f>
        <v>5.1033333333333326</v>
      </c>
      <c r="Q48" s="66">
        <v>4</v>
      </c>
      <c r="R48" s="66">
        <v>4</v>
      </c>
      <c r="S48" s="63" t="s">
        <v>7</v>
      </c>
      <c r="T48" s="66" t="s">
        <v>52</v>
      </c>
      <c r="U48" s="66" t="s">
        <v>7</v>
      </c>
      <c r="V48" s="66" t="s">
        <v>9</v>
      </c>
      <c r="W48" s="66">
        <v>31</v>
      </c>
      <c r="X48" s="66">
        <v>31</v>
      </c>
      <c r="Y48" s="66" t="s">
        <v>15</v>
      </c>
      <c r="Z48" s="66" t="s">
        <v>16</v>
      </c>
      <c r="AA48" s="71" t="s">
        <v>93</v>
      </c>
      <c r="AB48" s="66" t="s">
        <v>7</v>
      </c>
      <c r="AC48" s="66" t="s">
        <v>9</v>
      </c>
      <c r="AD48" s="66" t="s">
        <v>197</v>
      </c>
      <c r="AE48" s="66" t="s">
        <v>9</v>
      </c>
    </row>
    <row r="49" spans="1:37" s="1" customFormat="1" x14ac:dyDescent="0.45">
      <c r="A49" s="68" t="s">
        <v>35</v>
      </c>
      <c r="B49" s="61" t="s">
        <v>142</v>
      </c>
      <c r="C49" s="62" t="s">
        <v>41</v>
      </c>
      <c r="D49" s="66" t="s">
        <v>20</v>
      </c>
      <c r="E49" s="66" t="s">
        <v>7</v>
      </c>
      <c r="F49" s="66" t="s">
        <v>7</v>
      </c>
      <c r="G49" s="66">
        <f>18.4+40.5</f>
        <v>58.9</v>
      </c>
      <c r="H49" s="66">
        <v>4.6500000000000004</v>
      </c>
      <c r="I49" s="66">
        <v>15</v>
      </c>
      <c r="J49" s="66">
        <f>67+134</f>
        <v>201</v>
      </c>
      <c r="K49" s="66" t="s">
        <v>8</v>
      </c>
      <c r="L49" s="63" t="s">
        <v>258</v>
      </c>
      <c r="M49" s="66">
        <v>22</v>
      </c>
      <c r="N49" s="66">
        <v>11.88</v>
      </c>
      <c r="O49" s="66">
        <v>9.67</v>
      </c>
      <c r="P49" s="72">
        <f>AVERAGE(12.95,12.99,12.95)</f>
        <v>12.963333333333333</v>
      </c>
      <c r="Q49" s="66">
        <v>3</v>
      </c>
      <c r="R49" s="66">
        <v>4</v>
      </c>
      <c r="S49" s="66" t="s">
        <v>7</v>
      </c>
      <c r="T49" s="66" t="s">
        <v>52</v>
      </c>
      <c r="U49" s="66" t="s">
        <v>7</v>
      </c>
      <c r="V49" s="66" t="s">
        <v>9</v>
      </c>
      <c r="W49" s="66">
        <f>26+47</f>
        <v>73</v>
      </c>
      <c r="X49" s="66">
        <f>9+17</f>
        <v>26</v>
      </c>
      <c r="Y49" s="66" t="s">
        <v>15</v>
      </c>
      <c r="Z49" s="66" t="s">
        <v>16</v>
      </c>
      <c r="AA49" s="71" t="s">
        <v>66</v>
      </c>
      <c r="AB49" s="66" t="s">
        <v>7</v>
      </c>
      <c r="AC49" s="66" t="s">
        <v>9</v>
      </c>
      <c r="AD49" s="66" t="s">
        <v>197</v>
      </c>
      <c r="AE49" s="66" t="s">
        <v>13</v>
      </c>
      <c r="AF49"/>
      <c r="AG49"/>
      <c r="AH49"/>
      <c r="AI49"/>
      <c r="AJ49"/>
      <c r="AK49"/>
    </row>
    <row r="50" spans="1:37" x14ac:dyDescent="0.45">
      <c r="A50" s="68" t="s">
        <v>35</v>
      </c>
      <c r="B50" s="61" t="s">
        <v>142</v>
      </c>
      <c r="C50" s="62" t="s">
        <v>42</v>
      </c>
      <c r="D50" s="66" t="s">
        <v>23</v>
      </c>
      <c r="E50" s="66" t="s">
        <v>7</v>
      </c>
      <c r="F50" s="66" t="s">
        <v>7</v>
      </c>
      <c r="G50" s="66">
        <v>40</v>
      </c>
      <c r="H50" s="66">
        <v>2.95</v>
      </c>
      <c r="I50" s="66">
        <v>15</v>
      </c>
      <c r="J50" s="66">
        <f>47+155</f>
        <v>202</v>
      </c>
      <c r="K50" s="66" t="s">
        <v>8</v>
      </c>
      <c r="L50" s="63" t="s">
        <v>258</v>
      </c>
      <c r="M50" s="66">
        <v>17</v>
      </c>
      <c r="N50" s="66">
        <v>8.89</v>
      </c>
      <c r="O50" s="66">
        <v>7.39</v>
      </c>
      <c r="P50" s="72">
        <f>AVERAGE(10.15,10.83,10.29)</f>
        <v>10.423333333333334</v>
      </c>
      <c r="Q50" s="66">
        <v>4</v>
      </c>
      <c r="R50" s="66">
        <v>4</v>
      </c>
      <c r="S50" s="66" t="s">
        <v>7</v>
      </c>
      <c r="T50" s="66" t="s">
        <v>52</v>
      </c>
      <c r="U50" s="66" t="s">
        <v>7</v>
      </c>
      <c r="V50" s="66" t="s">
        <v>9</v>
      </c>
      <c r="W50" s="66">
        <v>58</v>
      </c>
      <c r="X50" s="66">
        <v>21</v>
      </c>
      <c r="Y50" s="66" t="s">
        <v>15</v>
      </c>
      <c r="Z50" s="66" t="s">
        <v>16</v>
      </c>
      <c r="AA50" s="71" t="s">
        <v>61</v>
      </c>
      <c r="AB50" s="66" t="s">
        <v>7</v>
      </c>
      <c r="AC50" s="66" t="s">
        <v>9</v>
      </c>
      <c r="AD50" s="66" t="s">
        <v>197</v>
      </c>
      <c r="AE50" s="66" t="s">
        <v>13</v>
      </c>
    </row>
    <row r="51" spans="1:37" x14ac:dyDescent="0.45">
      <c r="A51" s="68" t="s">
        <v>35</v>
      </c>
      <c r="B51" s="61" t="s">
        <v>142</v>
      </c>
      <c r="C51" s="62" t="s">
        <v>44</v>
      </c>
      <c r="D51" s="66" t="s">
        <v>20</v>
      </c>
      <c r="E51" s="66" t="s">
        <v>7</v>
      </c>
      <c r="F51" s="66" t="s">
        <v>7</v>
      </c>
      <c r="G51" s="66">
        <v>46.35</v>
      </c>
      <c r="H51" s="66">
        <v>3.05</v>
      </c>
      <c r="I51" s="66">
        <v>15</v>
      </c>
      <c r="J51" s="66">
        <v>221</v>
      </c>
      <c r="K51" s="66" t="s">
        <v>8</v>
      </c>
      <c r="L51" s="63" t="s">
        <v>258</v>
      </c>
      <c r="M51" s="66">
        <v>18</v>
      </c>
      <c r="N51" s="66">
        <v>14.3</v>
      </c>
      <c r="O51" s="66">
        <v>8.9700000000000006</v>
      </c>
      <c r="P51" s="72">
        <f>AVERAGE(11.63,12.02,13.73)</f>
        <v>12.459999999999999</v>
      </c>
      <c r="Q51" s="66">
        <v>5</v>
      </c>
      <c r="R51" s="66">
        <v>5</v>
      </c>
      <c r="S51" s="66" t="s">
        <v>201</v>
      </c>
      <c r="T51" s="66" t="s">
        <v>52</v>
      </c>
      <c r="U51" s="66" t="s">
        <v>7</v>
      </c>
      <c r="V51" s="66" t="s">
        <v>9</v>
      </c>
      <c r="W51" s="66">
        <v>82</v>
      </c>
      <c r="X51" s="66">
        <v>29</v>
      </c>
      <c r="Y51" s="66" t="s">
        <v>15</v>
      </c>
      <c r="Z51" s="66" t="s">
        <v>16</v>
      </c>
      <c r="AA51" s="71" t="s">
        <v>68</v>
      </c>
      <c r="AB51" s="66" t="s">
        <v>7</v>
      </c>
      <c r="AC51" s="66" t="s">
        <v>9</v>
      </c>
      <c r="AD51" s="66" t="s">
        <v>197</v>
      </c>
      <c r="AE51" s="66" t="s">
        <v>13</v>
      </c>
    </row>
    <row r="52" spans="1:37" x14ac:dyDescent="0.45">
      <c r="A52" s="68" t="s">
        <v>35</v>
      </c>
      <c r="B52" s="61" t="s">
        <v>142</v>
      </c>
      <c r="C52" s="62" t="s">
        <v>73</v>
      </c>
      <c r="D52" s="66" t="s">
        <v>20</v>
      </c>
      <c r="E52" s="66" t="s">
        <v>7</v>
      </c>
      <c r="F52" s="66" t="s">
        <v>7</v>
      </c>
      <c r="G52" s="66">
        <v>51.5</v>
      </c>
      <c r="H52" s="66">
        <v>3.0539999999999998</v>
      </c>
      <c r="I52" s="66">
        <v>15</v>
      </c>
      <c r="J52" s="66">
        <v>198</v>
      </c>
      <c r="K52" s="66" t="s">
        <v>8</v>
      </c>
      <c r="L52" s="63" t="s">
        <v>258</v>
      </c>
      <c r="M52" s="66">
        <v>19</v>
      </c>
      <c r="N52" s="66">
        <v>12</v>
      </c>
      <c r="O52" s="66">
        <v>8.1999999999999993</v>
      </c>
      <c r="P52" s="72">
        <f>AVERAGE(9.6,10.18,9.59)</f>
        <v>9.7900000000000009</v>
      </c>
      <c r="Q52" s="66">
        <v>3</v>
      </c>
      <c r="R52" s="66">
        <v>4</v>
      </c>
      <c r="S52" s="66" t="s">
        <v>7</v>
      </c>
      <c r="T52" s="66" t="s">
        <v>52</v>
      </c>
      <c r="U52" s="66" t="s">
        <v>7</v>
      </c>
      <c r="V52" s="66" t="s">
        <v>9</v>
      </c>
      <c r="W52" s="66">
        <v>59</v>
      </c>
      <c r="X52" s="66">
        <v>21</v>
      </c>
      <c r="Y52" s="66" t="s">
        <v>15</v>
      </c>
      <c r="Z52" s="66" t="s">
        <v>16</v>
      </c>
      <c r="AA52" s="71" t="s">
        <v>90</v>
      </c>
      <c r="AB52" s="66" t="s">
        <v>7</v>
      </c>
      <c r="AC52" s="66" t="s">
        <v>9</v>
      </c>
      <c r="AD52" s="66" t="s">
        <v>197</v>
      </c>
      <c r="AE52" s="66" t="s">
        <v>13</v>
      </c>
    </row>
    <row r="53" spans="1:37" x14ac:dyDescent="0.45">
      <c r="A53" s="68" t="s">
        <v>35</v>
      </c>
      <c r="B53" s="61" t="s">
        <v>142</v>
      </c>
      <c r="C53" s="83" t="s">
        <v>46</v>
      </c>
      <c r="D53" s="66" t="s">
        <v>11</v>
      </c>
      <c r="E53" s="66" t="s">
        <v>7</v>
      </c>
      <c r="F53" s="66" t="s">
        <v>7</v>
      </c>
      <c r="G53" s="66">
        <v>26.5</v>
      </c>
      <c r="H53" s="66">
        <v>1.24</v>
      </c>
      <c r="I53" s="66">
        <v>15</v>
      </c>
      <c r="J53" s="66">
        <v>222</v>
      </c>
      <c r="K53" s="66" t="s">
        <v>8</v>
      </c>
      <c r="L53" s="63" t="s">
        <v>258</v>
      </c>
      <c r="M53" s="66">
        <v>17</v>
      </c>
      <c r="N53" s="66">
        <v>8.8000000000000007</v>
      </c>
      <c r="O53" s="66">
        <v>4.8</v>
      </c>
      <c r="P53" s="72">
        <f>AVERAGE(6.73,6.88,6.12)</f>
        <v>6.5766666666666671</v>
      </c>
      <c r="Q53" s="66">
        <v>4</v>
      </c>
      <c r="R53" s="66">
        <v>3</v>
      </c>
      <c r="S53" s="66" t="s">
        <v>7</v>
      </c>
      <c r="T53" s="66" t="s">
        <v>52</v>
      </c>
      <c r="U53" s="66" t="s">
        <v>7</v>
      </c>
      <c r="V53" s="66" t="s">
        <v>9</v>
      </c>
      <c r="W53" s="66">
        <v>28</v>
      </c>
      <c r="X53" s="66">
        <v>28</v>
      </c>
      <c r="Y53" s="66" t="s">
        <v>15</v>
      </c>
      <c r="Z53" s="66" t="s">
        <v>16</v>
      </c>
      <c r="AA53" s="71" t="s">
        <v>69</v>
      </c>
      <c r="AB53" s="66" t="s">
        <v>7</v>
      </c>
      <c r="AC53" s="66" t="s">
        <v>9</v>
      </c>
      <c r="AD53" s="66" t="s">
        <v>197</v>
      </c>
      <c r="AE53" s="66" t="s">
        <v>9</v>
      </c>
    </row>
    <row r="54" spans="1:37" x14ac:dyDescent="0.45">
      <c r="A54" s="68" t="s">
        <v>35</v>
      </c>
      <c r="B54" s="61" t="s">
        <v>142</v>
      </c>
      <c r="C54" s="83" t="s">
        <v>47</v>
      </c>
      <c r="D54" s="66" t="s">
        <v>11</v>
      </c>
      <c r="E54" s="66" t="s">
        <v>7</v>
      </c>
      <c r="F54" s="66" t="s">
        <v>7</v>
      </c>
      <c r="G54" s="66">
        <v>22.75</v>
      </c>
      <c r="H54" s="66">
        <v>1.34</v>
      </c>
      <c r="I54" s="66">
        <v>15</v>
      </c>
      <c r="J54" s="66">
        <v>211</v>
      </c>
      <c r="K54" s="66" t="s">
        <v>8</v>
      </c>
      <c r="L54" s="63" t="s">
        <v>258</v>
      </c>
      <c r="M54" s="66">
        <v>20</v>
      </c>
      <c r="N54" s="66">
        <v>8</v>
      </c>
      <c r="O54" s="66">
        <v>5.36</v>
      </c>
      <c r="P54" s="72">
        <f>AVERAGE(5.34,5.86,5)</f>
        <v>5.3999999999999995</v>
      </c>
      <c r="Q54" s="66">
        <v>4</v>
      </c>
      <c r="R54" s="66">
        <v>3</v>
      </c>
      <c r="S54" s="66" t="s">
        <v>7</v>
      </c>
      <c r="T54" s="66" t="s">
        <v>52</v>
      </c>
      <c r="U54" s="66" t="s">
        <v>7</v>
      </c>
      <c r="V54" s="66" t="s">
        <v>9</v>
      </c>
      <c r="W54" s="66">
        <v>32</v>
      </c>
      <c r="X54" s="66">
        <v>31</v>
      </c>
      <c r="Y54" s="66" t="s">
        <v>16</v>
      </c>
      <c r="Z54" s="66" t="s">
        <v>16</v>
      </c>
      <c r="AA54" s="71" t="s">
        <v>70</v>
      </c>
      <c r="AB54" s="66" t="s">
        <v>7</v>
      </c>
      <c r="AC54" s="66" t="s">
        <v>9</v>
      </c>
      <c r="AD54" s="66" t="s">
        <v>197</v>
      </c>
      <c r="AE54" s="66" t="s">
        <v>9</v>
      </c>
    </row>
    <row r="55" spans="1:37" x14ac:dyDescent="0.45">
      <c r="A55" s="68" t="s">
        <v>35</v>
      </c>
      <c r="B55" s="61" t="s">
        <v>142</v>
      </c>
      <c r="C55" s="62" t="s">
        <v>49</v>
      </c>
      <c r="D55" s="66" t="s">
        <v>50</v>
      </c>
      <c r="E55" s="66" t="s">
        <v>7</v>
      </c>
      <c r="F55" s="66" t="s">
        <v>7</v>
      </c>
      <c r="G55" s="66">
        <v>44.95</v>
      </c>
      <c r="H55" s="66">
        <v>2.2000000000000002</v>
      </c>
      <c r="I55" s="66">
        <v>15</v>
      </c>
      <c r="J55" s="66">
        <v>225</v>
      </c>
      <c r="K55" s="66" t="s">
        <v>8</v>
      </c>
      <c r="L55" s="63" t="s">
        <v>258</v>
      </c>
      <c r="M55" s="66">
        <v>18</v>
      </c>
      <c r="N55" s="66">
        <v>11.45</v>
      </c>
      <c r="O55" s="66">
        <v>7.43</v>
      </c>
      <c r="P55" s="72">
        <f>AVERAGE(7.93,8.25,7.65)</f>
        <v>7.9433333333333325</v>
      </c>
      <c r="Q55" s="66">
        <v>4</v>
      </c>
      <c r="R55" s="66">
        <v>4</v>
      </c>
      <c r="S55" s="66" t="s">
        <v>7</v>
      </c>
      <c r="T55" s="66" t="s">
        <v>52</v>
      </c>
      <c r="U55" s="66" t="s">
        <v>7</v>
      </c>
      <c r="V55" s="66" t="s">
        <v>9</v>
      </c>
      <c r="W55" s="66">
        <v>84</v>
      </c>
      <c r="X55" s="66">
        <v>30</v>
      </c>
      <c r="Y55" s="66" t="s">
        <v>15</v>
      </c>
      <c r="Z55" s="66" t="s">
        <v>16</v>
      </c>
      <c r="AA55" s="71" t="s">
        <v>205</v>
      </c>
      <c r="AB55" s="66" t="s">
        <v>7</v>
      </c>
      <c r="AC55" s="66" t="s">
        <v>9</v>
      </c>
      <c r="AD55" s="66" t="s">
        <v>197</v>
      </c>
      <c r="AE55" s="66" t="s">
        <v>13</v>
      </c>
    </row>
    <row r="56" spans="1:37" x14ac:dyDescent="0.45">
      <c r="A56" s="68" t="s">
        <v>35</v>
      </c>
      <c r="B56" s="61" t="s">
        <v>142</v>
      </c>
      <c r="C56" s="62" t="s">
        <v>130</v>
      </c>
      <c r="D56" s="66" t="s">
        <v>51</v>
      </c>
      <c r="E56" s="66" t="s">
        <v>7</v>
      </c>
      <c r="F56" s="66" t="s">
        <v>7</v>
      </c>
      <c r="G56" s="66">
        <v>41.5</v>
      </c>
      <c r="H56" s="66">
        <v>2.5099999999999998</v>
      </c>
      <c r="I56" s="66">
        <v>15</v>
      </c>
      <c r="J56" s="66">
        <v>197</v>
      </c>
      <c r="K56" s="66" t="s">
        <v>8</v>
      </c>
      <c r="L56" s="63" t="s">
        <v>258</v>
      </c>
      <c r="M56" s="66">
        <v>20</v>
      </c>
      <c r="N56" s="66">
        <v>10.88</v>
      </c>
      <c r="O56" s="66">
        <v>7.67</v>
      </c>
      <c r="P56" s="72">
        <f>AVERAGE(8.72,8.09,7.92)</f>
        <v>8.2433333333333341</v>
      </c>
      <c r="Q56" s="66">
        <v>4</v>
      </c>
      <c r="R56" s="66">
        <v>3</v>
      </c>
      <c r="S56" s="66" t="s">
        <v>7</v>
      </c>
      <c r="T56" s="66" t="s">
        <v>52</v>
      </c>
      <c r="U56" s="66" t="s">
        <v>7</v>
      </c>
      <c r="V56" s="66" t="s">
        <v>9</v>
      </c>
      <c r="W56" s="66">
        <v>69</v>
      </c>
      <c r="X56" s="66">
        <v>25</v>
      </c>
      <c r="Y56" s="66" t="s">
        <v>15</v>
      </c>
      <c r="Z56" s="66" t="s">
        <v>16</v>
      </c>
      <c r="AA56" s="71" t="s">
        <v>69</v>
      </c>
      <c r="AB56" s="66" t="s">
        <v>7</v>
      </c>
      <c r="AC56" s="66" t="s">
        <v>9</v>
      </c>
      <c r="AD56" s="66" t="s">
        <v>197</v>
      </c>
      <c r="AE56" s="66" t="s">
        <v>13</v>
      </c>
    </row>
    <row r="57" spans="1:37" x14ac:dyDescent="0.45">
      <c r="A57" s="68" t="s">
        <v>35</v>
      </c>
      <c r="B57" s="61" t="s">
        <v>142</v>
      </c>
      <c r="C57" s="62" t="s">
        <v>43</v>
      </c>
      <c r="D57" s="66" t="s">
        <v>20</v>
      </c>
      <c r="E57" s="66" t="s">
        <v>7</v>
      </c>
      <c r="F57" s="66" t="s">
        <v>7</v>
      </c>
      <c r="G57" s="66">
        <v>49.1</v>
      </c>
      <c r="H57" s="66">
        <v>2.9</v>
      </c>
      <c r="I57" s="66">
        <v>15</v>
      </c>
      <c r="J57" s="66">
        <v>202</v>
      </c>
      <c r="K57" s="66" t="s">
        <v>8</v>
      </c>
      <c r="L57" s="63" t="s">
        <v>258</v>
      </c>
      <c r="M57" s="66">
        <v>21</v>
      </c>
      <c r="N57" s="66">
        <v>12.82</v>
      </c>
      <c r="O57" s="66">
        <v>8.39</v>
      </c>
      <c r="P57" s="72">
        <f>AVERAGE(9.58,10.07,10.58)</f>
        <v>10.076666666666666</v>
      </c>
      <c r="Q57" s="66">
        <v>4</v>
      </c>
      <c r="R57" s="66">
        <v>4</v>
      </c>
      <c r="S57" s="66" t="s">
        <v>7</v>
      </c>
      <c r="T57" s="66" t="s">
        <v>52</v>
      </c>
      <c r="U57" s="66" t="s">
        <v>7</v>
      </c>
      <c r="V57" s="66" t="s">
        <v>9</v>
      </c>
      <c r="W57" s="66">
        <v>78</v>
      </c>
      <c r="X57" s="66">
        <v>27</v>
      </c>
      <c r="Y57" s="66" t="s">
        <v>58</v>
      </c>
      <c r="Z57" s="66" t="s">
        <v>16</v>
      </c>
      <c r="AA57" s="71" t="s">
        <v>67</v>
      </c>
      <c r="AB57" s="66" t="s">
        <v>7</v>
      </c>
      <c r="AC57" s="66" t="s">
        <v>9</v>
      </c>
      <c r="AD57" s="66" t="s">
        <v>197</v>
      </c>
      <c r="AE57" s="66" t="s">
        <v>13</v>
      </c>
    </row>
    <row r="58" spans="1:37" x14ac:dyDescent="0.45">
      <c r="A58" s="68" t="s">
        <v>35</v>
      </c>
      <c r="B58" s="61" t="s">
        <v>142</v>
      </c>
      <c r="C58" s="62" t="s">
        <v>126</v>
      </c>
      <c r="D58" s="66" t="s">
        <v>20</v>
      </c>
      <c r="E58" s="66" t="s">
        <v>7</v>
      </c>
      <c r="F58" s="66" t="s">
        <v>7</v>
      </c>
      <c r="G58" s="66">
        <v>47.4</v>
      </c>
      <c r="H58" s="66">
        <v>2.6179999999999999</v>
      </c>
      <c r="I58" s="66">
        <v>15</v>
      </c>
      <c r="J58" s="66">
        <v>202</v>
      </c>
      <c r="K58" s="66" t="s">
        <v>8</v>
      </c>
      <c r="L58" s="63" t="s">
        <v>258</v>
      </c>
      <c r="M58" s="66">
        <v>19</v>
      </c>
      <c r="N58" s="66">
        <v>12.15</v>
      </c>
      <c r="O58" s="66" t="s">
        <v>13</v>
      </c>
      <c r="P58" s="72">
        <f>AVERAGE(8.63,8.04,8.42)</f>
        <v>8.3633333333333351</v>
      </c>
      <c r="Q58" s="66">
        <v>4</v>
      </c>
      <c r="R58" s="66" t="s">
        <v>20</v>
      </c>
      <c r="S58" s="66" t="s">
        <v>13</v>
      </c>
      <c r="T58" s="66" t="s">
        <v>52</v>
      </c>
      <c r="U58" s="66" t="s">
        <v>7</v>
      </c>
      <c r="V58" s="66" t="s">
        <v>9</v>
      </c>
      <c r="W58" s="66">
        <v>75</v>
      </c>
      <c r="X58" s="66">
        <v>27</v>
      </c>
      <c r="Y58" s="66" t="s">
        <v>15</v>
      </c>
      <c r="Z58" s="66" t="s">
        <v>16</v>
      </c>
      <c r="AA58" s="71" t="s">
        <v>91</v>
      </c>
      <c r="AB58" s="66" t="s">
        <v>7</v>
      </c>
      <c r="AC58" s="66" t="s">
        <v>9</v>
      </c>
      <c r="AD58" s="66" t="s">
        <v>197</v>
      </c>
      <c r="AE58" s="66" t="s">
        <v>13</v>
      </c>
    </row>
    <row r="59" spans="1:37" x14ac:dyDescent="0.45">
      <c r="A59" s="68" t="s">
        <v>35</v>
      </c>
      <c r="B59" s="61" t="s">
        <v>142</v>
      </c>
      <c r="C59" s="62" t="s">
        <v>128</v>
      </c>
      <c r="D59" s="66" t="s">
        <v>20</v>
      </c>
      <c r="E59" s="66" t="s">
        <v>7</v>
      </c>
      <c r="F59" s="66" t="s">
        <v>7</v>
      </c>
      <c r="G59" s="66">
        <v>50.4</v>
      </c>
      <c r="H59" s="66">
        <v>3.0059999999999998</v>
      </c>
      <c r="I59" s="66">
        <v>15</v>
      </c>
      <c r="J59" s="66" t="s">
        <v>82</v>
      </c>
      <c r="K59" s="66" t="s">
        <v>8</v>
      </c>
      <c r="L59" s="63" t="s">
        <v>258</v>
      </c>
      <c r="M59" s="66">
        <v>20</v>
      </c>
      <c r="N59" s="66">
        <v>10.220000000000001</v>
      </c>
      <c r="O59" s="66">
        <v>7.92</v>
      </c>
      <c r="P59" s="72">
        <f>AVERAGE(9.82,12.34,8.6)</f>
        <v>10.253333333333332</v>
      </c>
      <c r="Q59" s="66">
        <v>4</v>
      </c>
      <c r="R59" s="66">
        <v>3</v>
      </c>
      <c r="S59" s="66" t="s">
        <v>7</v>
      </c>
      <c r="T59" s="66" t="s">
        <v>53</v>
      </c>
      <c r="U59" s="66" t="s">
        <v>7</v>
      </c>
      <c r="V59" s="66" t="s">
        <v>9</v>
      </c>
      <c r="W59" s="66">
        <v>75</v>
      </c>
      <c r="X59" s="66">
        <v>27</v>
      </c>
      <c r="Y59" s="66" t="s">
        <v>15</v>
      </c>
      <c r="Z59" s="66" t="s">
        <v>16</v>
      </c>
      <c r="AA59" s="71" t="s">
        <v>94</v>
      </c>
      <c r="AB59" s="66" t="s">
        <v>7</v>
      </c>
      <c r="AC59" s="66" t="s">
        <v>9</v>
      </c>
      <c r="AD59" s="66" t="s">
        <v>197</v>
      </c>
      <c r="AE59" s="66" t="s">
        <v>13</v>
      </c>
    </row>
    <row r="60" spans="1:37" x14ac:dyDescent="0.45">
      <c r="A60" s="68" t="s">
        <v>35</v>
      </c>
      <c r="B60" s="61" t="s">
        <v>142</v>
      </c>
      <c r="C60" s="62" t="s">
        <v>125</v>
      </c>
      <c r="D60" s="66" t="s">
        <v>23</v>
      </c>
      <c r="E60" s="66" t="s">
        <v>7</v>
      </c>
      <c r="F60" s="66" t="s">
        <v>7</v>
      </c>
      <c r="G60" s="66">
        <v>54.55</v>
      </c>
      <c r="H60" s="66">
        <v>2.9809999999999999</v>
      </c>
      <c r="I60" s="66">
        <v>15</v>
      </c>
      <c r="J60" s="66">
        <v>202</v>
      </c>
      <c r="K60" s="66" t="s">
        <v>8</v>
      </c>
      <c r="L60" s="63" t="s">
        <v>258</v>
      </c>
      <c r="M60" s="66">
        <v>20</v>
      </c>
      <c r="N60" s="66">
        <v>12.38</v>
      </c>
      <c r="O60" s="66">
        <v>7.88</v>
      </c>
      <c r="P60" s="72">
        <f>AVERAGE(9.43,9.06,9.23)</f>
        <v>9.24</v>
      </c>
      <c r="Q60" s="66">
        <v>4</v>
      </c>
      <c r="R60" s="66">
        <v>4</v>
      </c>
      <c r="S60" s="66" t="s">
        <v>7</v>
      </c>
      <c r="T60" s="66" t="s">
        <v>52</v>
      </c>
      <c r="U60" s="66" t="s">
        <v>7</v>
      </c>
      <c r="V60" s="66" t="s">
        <v>9</v>
      </c>
      <c r="W60" s="66">
        <v>76</v>
      </c>
      <c r="X60" s="66">
        <v>25</v>
      </c>
      <c r="Y60" s="66" t="s">
        <v>15</v>
      </c>
      <c r="Z60" s="66" t="s">
        <v>16</v>
      </c>
      <c r="AA60" s="71" t="s">
        <v>69</v>
      </c>
      <c r="AB60" s="66" t="s">
        <v>7</v>
      </c>
      <c r="AC60" s="66" t="s">
        <v>9</v>
      </c>
      <c r="AD60" s="66" t="s">
        <v>197</v>
      </c>
      <c r="AE60" s="66" t="s">
        <v>13</v>
      </c>
    </row>
    <row r="61" spans="1:37" x14ac:dyDescent="0.45">
      <c r="A61" s="68" t="s">
        <v>35</v>
      </c>
      <c r="B61" s="61" t="s">
        <v>142</v>
      </c>
      <c r="C61" s="62" t="s">
        <v>129</v>
      </c>
      <c r="D61" s="66" t="s">
        <v>20</v>
      </c>
      <c r="E61" s="66" t="s">
        <v>7</v>
      </c>
      <c r="F61" s="66" t="s">
        <v>7</v>
      </c>
      <c r="G61" s="66">
        <v>52</v>
      </c>
      <c r="H61" s="66">
        <v>2.9710000000000001</v>
      </c>
      <c r="I61" s="66">
        <v>15</v>
      </c>
      <c r="J61" s="66">
        <v>205</v>
      </c>
      <c r="K61" s="66" t="s">
        <v>8</v>
      </c>
      <c r="L61" s="63" t="s">
        <v>258</v>
      </c>
      <c r="M61" s="66">
        <v>19</v>
      </c>
      <c r="N61" s="66">
        <v>12.94</v>
      </c>
      <c r="O61" s="66">
        <v>8.93</v>
      </c>
      <c r="P61" s="72">
        <f>AVERAGE(10.9,11.02,11.07)</f>
        <v>10.996666666666668</v>
      </c>
      <c r="Q61" s="66">
        <v>4</v>
      </c>
      <c r="R61" s="66">
        <v>4</v>
      </c>
      <c r="S61" s="66" t="s">
        <v>7</v>
      </c>
      <c r="T61" s="66" t="s">
        <v>52</v>
      </c>
      <c r="U61" s="66" t="s">
        <v>7</v>
      </c>
      <c r="V61" s="66" t="s">
        <v>9</v>
      </c>
      <c r="W61" s="66">
        <v>70</v>
      </c>
      <c r="X61" s="66">
        <v>25</v>
      </c>
      <c r="Y61" s="66" t="s">
        <v>15</v>
      </c>
      <c r="Z61" s="66" t="s">
        <v>16</v>
      </c>
      <c r="AA61" s="71" t="s">
        <v>69</v>
      </c>
      <c r="AB61" s="66" t="s">
        <v>7</v>
      </c>
      <c r="AC61" s="66" t="s">
        <v>9</v>
      </c>
      <c r="AD61" s="66" t="s">
        <v>197</v>
      </c>
      <c r="AE61" s="66" t="s">
        <v>13</v>
      </c>
    </row>
    <row r="62" spans="1:37" x14ac:dyDescent="0.45">
      <c r="A62" s="68" t="s">
        <v>35</v>
      </c>
      <c r="B62" s="61" t="s">
        <v>142</v>
      </c>
      <c r="C62" s="62" t="s">
        <v>127</v>
      </c>
      <c r="D62" s="66" t="s">
        <v>81</v>
      </c>
      <c r="E62" s="66" t="s">
        <v>7</v>
      </c>
      <c r="F62" s="66" t="s">
        <v>7</v>
      </c>
      <c r="G62" s="66">
        <v>45.4</v>
      </c>
      <c r="H62" s="66">
        <v>3.5129999999999999</v>
      </c>
      <c r="I62" s="66">
        <v>15</v>
      </c>
      <c r="J62" s="66">
        <v>203</v>
      </c>
      <c r="K62" s="66" t="s">
        <v>8</v>
      </c>
      <c r="L62" s="63" t="s">
        <v>258</v>
      </c>
      <c r="M62" s="66">
        <v>22</v>
      </c>
      <c r="N62" s="66">
        <v>14.16</v>
      </c>
      <c r="O62" s="66">
        <v>9.02</v>
      </c>
      <c r="P62" s="72">
        <f>AVERAGE(14.13,11.6,10.9)</f>
        <v>12.21</v>
      </c>
      <c r="Q62" s="66">
        <v>4</v>
      </c>
      <c r="R62" s="66">
        <v>4</v>
      </c>
      <c r="S62" s="66" t="s">
        <v>7</v>
      </c>
      <c r="T62" s="66" t="s">
        <v>52</v>
      </c>
      <c r="U62" s="66" t="s">
        <v>7</v>
      </c>
      <c r="V62" s="66" t="s">
        <v>9</v>
      </c>
      <c r="W62" s="66">
        <v>61</v>
      </c>
      <c r="X62" s="66">
        <v>22</v>
      </c>
      <c r="Y62" s="66" t="s">
        <v>15</v>
      </c>
      <c r="Z62" s="66" t="s">
        <v>16</v>
      </c>
      <c r="AA62" s="71" t="s">
        <v>92</v>
      </c>
      <c r="AB62" s="66" t="s">
        <v>7</v>
      </c>
      <c r="AC62" s="66" t="s">
        <v>9</v>
      </c>
      <c r="AD62" s="66" t="s">
        <v>207</v>
      </c>
      <c r="AE62" s="66" t="s">
        <v>13</v>
      </c>
    </row>
    <row r="63" spans="1:37" x14ac:dyDescent="0.45">
      <c r="A63" s="68" t="s">
        <v>6</v>
      </c>
      <c r="B63" s="61" t="s">
        <v>142</v>
      </c>
      <c r="C63" s="62" t="s">
        <v>148</v>
      </c>
      <c r="D63" s="66" t="s">
        <v>20</v>
      </c>
      <c r="E63" s="66" t="s">
        <v>7</v>
      </c>
      <c r="F63" s="66" t="s">
        <v>7</v>
      </c>
      <c r="G63" s="66">
        <v>42.7</v>
      </c>
      <c r="H63" s="66">
        <v>3</v>
      </c>
      <c r="I63" s="66">
        <v>15</v>
      </c>
      <c r="J63" s="66">
        <v>195</v>
      </c>
      <c r="K63" s="66" t="s">
        <v>8</v>
      </c>
      <c r="L63" s="63" t="s">
        <v>258</v>
      </c>
      <c r="M63" s="66">
        <v>22</v>
      </c>
      <c r="N63" s="70"/>
      <c r="O63" s="70"/>
      <c r="P63" s="69"/>
      <c r="Q63" s="66">
        <v>4</v>
      </c>
      <c r="R63" s="66">
        <v>4</v>
      </c>
      <c r="S63" s="66" t="s">
        <v>7</v>
      </c>
      <c r="T63" s="66" t="s">
        <v>52</v>
      </c>
      <c r="U63" s="66" t="s">
        <v>7</v>
      </c>
      <c r="V63" s="66" t="s">
        <v>9</v>
      </c>
      <c r="W63" s="66">
        <v>64</v>
      </c>
      <c r="X63" s="66">
        <v>25</v>
      </c>
      <c r="Y63" s="66" t="s">
        <v>15</v>
      </c>
      <c r="Z63" s="66" t="s">
        <v>16</v>
      </c>
      <c r="AA63" s="71" t="s">
        <v>100</v>
      </c>
      <c r="AB63" s="66" t="s">
        <v>7</v>
      </c>
      <c r="AC63" s="66" t="s">
        <v>9</v>
      </c>
      <c r="AD63" s="66" t="s">
        <v>197</v>
      </c>
      <c r="AE63" s="66" t="s">
        <v>13</v>
      </c>
    </row>
    <row r="64" spans="1:37" x14ac:dyDescent="0.45">
      <c r="A64" s="68" t="s">
        <v>6</v>
      </c>
      <c r="B64" s="61" t="s">
        <v>142</v>
      </c>
      <c r="C64" s="62" t="s">
        <v>168</v>
      </c>
      <c r="D64" s="66" t="s">
        <v>20</v>
      </c>
      <c r="E64" s="66" t="s">
        <v>7</v>
      </c>
      <c r="F64" s="66" t="s">
        <v>7</v>
      </c>
      <c r="G64" s="66">
        <v>40.79</v>
      </c>
      <c r="H64" s="66">
        <v>2.4700000000000002</v>
      </c>
      <c r="I64" s="63" t="s">
        <v>385</v>
      </c>
      <c r="J64" s="63">
        <v>229</v>
      </c>
      <c r="K64" s="66" t="s">
        <v>8</v>
      </c>
      <c r="L64" s="63" t="s">
        <v>258</v>
      </c>
      <c r="M64" s="66">
        <v>14</v>
      </c>
      <c r="N64" s="66">
        <v>10.97</v>
      </c>
      <c r="O64" s="66">
        <v>7.67</v>
      </c>
      <c r="P64" s="72">
        <f>AVERAGE(10.32,10.26,10.74)</f>
        <v>10.44</v>
      </c>
      <c r="Q64" s="66">
        <v>5</v>
      </c>
      <c r="R64" s="66">
        <v>4</v>
      </c>
      <c r="S64" s="66" t="s">
        <v>9</v>
      </c>
      <c r="T64" s="70"/>
      <c r="U64" s="66" t="s">
        <v>7</v>
      </c>
      <c r="V64" s="66" t="s">
        <v>176</v>
      </c>
      <c r="W64" s="66">
        <v>82</v>
      </c>
      <c r="X64" s="66">
        <v>29</v>
      </c>
      <c r="Y64" s="66" t="s">
        <v>15</v>
      </c>
      <c r="Z64" s="66" t="s">
        <v>157</v>
      </c>
      <c r="AA64" s="71" t="s">
        <v>177</v>
      </c>
      <c r="AB64" s="66" t="s">
        <v>7</v>
      </c>
      <c r="AC64" s="66" t="s">
        <v>9</v>
      </c>
      <c r="AD64" s="66" t="s">
        <v>224</v>
      </c>
      <c r="AE64" s="66" t="s">
        <v>13</v>
      </c>
    </row>
    <row r="65" spans="1:31" x14ac:dyDescent="0.45">
      <c r="A65" s="68" t="s">
        <v>144</v>
      </c>
      <c r="B65" s="61" t="s">
        <v>142</v>
      </c>
      <c r="C65" s="62" t="s">
        <v>183</v>
      </c>
      <c r="D65" s="63" t="s">
        <v>20</v>
      </c>
      <c r="E65" s="63" t="s">
        <v>7</v>
      </c>
      <c r="F65" s="63" t="s">
        <v>7</v>
      </c>
      <c r="G65" s="63">
        <v>50.38</v>
      </c>
      <c r="H65" s="63">
        <v>2.77</v>
      </c>
      <c r="I65" s="63" t="s">
        <v>385</v>
      </c>
      <c r="J65" s="63">
        <v>224</v>
      </c>
      <c r="K65" s="63" t="s">
        <v>8</v>
      </c>
      <c r="L65" s="63" t="s">
        <v>258</v>
      </c>
      <c r="M65" s="63">
        <v>18</v>
      </c>
      <c r="N65" s="66">
        <v>12.87</v>
      </c>
      <c r="O65" s="66">
        <v>8.58</v>
      </c>
      <c r="P65" s="72">
        <f>AVERAGE(13.98,11.59,11.19)</f>
        <v>12.253333333333332</v>
      </c>
      <c r="Q65" s="66">
        <v>4</v>
      </c>
      <c r="R65" s="66">
        <v>4</v>
      </c>
      <c r="S65" s="66" t="s">
        <v>7</v>
      </c>
      <c r="T65" s="66" t="s">
        <v>52</v>
      </c>
      <c r="U65" s="66" t="s">
        <v>7</v>
      </c>
      <c r="V65" s="66" t="s">
        <v>9</v>
      </c>
      <c r="W65" s="66">
        <v>85</v>
      </c>
      <c r="X65" s="66">
        <v>30</v>
      </c>
      <c r="Y65" s="66" t="s">
        <v>15</v>
      </c>
      <c r="Z65" s="66" t="s">
        <v>16</v>
      </c>
      <c r="AA65" s="71" t="s">
        <v>177</v>
      </c>
      <c r="AB65" s="66" t="s">
        <v>7</v>
      </c>
      <c r="AC65" s="66" t="s">
        <v>9</v>
      </c>
      <c r="AD65" s="66" t="s">
        <v>197</v>
      </c>
      <c r="AE65" s="66" t="s">
        <v>13</v>
      </c>
    </row>
    <row r="66" spans="1:31" x14ac:dyDescent="0.45">
      <c r="A66" s="68" t="s">
        <v>144</v>
      </c>
      <c r="B66" s="61" t="s">
        <v>142</v>
      </c>
      <c r="C66" s="62" t="s">
        <v>181</v>
      </c>
      <c r="D66" s="63" t="s">
        <v>20</v>
      </c>
      <c r="E66" s="63" t="s">
        <v>7</v>
      </c>
      <c r="F66" s="63" t="s">
        <v>7</v>
      </c>
      <c r="G66" s="63">
        <v>51.9</v>
      </c>
      <c r="H66" s="63">
        <v>3.28</v>
      </c>
      <c r="I66" s="63" t="s">
        <v>385</v>
      </c>
      <c r="J66" s="63">
        <v>206</v>
      </c>
      <c r="K66" s="63" t="s">
        <v>8</v>
      </c>
      <c r="L66" s="63" t="s">
        <v>258</v>
      </c>
      <c r="M66" s="63" t="s">
        <v>260</v>
      </c>
      <c r="N66" s="66">
        <v>13.66</v>
      </c>
      <c r="O66" s="66">
        <v>9.42</v>
      </c>
      <c r="P66" s="72">
        <f>AVERAGE(13.086,12.523,13.11)</f>
        <v>12.906333333333334</v>
      </c>
      <c r="Q66" s="66">
        <v>4</v>
      </c>
      <c r="R66" s="66">
        <v>4</v>
      </c>
      <c r="S66" s="66" t="s">
        <v>7</v>
      </c>
      <c r="T66" s="66" t="s">
        <v>52</v>
      </c>
      <c r="U66" s="66" t="s">
        <v>18</v>
      </c>
      <c r="V66" s="66" t="s">
        <v>9</v>
      </c>
      <c r="W66" s="66">
        <v>75</v>
      </c>
      <c r="X66" s="66">
        <v>27</v>
      </c>
      <c r="Y66" s="66" t="s">
        <v>15</v>
      </c>
      <c r="Z66" s="66" t="s">
        <v>191</v>
      </c>
      <c r="AA66" s="71" t="s">
        <v>192</v>
      </c>
      <c r="AB66" s="66" t="s">
        <v>7</v>
      </c>
      <c r="AC66" s="66" t="s">
        <v>9</v>
      </c>
      <c r="AD66" s="66" t="s">
        <v>197</v>
      </c>
      <c r="AE66" s="66" t="s">
        <v>13</v>
      </c>
    </row>
    <row r="67" spans="1:31" x14ac:dyDescent="0.45">
      <c r="A67" s="68" t="s">
        <v>131</v>
      </c>
      <c r="B67" s="61" t="s">
        <v>140</v>
      </c>
      <c r="C67" s="62" t="s">
        <v>132</v>
      </c>
      <c r="D67" s="66" t="s">
        <v>81</v>
      </c>
      <c r="E67" s="66" t="s">
        <v>7</v>
      </c>
      <c r="F67" s="66" t="s">
        <v>7</v>
      </c>
      <c r="G67" s="66">
        <v>26.9</v>
      </c>
      <c r="H67" s="66">
        <v>2.62</v>
      </c>
      <c r="I67" s="66">
        <v>15</v>
      </c>
      <c r="J67" s="66">
        <v>206</v>
      </c>
      <c r="K67" s="70"/>
      <c r="L67" s="70"/>
      <c r="M67" s="66">
        <v>23</v>
      </c>
      <c r="N67" s="66">
        <v>8</v>
      </c>
      <c r="O67" s="66">
        <v>6.31</v>
      </c>
      <c r="P67" s="72">
        <f>AVERAGE(6.45,7.1,6.045)</f>
        <v>6.5316666666666663</v>
      </c>
      <c r="Q67" s="70"/>
      <c r="R67" s="70"/>
      <c r="S67" s="70"/>
      <c r="T67" s="70"/>
      <c r="U67" s="66" t="s">
        <v>9</v>
      </c>
      <c r="V67" s="66" t="s">
        <v>9</v>
      </c>
      <c r="W67" s="66">
        <v>46</v>
      </c>
      <c r="X67" s="66" t="s">
        <v>13</v>
      </c>
      <c r="Y67" s="66" t="s">
        <v>133</v>
      </c>
      <c r="Z67" s="66" t="s">
        <v>13</v>
      </c>
      <c r="AA67" s="71" t="s">
        <v>13</v>
      </c>
      <c r="AB67" s="66" t="s">
        <v>9</v>
      </c>
      <c r="AC67" s="70"/>
      <c r="AD67" s="66" t="s">
        <v>197</v>
      </c>
      <c r="AE67" s="66" t="s">
        <v>13</v>
      </c>
    </row>
    <row r="68" spans="1:31" x14ac:dyDescent="0.45">
      <c r="A68" s="68" t="s">
        <v>104</v>
      </c>
      <c r="B68" s="61" t="s">
        <v>140</v>
      </c>
      <c r="C68" s="62" t="s">
        <v>238</v>
      </c>
      <c r="D68" s="66" t="s">
        <v>20</v>
      </c>
      <c r="E68" s="66" t="s">
        <v>7</v>
      </c>
      <c r="F68" s="66" t="s">
        <v>7</v>
      </c>
      <c r="G68" s="70"/>
      <c r="H68" s="70"/>
      <c r="I68" s="70"/>
      <c r="J68" s="66" t="s">
        <v>153</v>
      </c>
      <c r="K68" s="66" t="s">
        <v>8</v>
      </c>
      <c r="L68" s="63" t="s">
        <v>258</v>
      </c>
      <c r="M68" s="66">
        <v>20</v>
      </c>
      <c r="N68" s="66" t="s">
        <v>13</v>
      </c>
      <c r="O68" s="66" t="s">
        <v>13</v>
      </c>
      <c r="P68" s="72" t="s">
        <v>154</v>
      </c>
      <c r="Q68" s="66" t="s">
        <v>13</v>
      </c>
      <c r="R68" s="66" t="s">
        <v>13</v>
      </c>
      <c r="S68" s="66" t="s">
        <v>13</v>
      </c>
      <c r="T68" s="66" t="s">
        <v>13</v>
      </c>
      <c r="U68" s="66" t="s">
        <v>102</v>
      </c>
      <c r="V68" s="66" t="s">
        <v>9</v>
      </c>
      <c r="W68" s="66" t="s">
        <v>155</v>
      </c>
      <c r="X68" s="66">
        <v>16</v>
      </c>
      <c r="Y68" s="66" t="s">
        <v>13</v>
      </c>
      <c r="Z68" s="66" t="s">
        <v>13</v>
      </c>
      <c r="AA68" s="71" t="s">
        <v>219</v>
      </c>
      <c r="AB68" s="66" t="s">
        <v>13</v>
      </c>
      <c r="AC68" s="66" t="s">
        <v>7</v>
      </c>
      <c r="AD68" s="66" t="s">
        <v>197</v>
      </c>
      <c r="AE68" s="66" t="s">
        <v>13</v>
      </c>
    </row>
    <row r="69" spans="1:31" x14ac:dyDescent="0.45">
      <c r="A69" s="68" t="s">
        <v>6</v>
      </c>
      <c r="B69" s="61" t="s">
        <v>140</v>
      </c>
      <c r="C69" s="62" t="s">
        <v>12</v>
      </c>
      <c r="D69" s="66" t="s">
        <v>20</v>
      </c>
      <c r="E69" s="66" t="s">
        <v>7</v>
      </c>
      <c r="F69" s="66" t="s">
        <v>7</v>
      </c>
      <c r="G69" s="66">
        <v>36.799999999999997</v>
      </c>
      <c r="H69" s="66">
        <v>2.65</v>
      </c>
      <c r="I69" s="66">
        <v>15</v>
      </c>
      <c r="J69" s="66">
        <v>193</v>
      </c>
      <c r="K69" s="66" t="s">
        <v>8</v>
      </c>
      <c r="L69" s="63" t="s">
        <v>258</v>
      </c>
      <c r="M69" s="66">
        <v>22</v>
      </c>
      <c r="N69" s="66">
        <v>12.55</v>
      </c>
      <c r="O69" s="66">
        <v>7.47</v>
      </c>
      <c r="P69" s="72">
        <v>8.08</v>
      </c>
      <c r="Q69" s="66">
        <v>5</v>
      </c>
      <c r="R69" s="66">
        <v>5</v>
      </c>
      <c r="S69" s="66" t="s">
        <v>9</v>
      </c>
      <c r="T69" s="66" t="s">
        <v>52</v>
      </c>
      <c r="U69" s="66" t="s">
        <v>7</v>
      </c>
      <c r="V69" s="66" t="s">
        <v>9</v>
      </c>
      <c r="W69" s="66">
        <v>59</v>
      </c>
      <c r="X69" s="66">
        <v>20</v>
      </c>
      <c r="Y69" s="66" t="s">
        <v>15</v>
      </c>
      <c r="Z69" s="66" t="s">
        <v>16</v>
      </c>
      <c r="AA69" s="71" t="s">
        <v>208</v>
      </c>
      <c r="AB69" s="66" t="s">
        <v>9</v>
      </c>
      <c r="AC69" s="66" t="s">
        <v>204</v>
      </c>
      <c r="AD69" s="66" t="s">
        <v>197</v>
      </c>
      <c r="AE69" s="66" t="s">
        <v>13</v>
      </c>
    </row>
    <row r="70" spans="1:31" x14ac:dyDescent="0.45">
      <c r="A70" s="68" t="s">
        <v>6</v>
      </c>
      <c r="B70" s="61" t="s">
        <v>140</v>
      </c>
      <c r="C70" s="83" t="s">
        <v>10</v>
      </c>
      <c r="D70" s="66" t="s">
        <v>11</v>
      </c>
      <c r="E70" s="66" t="s">
        <v>7</v>
      </c>
      <c r="F70" s="66" t="s">
        <v>7</v>
      </c>
      <c r="G70" s="66">
        <v>18.2</v>
      </c>
      <c r="H70" s="66">
        <v>0.95</v>
      </c>
      <c r="I70" s="66">
        <v>15</v>
      </c>
      <c r="J70" s="66">
        <v>250</v>
      </c>
      <c r="K70" s="66" t="s">
        <v>8</v>
      </c>
      <c r="L70" s="63" t="s">
        <v>258</v>
      </c>
      <c r="M70" s="66">
        <v>18</v>
      </c>
      <c r="N70" s="66">
        <v>6.5</v>
      </c>
      <c r="O70" s="66">
        <v>4</v>
      </c>
      <c r="P70" s="72">
        <f>AVERAGE(3.5,3.6,3.6)</f>
        <v>3.5666666666666664</v>
      </c>
      <c r="Q70" s="66">
        <v>4</v>
      </c>
      <c r="R70" s="66">
        <v>4</v>
      </c>
      <c r="S70" s="66" t="s">
        <v>7</v>
      </c>
      <c r="T70" s="66" t="s">
        <v>52</v>
      </c>
      <c r="U70" s="66" t="s">
        <v>7</v>
      </c>
      <c r="V70" s="66" t="s">
        <v>9</v>
      </c>
      <c r="W70" s="66">
        <v>26</v>
      </c>
      <c r="X70" s="66">
        <v>26</v>
      </c>
      <c r="Y70" s="66" t="s">
        <v>13</v>
      </c>
      <c r="Z70" s="66" t="s">
        <v>13</v>
      </c>
      <c r="AA70" s="71" t="s">
        <v>61</v>
      </c>
      <c r="AB70" s="66" t="s">
        <v>7</v>
      </c>
      <c r="AC70" s="66" t="s">
        <v>7</v>
      </c>
      <c r="AD70" s="66" t="s">
        <v>197</v>
      </c>
      <c r="AE70" s="66" t="s">
        <v>7</v>
      </c>
    </row>
    <row r="71" spans="1:31" x14ac:dyDescent="0.45">
      <c r="A71" s="68" t="s">
        <v>6</v>
      </c>
      <c r="B71" s="61" t="s">
        <v>140</v>
      </c>
      <c r="C71" s="62" t="s">
        <v>22</v>
      </c>
      <c r="D71" s="66" t="s">
        <v>23</v>
      </c>
      <c r="E71" s="66" t="s">
        <v>7</v>
      </c>
      <c r="F71" s="66" t="s">
        <v>7</v>
      </c>
      <c r="G71" s="66">
        <v>37</v>
      </c>
      <c r="H71" s="66">
        <v>2.4500000000000002</v>
      </c>
      <c r="I71" s="66">
        <v>15</v>
      </c>
      <c r="J71" s="66">
        <v>199</v>
      </c>
      <c r="K71" s="66" t="s">
        <v>8</v>
      </c>
      <c r="L71" s="63" t="s">
        <v>258</v>
      </c>
      <c r="M71" s="66">
        <v>19</v>
      </c>
      <c r="N71" s="66">
        <v>11.5</v>
      </c>
      <c r="O71" s="66">
        <v>7</v>
      </c>
      <c r="P71" s="72">
        <f>AVERAGE(7.6,7.2,7.6)</f>
        <v>7.4666666666666659</v>
      </c>
      <c r="Q71" s="66">
        <v>4</v>
      </c>
      <c r="R71" s="66">
        <v>4</v>
      </c>
      <c r="S71" s="66" t="s">
        <v>7</v>
      </c>
      <c r="T71" s="66" t="s">
        <v>52</v>
      </c>
      <c r="U71" s="66" t="s">
        <v>7</v>
      </c>
      <c r="V71" s="66" t="s">
        <v>9</v>
      </c>
      <c r="W71" s="66">
        <v>54</v>
      </c>
      <c r="X71" s="66">
        <v>22</v>
      </c>
      <c r="Y71" s="66" t="s">
        <v>15</v>
      </c>
      <c r="Z71" s="66" t="s">
        <v>16</v>
      </c>
      <c r="AA71" s="71" t="s">
        <v>24</v>
      </c>
      <c r="AB71" s="66" t="s">
        <v>9</v>
      </c>
      <c r="AC71" s="66" t="s">
        <v>204</v>
      </c>
      <c r="AD71" s="66" t="s">
        <v>197</v>
      </c>
      <c r="AE71" s="66" t="s">
        <v>13</v>
      </c>
    </row>
    <row r="72" spans="1:31" x14ac:dyDescent="0.45">
      <c r="A72" s="68" t="s">
        <v>104</v>
      </c>
      <c r="B72" s="61" t="s">
        <v>140</v>
      </c>
      <c r="C72" s="62" t="s">
        <v>105</v>
      </c>
      <c r="D72" s="66" t="s">
        <v>20</v>
      </c>
      <c r="E72" s="66" t="s">
        <v>7</v>
      </c>
      <c r="F72" s="66" t="s">
        <v>7</v>
      </c>
      <c r="G72" s="66">
        <v>29.5</v>
      </c>
      <c r="H72" s="66">
        <v>1.6</v>
      </c>
      <c r="I72" s="66" t="s">
        <v>383</v>
      </c>
      <c r="J72" s="66">
        <v>191</v>
      </c>
      <c r="K72" s="66" t="s">
        <v>8</v>
      </c>
      <c r="L72" s="63" t="s">
        <v>258</v>
      </c>
      <c r="M72" s="66">
        <v>19</v>
      </c>
      <c r="N72" s="66" t="s">
        <v>13</v>
      </c>
      <c r="O72" s="66" t="s">
        <v>13</v>
      </c>
      <c r="P72" s="72">
        <f>AVERAGE(6.89,7.27,7.19)</f>
        <v>7.1166666666666671</v>
      </c>
      <c r="Q72" s="66" t="s">
        <v>13</v>
      </c>
      <c r="R72" s="66" t="s">
        <v>13</v>
      </c>
      <c r="S72" s="66" t="s">
        <v>13</v>
      </c>
      <c r="T72" s="66" t="s">
        <v>13</v>
      </c>
      <c r="U72" s="66" t="s">
        <v>7</v>
      </c>
      <c r="V72" s="66" t="s">
        <v>9</v>
      </c>
      <c r="W72" s="66">
        <v>40</v>
      </c>
      <c r="X72" s="66">
        <v>19</v>
      </c>
      <c r="Y72" s="66" t="s">
        <v>13</v>
      </c>
      <c r="Z72" s="66" t="s">
        <v>13</v>
      </c>
      <c r="AA72" s="71" t="s">
        <v>122</v>
      </c>
      <c r="AB72" s="66" t="s">
        <v>13</v>
      </c>
      <c r="AC72" s="66" t="s">
        <v>204</v>
      </c>
      <c r="AD72" s="66" t="s">
        <v>197</v>
      </c>
      <c r="AE72" s="66" t="s">
        <v>13</v>
      </c>
    </row>
    <row r="73" spans="1:31" x14ac:dyDescent="0.45">
      <c r="A73" s="68" t="s">
        <v>104</v>
      </c>
      <c r="B73" s="61" t="s">
        <v>140</v>
      </c>
      <c r="C73" s="62" t="s">
        <v>108</v>
      </c>
      <c r="D73" s="66" t="s">
        <v>23</v>
      </c>
      <c r="E73" s="66" t="s">
        <v>7</v>
      </c>
      <c r="F73" s="66" t="s">
        <v>7</v>
      </c>
      <c r="G73" s="66">
        <v>38.799999999999997</v>
      </c>
      <c r="H73" s="66">
        <v>3</v>
      </c>
      <c r="I73" s="66">
        <v>15</v>
      </c>
      <c r="J73" s="66" t="s">
        <v>116</v>
      </c>
      <c r="K73" s="66" t="s">
        <v>8</v>
      </c>
      <c r="L73" s="63" t="s">
        <v>258</v>
      </c>
      <c r="M73" s="66">
        <v>18</v>
      </c>
      <c r="N73" s="66">
        <v>13.1</v>
      </c>
      <c r="O73" s="66">
        <v>7.9</v>
      </c>
      <c r="P73" s="72">
        <f>AVERAGE(8.65,7.6,8.6)</f>
        <v>8.2833333333333332</v>
      </c>
      <c r="Q73" s="66">
        <v>3</v>
      </c>
      <c r="R73" s="66">
        <v>3</v>
      </c>
      <c r="S73" s="66" t="s">
        <v>7</v>
      </c>
      <c r="T73" s="66" t="s">
        <v>53</v>
      </c>
      <c r="U73" s="66" t="s">
        <v>7</v>
      </c>
      <c r="V73" s="66" t="s">
        <v>9</v>
      </c>
      <c r="W73" s="66">
        <v>64</v>
      </c>
      <c r="X73" s="66">
        <v>24</v>
      </c>
      <c r="Y73" s="66" t="s">
        <v>15</v>
      </c>
      <c r="Z73" s="66" t="s">
        <v>16</v>
      </c>
      <c r="AA73" s="71" t="s">
        <v>69</v>
      </c>
      <c r="AB73" s="66" t="s">
        <v>9</v>
      </c>
      <c r="AC73" s="66" t="s">
        <v>204</v>
      </c>
      <c r="AD73" s="66" t="s">
        <v>197</v>
      </c>
      <c r="AE73" s="66" t="s">
        <v>13</v>
      </c>
    </row>
    <row r="74" spans="1:31" x14ac:dyDescent="0.45">
      <c r="A74" s="68" t="s">
        <v>104</v>
      </c>
      <c r="B74" s="61" t="s">
        <v>140</v>
      </c>
      <c r="C74" s="62" t="s">
        <v>110</v>
      </c>
      <c r="D74" s="66" t="s">
        <v>23</v>
      </c>
      <c r="E74" s="66" t="s">
        <v>7</v>
      </c>
      <c r="F74" s="66" t="s">
        <v>7</v>
      </c>
      <c r="G74" s="66">
        <v>42.1</v>
      </c>
      <c r="H74" s="66">
        <v>1.5</v>
      </c>
      <c r="I74" s="66">
        <v>15</v>
      </c>
      <c r="J74" s="66">
        <v>195</v>
      </c>
      <c r="K74" s="66" t="s">
        <v>8</v>
      </c>
      <c r="L74" s="63" t="s">
        <v>258</v>
      </c>
      <c r="M74" s="66">
        <v>22</v>
      </c>
      <c r="N74" s="66">
        <v>13</v>
      </c>
      <c r="O74" s="66">
        <v>8</v>
      </c>
      <c r="P74" s="72">
        <f>AVERAGE(7.72,7.16,7.4)</f>
        <v>7.4266666666666667</v>
      </c>
      <c r="Q74" s="66">
        <v>3</v>
      </c>
      <c r="R74" s="66">
        <v>3</v>
      </c>
      <c r="S74" s="66" t="s">
        <v>7</v>
      </c>
      <c r="T74" s="66" t="s">
        <v>53</v>
      </c>
      <c r="U74" s="66" t="s">
        <v>7</v>
      </c>
      <c r="V74" s="66" t="s">
        <v>9</v>
      </c>
      <c r="W74" s="66">
        <v>42</v>
      </c>
      <c r="X74" s="66">
        <v>18</v>
      </c>
      <c r="Y74" s="66" t="s">
        <v>15</v>
      </c>
      <c r="Z74" s="66" t="s">
        <v>16</v>
      </c>
      <c r="AA74" s="71" t="s">
        <v>212</v>
      </c>
      <c r="AB74" s="66" t="s">
        <v>9</v>
      </c>
      <c r="AC74" s="66" t="s">
        <v>204</v>
      </c>
      <c r="AD74" s="66" t="s">
        <v>197</v>
      </c>
      <c r="AE74" s="66" t="s">
        <v>13</v>
      </c>
    </row>
    <row r="75" spans="1:31" x14ac:dyDescent="0.45">
      <c r="A75" s="68" t="s">
        <v>104</v>
      </c>
      <c r="B75" s="61" t="s">
        <v>140</v>
      </c>
      <c r="C75" s="62" t="s">
        <v>109</v>
      </c>
      <c r="D75" s="66" t="s">
        <v>23</v>
      </c>
      <c r="E75" s="66" t="s">
        <v>7</v>
      </c>
      <c r="F75" s="66" t="s">
        <v>7</v>
      </c>
      <c r="G75" s="66">
        <v>59.4</v>
      </c>
      <c r="H75" s="66">
        <v>3.7</v>
      </c>
      <c r="I75" s="66">
        <v>15</v>
      </c>
      <c r="J75" s="66">
        <v>198</v>
      </c>
      <c r="K75" s="66" t="s">
        <v>8</v>
      </c>
      <c r="L75" s="63" t="s">
        <v>258</v>
      </c>
      <c r="M75" s="66">
        <v>20</v>
      </c>
      <c r="N75" s="66">
        <v>16.399999999999999</v>
      </c>
      <c r="O75" s="66">
        <v>10</v>
      </c>
      <c r="P75" s="72">
        <f>AVERAGE(9.33,8.75,9.1)</f>
        <v>9.06</v>
      </c>
      <c r="Q75" s="66">
        <v>3</v>
      </c>
      <c r="R75" s="66">
        <v>3</v>
      </c>
      <c r="S75" s="66" t="s">
        <v>7</v>
      </c>
      <c r="T75" s="66" t="s">
        <v>53</v>
      </c>
      <c r="U75" s="66" t="s">
        <v>7</v>
      </c>
      <c r="V75" s="66" t="s">
        <v>9</v>
      </c>
      <c r="W75" s="66">
        <v>50</v>
      </c>
      <c r="X75" s="66">
        <v>21</v>
      </c>
      <c r="Y75" s="66" t="s">
        <v>15</v>
      </c>
      <c r="Z75" s="66" t="s">
        <v>16</v>
      </c>
      <c r="AA75" s="71" t="s">
        <v>213</v>
      </c>
      <c r="AB75" s="66" t="s">
        <v>9</v>
      </c>
      <c r="AC75" s="66" t="s">
        <v>204</v>
      </c>
      <c r="AD75" s="66" t="s">
        <v>197</v>
      </c>
      <c r="AE75" s="66" t="s">
        <v>13</v>
      </c>
    </row>
    <row r="76" spans="1:31" x14ac:dyDescent="0.45">
      <c r="A76" s="68" t="s">
        <v>104</v>
      </c>
      <c r="B76" s="61" t="s">
        <v>140</v>
      </c>
      <c r="C76" s="62" t="s">
        <v>112</v>
      </c>
      <c r="D76" s="66" t="s">
        <v>23</v>
      </c>
      <c r="E76" s="66" t="s">
        <v>7</v>
      </c>
      <c r="F76" s="66" t="s">
        <v>7</v>
      </c>
      <c r="G76" s="66">
        <v>53.6</v>
      </c>
      <c r="H76" s="66">
        <v>3</v>
      </c>
      <c r="I76" s="66">
        <v>15</v>
      </c>
      <c r="J76" s="66">
        <v>206</v>
      </c>
      <c r="K76" s="66" t="s">
        <v>8</v>
      </c>
      <c r="L76" s="63" t="s">
        <v>258</v>
      </c>
      <c r="M76" s="66">
        <v>19</v>
      </c>
      <c r="N76" s="66">
        <v>11.7</v>
      </c>
      <c r="O76" s="66">
        <v>7.5</v>
      </c>
      <c r="P76" s="69"/>
      <c r="Q76" s="70"/>
      <c r="R76" s="70"/>
      <c r="S76" s="70"/>
      <c r="T76" s="70"/>
      <c r="U76" s="66" t="s">
        <v>9</v>
      </c>
      <c r="V76" s="66" t="s">
        <v>9</v>
      </c>
      <c r="W76" s="66">
        <v>50</v>
      </c>
      <c r="X76" s="66">
        <v>20</v>
      </c>
      <c r="Y76" s="70"/>
      <c r="Z76" s="70"/>
      <c r="AA76" s="71" t="s">
        <v>122</v>
      </c>
      <c r="AB76" s="84" t="s">
        <v>9</v>
      </c>
      <c r="AC76" s="70"/>
      <c r="AD76" s="84" t="s">
        <v>197</v>
      </c>
      <c r="AE76" s="84" t="s">
        <v>13</v>
      </c>
    </row>
    <row r="77" spans="1:31" x14ac:dyDescent="0.45">
      <c r="A77" s="68" t="s">
        <v>104</v>
      </c>
      <c r="B77" s="61" t="s">
        <v>140</v>
      </c>
      <c r="C77" s="62" t="s">
        <v>115</v>
      </c>
      <c r="D77" s="66" t="s">
        <v>20</v>
      </c>
      <c r="E77" s="66" t="s">
        <v>7</v>
      </c>
      <c r="F77" s="66" t="s">
        <v>7</v>
      </c>
      <c r="G77" s="66">
        <v>46.2</v>
      </c>
      <c r="H77" s="66">
        <v>3.3</v>
      </c>
      <c r="I77" s="66">
        <v>15</v>
      </c>
      <c r="J77" s="66">
        <v>205</v>
      </c>
      <c r="K77" s="66" t="s">
        <v>8</v>
      </c>
      <c r="L77" s="63" t="s">
        <v>258</v>
      </c>
      <c r="M77" s="66">
        <v>19</v>
      </c>
      <c r="N77" s="66">
        <v>13.4</v>
      </c>
      <c r="O77" s="66">
        <v>7</v>
      </c>
      <c r="P77" s="72">
        <f>AVERAGE(9.77,10.11,9.38)</f>
        <v>9.7533333333333321</v>
      </c>
      <c r="Q77" s="66">
        <v>5</v>
      </c>
      <c r="R77" s="66">
        <v>4</v>
      </c>
      <c r="S77" s="66" t="s">
        <v>209</v>
      </c>
      <c r="T77" s="66" t="s">
        <v>52</v>
      </c>
      <c r="U77" s="66" t="s">
        <v>102</v>
      </c>
      <c r="V77" s="66" t="s">
        <v>9</v>
      </c>
      <c r="W77" s="66">
        <v>58</v>
      </c>
      <c r="X77" s="66">
        <v>21</v>
      </c>
      <c r="Y77" s="66" t="s">
        <v>15</v>
      </c>
      <c r="Z77" s="66" t="s">
        <v>152</v>
      </c>
      <c r="AA77" s="71" t="s">
        <v>29</v>
      </c>
      <c r="AB77" s="66" t="s">
        <v>9</v>
      </c>
      <c r="AC77" s="66" t="s">
        <v>204</v>
      </c>
      <c r="AD77" s="66" t="s">
        <v>197</v>
      </c>
      <c r="AE77" s="66" t="s">
        <v>13</v>
      </c>
    </row>
    <row r="78" spans="1:31" x14ac:dyDescent="0.45">
      <c r="A78" s="68" t="s">
        <v>104</v>
      </c>
      <c r="B78" s="61" t="s">
        <v>140</v>
      </c>
      <c r="C78" s="83" t="s">
        <v>114</v>
      </c>
      <c r="D78" s="66" t="s">
        <v>11</v>
      </c>
      <c r="E78" s="66" t="s">
        <v>7</v>
      </c>
      <c r="F78" s="66" t="s">
        <v>7</v>
      </c>
      <c r="G78" s="66">
        <v>19</v>
      </c>
      <c r="H78" s="66">
        <v>1.6</v>
      </c>
      <c r="I78" s="66">
        <v>15</v>
      </c>
      <c r="J78" s="66">
        <v>204</v>
      </c>
      <c r="K78" s="66" t="s">
        <v>8</v>
      </c>
      <c r="L78" s="63" t="s">
        <v>258</v>
      </c>
      <c r="M78" s="66">
        <v>19</v>
      </c>
      <c r="N78" s="66">
        <v>9.1</v>
      </c>
      <c r="O78" s="66">
        <v>5.7</v>
      </c>
      <c r="P78" s="72">
        <f>AVERAGE(4.24,4.3,3.8)</f>
        <v>4.1133333333333333</v>
      </c>
      <c r="Q78" s="66">
        <v>3</v>
      </c>
      <c r="R78" s="66">
        <v>4</v>
      </c>
      <c r="S78" s="66" t="s">
        <v>198</v>
      </c>
      <c r="T78" s="66" t="s">
        <v>52</v>
      </c>
      <c r="U78" s="66" t="s">
        <v>7</v>
      </c>
      <c r="V78" s="66" t="s">
        <v>9</v>
      </c>
      <c r="W78" s="66">
        <v>21</v>
      </c>
      <c r="X78" s="66">
        <v>21</v>
      </c>
      <c r="Y78" s="66" t="s">
        <v>15</v>
      </c>
      <c r="Z78" s="66" t="s">
        <v>16</v>
      </c>
      <c r="AA78" s="71" t="s">
        <v>120</v>
      </c>
      <c r="AB78" s="66" t="s">
        <v>7</v>
      </c>
      <c r="AC78" s="66" t="s">
        <v>204</v>
      </c>
      <c r="AD78" s="66" t="s">
        <v>197</v>
      </c>
      <c r="AE78" s="66" t="s">
        <v>7</v>
      </c>
    </row>
    <row r="79" spans="1:31" x14ac:dyDescent="0.45">
      <c r="A79" s="68" t="s">
        <v>6</v>
      </c>
      <c r="B79" s="61" t="s">
        <v>140</v>
      </c>
      <c r="C79" s="62" t="s">
        <v>162</v>
      </c>
      <c r="D79" s="66" t="s">
        <v>20</v>
      </c>
      <c r="E79" s="66" t="s">
        <v>7</v>
      </c>
      <c r="F79" s="66" t="s">
        <v>7</v>
      </c>
      <c r="G79" s="66">
        <v>35.799999999999997</v>
      </c>
      <c r="H79" s="70"/>
      <c r="I79" s="70"/>
      <c r="J79" s="63">
        <v>210</v>
      </c>
      <c r="K79" s="66" t="s">
        <v>8</v>
      </c>
      <c r="L79" s="63" t="s">
        <v>258</v>
      </c>
      <c r="M79" s="66" t="s">
        <v>259</v>
      </c>
      <c r="N79" s="66">
        <v>12.06</v>
      </c>
      <c r="O79" s="66">
        <v>6.02</v>
      </c>
      <c r="P79" s="72">
        <f>AVERAGE(9.54,9.84,9.85)</f>
        <v>9.7433333333333323</v>
      </c>
      <c r="Q79" s="66">
        <v>4</v>
      </c>
      <c r="R79" s="66">
        <v>3</v>
      </c>
      <c r="S79" s="66" t="s">
        <v>209</v>
      </c>
      <c r="T79" s="70"/>
      <c r="U79" s="66" t="s">
        <v>7</v>
      </c>
      <c r="V79" s="66" t="s">
        <v>9</v>
      </c>
      <c r="W79" s="66">
        <v>53</v>
      </c>
      <c r="X79" s="66">
        <v>20</v>
      </c>
      <c r="Y79" s="66" t="s">
        <v>15</v>
      </c>
      <c r="Z79" s="70"/>
      <c r="AA79" s="71" t="s">
        <v>27</v>
      </c>
      <c r="AB79" s="66" t="s">
        <v>9</v>
      </c>
      <c r="AC79" s="66" t="s">
        <v>221</v>
      </c>
      <c r="AD79" s="66" t="s">
        <v>197</v>
      </c>
      <c r="AE79" s="66" t="s">
        <v>13</v>
      </c>
    </row>
    <row r="80" spans="1:31" x14ac:dyDescent="0.45">
      <c r="A80" s="68" t="s">
        <v>6</v>
      </c>
      <c r="B80" s="61" t="s">
        <v>140</v>
      </c>
      <c r="C80" s="62" t="s">
        <v>163</v>
      </c>
      <c r="D80" s="66" t="s">
        <v>20</v>
      </c>
      <c r="E80" s="66" t="s">
        <v>7</v>
      </c>
      <c r="F80" s="66" t="s">
        <v>7</v>
      </c>
      <c r="G80" s="66">
        <v>48.87</v>
      </c>
      <c r="H80" s="66">
        <v>2.71</v>
      </c>
      <c r="I80" s="63" t="s">
        <v>385</v>
      </c>
      <c r="J80" s="63">
        <v>206</v>
      </c>
      <c r="K80" s="66" t="s">
        <v>8</v>
      </c>
      <c r="L80" s="63" t="s">
        <v>258</v>
      </c>
      <c r="M80" s="66" t="s">
        <v>146</v>
      </c>
      <c r="N80" s="66">
        <v>13.48</v>
      </c>
      <c r="O80" s="66">
        <v>7.03</v>
      </c>
      <c r="P80" s="72">
        <f>AVERAGE(9.19,9.55,10.9)</f>
        <v>9.8800000000000008</v>
      </c>
      <c r="Q80" s="66">
        <v>3</v>
      </c>
      <c r="R80" s="66">
        <v>4</v>
      </c>
      <c r="S80" s="86" t="s">
        <v>9</v>
      </c>
      <c r="T80" s="66" t="s">
        <v>52</v>
      </c>
      <c r="U80" s="66" t="s">
        <v>7</v>
      </c>
      <c r="V80" s="66" t="s">
        <v>7</v>
      </c>
      <c r="W80" s="66">
        <v>54</v>
      </c>
      <c r="X80" s="66">
        <v>19</v>
      </c>
      <c r="Y80" s="66" t="s">
        <v>15</v>
      </c>
      <c r="Z80" s="66" t="s">
        <v>16</v>
      </c>
      <c r="AA80" s="71" t="s">
        <v>27</v>
      </c>
      <c r="AB80" s="66" t="s">
        <v>9</v>
      </c>
      <c r="AC80" s="86" t="s">
        <v>222</v>
      </c>
      <c r="AD80" s="66" t="s">
        <v>197</v>
      </c>
      <c r="AE80" s="86" t="s">
        <v>13</v>
      </c>
    </row>
    <row r="81" spans="1:31" x14ac:dyDescent="0.45">
      <c r="A81" s="68" t="s">
        <v>6</v>
      </c>
      <c r="B81" s="61" t="s">
        <v>140</v>
      </c>
      <c r="C81" s="62" t="s">
        <v>165</v>
      </c>
      <c r="D81" s="66" t="s">
        <v>20</v>
      </c>
      <c r="E81" s="66" t="s">
        <v>7</v>
      </c>
      <c r="F81" s="66" t="s">
        <v>7</v>
      </c>
      <c r="G81" s="66">
        <v>42.44</v>
      </c>
      <c r="H81" s="66">
        <v>3.25</v>
      </c>
      <c r="I81" s="63" t="s">
        <v>385</v>
      </c>
      <c r="J81" s="63">
        <v>209</v>
      </c>
      <c r="K81" s="66" t="s">
        <v>8</v>
      </c>
      <c r="L81" s="63" t="s">
        <v>258</v>
      </c>
      <c r="M81" s="66">
        <v>23</v>
      </c>
      <c r="N81" s="66">
        <v>11.74</v>
      </c>
      <c r="O81" s="66">
        <v>8.5399999999999991</v>
      </c>
      <c r="P81" s="72">
        <f>AVERAGE(9.61,10.43,11.21)</f>
        <v>10.416666666666666</v>
      </c>
      <c r="Q81" s="66">
        <v>5</v>
      </c>
      <c r="R81" s="66">
        <v>4</v>
      </c>
      <c r="S81" s="84" t="s">
        <v>9</v>
      </c>
      <c r="T81" s="70"/>
      <c r="U81" s="66" t="s">
        <v>7</v>
      </c>
      <c r="V81" s="66" t="s">
        <v>9</v>
      </c>
      <c r="W81" s="66">
        <v>52</v>
      </c>
      <c r="X81" s="66">
        <v>21</v>
      </c>
      <c r="Y81" s="66" t="s">
        <v>171</v>
      </c>
      <c r="Z81" s="66" t="s">
        <v>172</v>
      </c>
      <c r="AA81" s="71" t="s">
        <v>27</v>
      </c>
      <c r="AB81" s="84" t="s">
        <v>60</v>
      </c>
      <c r="AC81" s="84" t="s">
        <v>9</v>
      </c>
      <c r="AD81" s="84" t="s">
        <v>197</v>
      </c>
      <c r="AE81" s="84" t="s">
        <v>13</v>
      </c>
    </row>
    <row r="82" spans="1:31" x14ac:dyDescent="0.45">
      <c r="A82" s="68" t="s">
        <v>6</v>
      </c>
      <c r="B82" s="61" t="s">
        <v>140</v>
      </c>
      <c r="C82" s="62" t="s">
        <v>416</v>
      </c>
      <c r="D82" s="66" t="s">
        <v>20</v>
      </c>
      <c r="E82" s="66" t="s">
        <v>7</v>
      </c>
      <c r="F82" s="66" t="s">
        <v>7</v>
      </c>
      <c r="G82" s="66">
        <v>32.61</v>
      </c>
      <c r="H82" s="66">
        <v>1.73</v>
      </c>
      <c r="I82" s="63" t="s">
        <v>385</v>
      </c>
      <c r="J82" s="63">
        <v>236</v>
      </c>
      <c r="K82" s="66" t="s">
        <v>8</v>
      </c>
      <c r="L82" s="63" t="s">
        <v>258</v>
      </c>
      <c r="M82" s="70"/>
      <c r="N82" s="66">
        <v>11.68</v>
      </c>
      <c r="O82" s="66">
        <v>6.04</v>
      </c>
      <c r="P82" s="72">
        <f>AVERAGE(8.91,7.39,9.27)</f>
        <v>8.5233333333333334</v>
      </c>
      <c r="Q82" s="70"/>
      <c r="R82" s="70"/>
      <c r="S82" s="66" t="s">
        <v>7</v>
      </c>
      <c r="T82" s="70"/>
      <c r="U82" s="66" t="s">
        <v>7</v>
      </c>
      <c r="V82" s="66" t="s">
        <v>9</v>
      </c>
      <c r="W82" s="66">
        <v>53</v>
      </c>
      <c r="X82" s="66">
        <v>24</v>
      </c>
      <c r="Y82" s="66" t="s">
        <v>15</v>
      </c>
      <c r="Z82" s="66" t="s">
        <v>16</v>
      </c>
      <c r="AA82" s="71" t="s">
        <v>97</v>
      </c>
      <c r="AB82" s="66" t="s">
        <v>9</v>
      </c>
      <c r="AC82" s="66" t="s">
        <v>220</v>
      </c>
      <c r="AD82" s="66" t="s">
        <v>218</v>
      </c>
      <c r="AE82" s="66" t="s">
        <v>13</v>
      </c>
    </row>
    <row r="83" spans="1:31" x14ac:dyDescent="0.45">
      <c r="A83" s="68" t="s">
        <v>6</v>
      </c>
      <c r="B83" s="61" t="s">
        <v>140</v>
      </c>
      <c r="C83" s="62" t="s">
        <v>169</v>
      </c>
      <c r="D83" s="66" t="s">
        <v>20</v>
      </c>
      <c r="E83" s="66" t="s">
        <v>7</v>
      </c>
      <c r="F83" s="66" t="s">
        <v>7</v>
      </c>
      <c r="G83" s="66">
        <v>37.840000000000003</v>
      </c>
      <c r="H83" s="66">
        <v>2.21</v>
      </c>
      <c r="I83" s="63" t="s">
        <v>385</v>
      </c>
      <c r="J83" s="63">
        <v>221</v>
      </c>
      <c r="K83" s="66" t="s">
        <v>8</v>
      </c>
      <c r="L83" s="63" t="s">
        <v>258</v>
      </c>
      <c r="M83" s="66">
        <v>18</v>
      </c>
      <c r="N83" s="66">
        <v>12.64</v>
      </c>
      <c r="O83" s="66">
        <v>8.07</v>
      </c>
      <c r="P83" s="72">
        <f>AVERAGE(6.75,7.67,7.54)</f>
        <v>7.32</v>
      </c>
      <c r="Q83" s="66">
        <v>3</v>
      </c>
      <c r="R83" s="66">
        <v>3</v>
      </c>
      <c r="S83" s="66" t="s">
        <v>7</v>
      </c>
      <c r="T83" s="70"/>
      <c r="U83" s="66" t="s">
        <v>7</v>
      </c>
      <c r="V83" s="66" t="s">
        <v>9</v>
      </c>
      <c r="W83" s="66">
        <v>46</v>
      </c>
      <c r="X83" s="66">
        <v>24</v>
      </c>
      <c r="Y83" s="70"/>
      <c r="Z83" s="70"/>
      <c r="AA83" s="71" t="s">
        <v>178</v>
      </c>
      <c r="AB83" s="66" t="s">
        <v>9</v>
      </c>
      <c r="AC83" s="66" t="s">
        <v>222</v>
      </c>
      <c r="AD83" s="66" t="s">
        <v>197</v>
      </c>
      <c r="AE83" s="66" t="s">
        <v>13</v>
      </c>
    </row>
    <row r="84" spans="1:31" x14ac:dyDescent="0.45">
      <c r="A84" s="68" t="s">
        <v>6</v>
      </c>
      <c r="B84" s="61" t="s">
        <v>140</v>
      </c>
      <c r="C84" s="62" t="s">
        <v>26</v>
      </c>
      <c r="D84" s="66" t="s">
        <v>20</v>
      </c>
      <c r="E84" s="66" t="s">
        <v>7</v>
      </c>
      <c r="F84" s="66" t="s">
        <v>7</v>
      </c>
      <c r="G84" s="66">
        <v>53.6</v>
      </c>
      <c r="H84" s="66">
        <v>3.6</v>
      </c>
      <c r="I84" s="66">
        <v>15</v>
      </c>
      <c r="J84" s="66">
        <v>202</v>
      </c>
      <c r="K84" s="66" t="s">
        <v>8</v>
      </c>
      <c r="L84" s="63" t="s">
        <v>258</v>
      </c>
      <c r="M84" s="66">
        <v>17</v>
      </c>
      <c r="N84" s="70"/>
      <c r="O84" s="70"/>
      <c r="P84" s="69"/>
      <c r="Q84" s="70"/>
      <c r="R84" s="70"/>
      <c r="S84" s="66" t="s">
        <v>7</v>
      </c>
      <c r="T84" s="66" t="s">
        <v>52</v>
      </c>
      <c r="U84" s="66" t="s">
        <v>7</v>
      </c>
      <c r="V84" s="66" t="s">
        <v>9</v>
      </c>
      <c r="W84" s="66">
        <v>53</v>
      </c>
      <c r="X84" s="66">
        <v>20</v>
      </c>
      <c r="Y84" s="70"/>
      <c r="Z84" s="70"/>
      <c r="AA84" s="71" t="s">
        <v>27</v>
      </c>
      <c r="AB84" s="66" t="s">
        <v>9</v>
      </c>
      <c r="AC84" s="66" t="s">
        <v>204</v>
      </c>
      <c r="AD84" s="66" t="s">
        <v>197</v>
      </c>
      <c r="AE84" s="66" t="s">
        <v>13</v>
      </c>
    </row>
    <row r="85" spans="1:31" x14ac:dyDescent="0.45">
      <c r="A85" s="68" t="s">
        <v>266</v>
      </c>
      <c r="B85" s="61" t="s">
        <v>140</v>
      </c>
      <c r="C85" s="87" t="s">
        <v>263</v>
      </c>
      <c r="D85" s="63" t="s">
        <v>20</v>
      </c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7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8"/>
      <c r="AB85" s="76"/>
      <c r="AC85" s="76"/>
      <c r="AD85" s="76"/>
      <c r="AE85" s="76"/>
    </row>
    <row r="86" spans="1:31" x14ac:dyDescent="0.45">
      <c r="A86" s="68" t="s">
        <v>6</v>
      </c>
      <c r="B86" s="61" t="s">
        <v>140</v>
      </c>
      <c r="C86" s="62" t="s">
        <v>28</v>
      </c>
      <c r="D86" s="66" t="s">
        <v>13</v>
      </c>
      <c r="E86" s="66" t="s">
        <v>7</v>
      </c>
      <c r="F86" s="66" t="s">
        <v>7</v>
      </c>
      <c r="G86" s="66">
        <v>39.35</v>
      </c>
      <c r="H86" s="66">
        <v>3.17</v>
      </c>
      <c r="I86" s="66">
        <v>15</v>
      </c>
      <c r="J86" s="66">
        <v>199</v>
      </c>
      <c r="K86" s="66" t="s">
        <v>8</v>
      </c>
      <c r="L86" s="63" t="s">
        <v>258</v>
      </c>
      <c r="M86" s="66">
        <v>21</v>
      </c>
      <c r="N86" s="66">
        <v>12.06</v>
      </c>
      <c r="O86" s="66">
        <v>6.2</v>
      </c>
      <c r="P86" s="72">
        <f>AVERAGE(10.09,9.35,9.28)</f>
        <v>9.5733333333333324</v>
      </c>
      <c r="Q86" s="66" t="s">
        <v>13</v>
      </c>
      <c r="R86" s="66" t="s">
        <v>13</v>
      </c>
      <c r="S86" s="66" t="s">
        <v>198</v>
      </c>
      <c r="T86" s="66" t="s">
        <v>53</v>
      </c>
      <c r="U86" s="66" t="s">
        <v>7</v>
      </c>
      <c r="V86" s="66" t="s">
        <v>9</v>
      </c>
      <c r="W86" s="66">
        <v>57</v>
      </c>
      <c r="X86" s="66">
        <v>19</v>
      </c>
      <c r="Y86" s="66" t="s">
        <v>13</v>
      </c>
      <c r="Z86" s="66" t="s">
        <v>13</v>
      </c>
      <c r="AA86" s="71" t="s">
        <v>29</v>
      </c>
      <c r="AB86" s="66" t="s">
        <v>9</v>
      </c>
      <c r="AC86" s="66" t="s">
        <v>204</v>
      </c>
      <c r="AD86" s="66" t="s">
        <v>197</v>
      </c>
      <c r="AE86" s="66" t="s">
        <v>13</v>
      </c>
    </row>
    <row r="87" spans="1:31" x14ac:dyDescent="0.45">
      <c r="A87" s="68" t="s">
        <v>6</v>
      </c>
      <c r="B87" s="61" t="s">
        <v>140</v>
      </c>
      <c r="C87" s="62" t="s">
        <v>30</v>
      </c>
      <c r="D87" s="66" t="s">
        <v>31</v>
      </c>
      <c r="E87" s="66" t="s">
        <v>7</v>
      </c>
      <c r="F87" s="66" t="s">
        <v>7</v>
      </c>
      <c r="G87" s="66">
        <v>32.770000000000003</v>
      </c>
      <c r="H87" s="66">
        <v>3.17</v>
      </c>
      <c r="I87" s="66">
        <v>15</v>
      </c>
      <c r="J87" s="66">
        <v>200</v>
      </c>
      <c r="K87" s="66" t="s">
        <v>8</v>
      </c>
      <c r="L87" s="63" t="s">
        <v>258</v>
      </c>
      <c r="M87" s="66">
        <v>18</v>
      </c>
      <c r="N87" s="66">
        <v>9.3000000000000007</v>
      </c>
      <c r="O87" s="66">
        <v>6.22</v>
      </c>
      <c r="P87" s="72">
        <f>AVERAGE(7.03,7.55,8.48)</f>
        <v>7.6866666666666674</v>
      </c>
      <c r="Q87" s="66">
        <v>4</v>
      </c>
      <c r="R87" s="66">
        <v>3</v>
      </c>
      <c r="S87" s="66" t="s">
        <v>7</v>
      </c>
      <c r="T87" s="66" t="s">
        <v>53</v>
      </c>
      <c r="U87" s="66" t="s">
        <v>7</v>
      </c>
      <c r="V87" s="66" t="s">
        <v>9</v>
      </c>
      <c r="W87" s="66">
        <v>56</v>
      </c>
      <c r="X87" s="66">
        <v>20</v>
      </c>
      <c r="Y87" s="66" t="s">
        <v>15</v>
      </c>
      <c r="Z87" s="66" t="s">
        <v>16</v>
      </c>
      <c r="AA87" s="71" t="s">
        <v>216</v>
      </c>
      <c r="AB87" s="66" t="s">
        <v>9</v>
      </c>
      <c r="AC87" s="66" t="s">
        <v>204</v>
      </c>
      <c r="AD87" s="66" t="s">
        <v>197</v>
      </c>
      <c r="AE87" s="66" t="s">
        <v>13</v>
      </c>
    </row>
    <row r="88" spans="1:31" s="2" customFormat="1" x14ac:dyDescent="0.45">
      <c r="A88" s="68" t="s">
        <v>6</v>
      </c>
      <c r="B88" s="61" t="s">
        <v>140</v>
      </c>
      <c r="C88" s="62" t="s">
        <v>34</v>
      </c>
      <c r="D88" s="66" t="s">
        <v>13</v>
      </c>
      <c r="E88" s="66" t="s">
        <v>7</v>
      </c>
      <c r="F88" s="66" t="s">
        <v>7</v>
      </c>
      <c r="G88" s="66">
        <v>46.45</v>
      </c>
      <c r="H88" s="66">
        <v>2.0299999999999998</v>
      </c>
      <c r="I88" s="66">
        <v>15</v>
      </c>
      <c r="J88" s="66">
        <v>221</v>
      </c>
      <c r="K88" s="66" t="s">
        <v>8</v>
      </c>
      <c r="L88" s="63" t="s">
        <v>258</v>
      </c>
      <c r="M88" s="66">
        <v>15</v>
      </c>
      <c r="N88" s="66">
        <v>11.4</v>
      </c>
      <c r="O88" s="66">
        <v>6.31</v>
      </c>
      <c r="P88" s="72">
        <f>AVERAGE(7.4,7.37,7.9)</f>
        <v>7.5566666666666675</v>
      </c>
      <c r="Q88" s="66">
        <v>3</v>
      </c>
      <c r="R88" s="66">
        <v>3</v>
      </c>
      <c r="S88" s="66" t="s">
        <v>7</v>
      </c>
      <c r="T88" s="66" t="s">
        <v>52</v>
      </c>
      <c r="U88" s="66" t="s">
        <v>7</v>
      </c>
      <c r="V88" s="66" t="s">
        <v>9</v>
      </c>
      <c r="W88" s="66">
        <v>44</v>
      </c>
      <c r="X88" s="66">
        <v>23</v>
      </c>
      <c r="Y88" s="66" t="s">
        <v>15</v>
      </c>
      <c r="Z88" s="66" t="s">
        <v>16</v>
      </c>
      <c r="AA88" s="71" t="s">
        <v>29</v>
      </c>
      <c r="AB88" s="66" t="s">
        <v>9</v>
      </c>
      <c r="AC88" s="66" t="s">
        <v>204</v>
      </c>
      <c r="AD88" s="66" t="s">
        <v>197</v>
      </c>
      <c r="AE88" s="66" t="s">
        <v>13</v>
      </c>
    </row>
    <row r="89" spans="1:31" s="2" customFormat="1" x14ac:dyDescent="0.45">
      <c r="A89" s="68" t="s">
        <v>6</v>
      </c>
      <c r="B89" s="61" t="s">
        <v>140</v>
      </c>
      <c r="C89" s="62" t="s">
        <v>32</v>
      </c>
      <c r="D89" s="66" t="s">
        <v>13</v>
      </c>
      <c r="E89" s="66" t="s">
        <v>7</v>
      </c>
      <c r="F89" s="66" t="s">
        <v>7</v>
      </c>
      <c r="G89" s="66">
        <v>44.5</v>
      </c>
      <c r="H89" s="66">
        <v>2.11</v>
      </c>
      <c r="I89" s="66">
        <v>15</v>
      </c>
      <c r="J89" s="66">
        <v>220</v>
      </c>
      <c r="K89" s="66" t="s">
        <v>8</v>
      </c>
      <c r="L89" s="63" t="s">
        <v>258</v>
      </c>
      <c r="M89" s="66">
        <v>16</v>
      </c>
      <c r="N89" s="66">
        <v>10.87</v>
      </c>
      <c r="O89" s="66">
        <v>6.59</v>
      </c>
      <c r="P89" s="72">
        <f>AVERAGE(7.43,7.16,7.5)</f>
        <v>7.3633333333333333</v>
      </c>
      <c r="Q89" s="66">
        <v>4</v>
      </c>
      <c r="R89" s="66">
        <v>4</v>
      </c>
      <c r="S89" s="66" t="s">
        <v>209</v>
      </c>
      <c r="T89" s="66" t="s">
        <v>53</v>
      </c>
      <c r="U89" s="66" t="s">
        <v>7</v>
      </c>
      <c r="V89" s="66" t="s">
        <v>33</v>
      </c>
      <c r="W89" s="66">
        <v>48</v>
      </c>
      <c r="X89" s="66">
        <v>24</v>
      </c>
      <c r="Y89" s="66" t="s">
        <v>15</v>
      </c>
      <c r="Z89" s="66" t="s">
        <v>16</v>
      </c>
      <c r="AA89" s="71" t="s">
        <v>217</v>
      </c>
      <c r="AB89" s="66" t="s">
        <v>9</v>
      </c>
      <c r="AC89" s="66" t="s">
        <v>18</v>
      </c>
      <c r="AD89" s="66" t="s">
        <v>218</v>
      </c>
      <c r="AE89" s="66" t="s">
        <v>13</v>
      </c>
    </row>
    <row r="90" spans="1:31" x14ac:dyDescent="0.45">
      <c r="A90" s="68" t="s">
        <v>143</v>
      </c>
      <c r="B90" s="61" t="s">
        <v>140</v>
      </c>
      <c r="C90" s="83" t="s">
        <v>459</v>
      </c>
      <c r="D90" s="38" t="s">
        <v>11</v>
      </c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80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79"/>
      <c r="AB90" s="38"/>
      <c r="AC90" s="38"/>
      <c r="AD90" s="38"/>
      <c r="AE90" s="38"/>
    </row>
    <row r="91" spans="1:31" x14ac:dyDescent="0.45">
      <c r="A91" s="68" t="s">
        <v>143</v>
      </c>
      <c r="B91" s="61" t="s">
        <v>140</v>
      </c>
      <c r="C91" s="83" t="s">
        <v>460</v>
      </c>
      <c r="D91" s="63" t="s">
        <v>20</v>
      </c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80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79"/>
      <c r="AB91" s="38"/>
      <c r="AC91" s="38"/>
      <c r="AD91" s="38"/>
      <c r="AE91" s="38"/>
    </row>
    <row r="92" spans="1:31" x14ac:dyDescent="0.45">
      <c r="A92" s="68" t="s">
        <v>143</v>
      </c>
      <c r="B92" s="61" t="s">
        <v>140</v>
      </c>
      <c r="C92" s="83" t="s">
        <v>450</v>
      </c>
      <c r="D92" s="63" t="s">
        <v>20</v>
      </c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72"/>
      <c r="Q92" s="66"/>
      <c r="R92" s="66"/>
      <c r="S92" s="38"/>
      <c r="T92" s="38"/>
      <c r="U92" s="38"/>
      <c r="V92" s="38"/>
      <c r="W92" s="38"/>
      <c r="X92" s="38"/>
      <c r="Y92" s="38"/>
      <c r="Z92" s="38"/>
      <c r="AA92" s="79"/>
      <c r="AB92" s="38"/>
      <c r="AC92" s="38"/>
      <c r="AD92" s="38"/>
      <c r="AE92" s="38"/>
    </row>
    <row r="93" spans="1:31" x14ac:dyDescent="0.45">
      <c r="A93" s="68" t="s">
        <v>6</v>
      </c>
      <c r="B93" s="61" t="s">
        <v>140</v>
      </c>
      <c r="C93" s="62" t="s">
        <v>101</v>
      </c>
      <c r="D93" s="66" t="s">
        <v>20</v>
      </c>
      <c r="E93" s="66" t="s">
        <v>7</v>
      </c>
      <c r="F93" s="66" t="s">
        <v>7</v>
      </c>
      <c r="G93" s="66">
        <v>41.6</v>
      </c>
      <c r="H93" s="66">
        <v>2.5299999999999998</v>
      </c>
      <c r="I93" s="66">
        <v>15</v>
      </c>
      <c r="J93" s="66">
        <v>220</v>
      </c>
      <c r="K93" s="66" t="s">
        <v>8</v>
      </c>
      <c r="L93" s="63" t="s">
        <v>258</v>
      </c>
      <c r="M93" s="66">
        <v>17</v>
      </c>
      <c r="N93" s="66">
        <v>10.5</v>
      </c>
      <c r="O93" s="66">
        <v>6.5</v>
      </c>
      <c r="P93" s="72">
        <f>AVERAGE(9.07,7.9,8.3)</f>
        <v>8.4233333333333338</v>
      </c>
      <c r="Q93" s="66">
        <v>4</v>
      </c>
      <c r="R93" s="66">
        <v>4</v>
      </c>
      <c r="S93" s="66" t="s">
        <v>9</v>
      </c>
      <c r="T93" s="66" t="s">
        <v>53</v>
      </c>
      <c r="U93" s="66" t="s">
        <v>102</v>
      </c>
      <c r="V93" s="66" t="s">
        <v>9</v>
      </c>
      <c r="W93" s="66">
        <v>58</v>
      </c>
      <c r="X93" s="66">
        <v>22</v>
      </c>
      <c r="Y93" s="66" t="s">
        <v>15</v>
      </c>
      <c r="Z93" s="66" t="s">
        <v>16</v>
      </c>
      <c r="AA93" s="71" t="s">
        <v>29</v>
      </c>
      <c r="AB93" s="66" t="s">
        <v>9</v>
      </c>
      <c r="AC93" s="66" t="s">
        <v>204</v>
      </c>
      <c r="AD93" s="66" t="s">
        <v>197</v>
      </c>
      <c r="AE93" s="66" t="s">
        <v>13</v>
      </c>
    </row>
    <row r="94" spans="1:31" x14ac:dyDescent="0.45">
      <c r="A94" s="68" t="s">
        <v>6</v>
      </c>
      <c r="B94" s="61" t="s">
        <v>140</v>
      </c>
      <c r="C94" s="62" t="s">
        <v>187</v>
      </c>
      <c r="D94" s="63" t="s">
        <v>20</v>
      </c>
      <c r="E94" s="63" t="s">
        <v>7</v>
      </c>
      <c r="F94" s="63" t="s">
        <v>7</v>
      </c>
      <c r="G94" s="63">
        <v>36.229999999999997</v>
      </c>
      <c r="H94" s="63">
        <v>2.7389999999999999</v>
      </c>
      <c r="I94" s="63" t="s">
        <v>385</v>
      </c>
      <c r="J94" s="63">
        <v>199</v>
      </c>
      <c r="K94" s="63" t="s">
        <v>8</v>
      </c>
      <c r="L94" s="63" t="s">
        <v>258</v>
      </c>
      <c r="M94" s="63">
        <v>19</v>
      </c>
      <c r="N94" s="66">
        <v>12.08</v>
      </c>
      <c r="O94" s="66">
        <v>8.6</v>
      </c>
      <c r="P94" s="72">
        <f>AVERAGE(7.75,8.03,8.43)</f>
        <v>8.07</v>
      </c>
      <c r="Q94" s="66">
        <v>3</v>
      </c>
      <c r="R94" s="66">
        <v>4</v>
      </c>
      <c r="S94" s="66" t="s">
        <v>198</v>
      </c>
      <c r="T94" s="66" t="s">
        <v>53</v>
      </c>
      <c r="U94" s="66" t="s">
        <v>7</v>
      </c>
      <c r="V94" s="66" t="s">
        <v>9</v>
      </c>
      <c r="W94" s="66">
        <v>46</v>
      </c>
      <c r="X94" s="66">
        <v>21</v>
      </c>
      <c r="Y94" s="66" t="s">
        <v>15</v>
      </c>
      <c r="Z94" s="66" t="s">
        <v>16</v>
      </c>
      <c r="AA94" s="71" t="s">
        <v>90</v>
      </c>
      <c r="AB94" s="66" t="s">
        <v>9</v>
      </c>
      <c r="AC94" s="66" t="s">
        <v>222</v>
      </c>
      <c r="AD94" s="66" t="s">
        <v>197</v>
      </c>
      <c r="AE94" s="66" t="s">
        <v>13</v>
      </c>
    </row>
    <row r="95" spans="1:31" x14ac:dyDescent="0.45">
      <c r="A95" s="68" t="s">
        <v>6</v>
      </c>
      <c r="B95" s="61" t="s">
        <v>140</v>
      </c>
      <c r="C95" s="62" t="s">
        <v>184</v>
      </c>
      <c r="D95" s="63" t="s">
        <v>20</v>
      </c>
      <c r="E95" s="63" t="s">
        <v>7</v>
      </c>
      <c r="F95" s="63" t="s">
        <v>7</v>
      </c>
      <c r="G95" s="63">
        <v>38.86</v>
      </c>
      <c r="H95" s="66">
        <v>1.6850000000000001</v>
      </c>
      <c r="I95" s="63" t="s">
        <v>385</v>
      </c>
      <c r="J95" s="63">
        <v>251</v>
      </c>
      <c r="K95" s="63" t="s">
        <v>8</v>
      </c>
      <c r="L95" s="63" t="s">
        <v>258</v>
      </c>
      <c r="M95" s="63" t="s">
        <v>261</v>
      </c>
      <c r="N95" s="66">
        <v>7.59</v>
      </c>
      <c r="O95" s="66">
        <v>5.96</v>
      </c>
      <c r="P95" s="72">
        <f>AVERAGE(7.17,7.25,8.27)</f>
        <v>7.5633333333333326</v>
      </c>
      <c r="Q95" s="66">
        <v>3</v>
      </c>
      <c r="R95" s="66">
        <v>5</v>
      </c>
      <c r="S95" s="66" t="s">
        <v>7</v>
      </c>
      <c r="T95" s="66" t="s">
        <v>52</v>
      </c>
      <c r="U95" s="66" t="s">
        <v>7</v>
      </c>
      <c r="V95" s="66" t="s">
        <v>156</v>
      </c>
      <c r="W95" s="66">
        <v>51</v>
      </c>
      <c r="X95" s="66">
        <v>27.5</v>
      </c>
      <c r="Y95" s="70"/>
      <c r="Z95" s="70"/>
      <c r="AA95" s="71" t="s">
        <v>194</v>
      </c>
      <c r="AB95" s="66" t="s">
        <v>9</v>
      </c>
      <c r="AC95" s="66" t="s">
        <v>7</v>
      </c>
      <c r="AD95" s="66" t="s">
        <v>197</v>
      </c>
      <c r="AE95" s="66" t="s">
        <v>13</v>
      </c>
    </row>
    <row r="97" spans="1:31" ht="14.65" thickBot="1" x14ac:dyDescent="0.5"/>
    <row r="98" spans="1:31" x14ac:dyDescent="0.45">
      <c r="A98" s="89" t="s">
        <v>145</v>
      </c>
      <c r="B98" s="90"/>
    </row>
    <row r="99" spans="1:31" x14ac:dyDescent="0.45">
      <c r="A99" s="91" t="s">
        <v>392</v>
      </c>
      <c r="B99" s="92"/>
    </row>
    <row r="100" spans="1:31" x14ac:dyDescent="0.45">
      <c r="A100" s="93" t="s">
        <v>343</v>
      </c>
      <c r="B100" s="94"/>
    </row>
    <row r="101" spans="1:31" x14ac:dyDescent="0.45">
      <c r="A101" s="95" t="s">
        <v>344</v>
      </c>
      <c r="B101" s="96"/>
    </row>
    <row r="102" spans="1:31" ht="14.65" thickBot="1" x14ac:dyDescent="0.5">
      <c r="A102" s="97" t="s">
        <v>384</v>
      </c>
      <c r="B102" s="98"/>
    </row>
    <row r="104" spans="1:31" x14ac:dyDescent="0.45">
      <c r="A104" s="44" t="s">
        <v>395</v>
      </c>
    </row>
    <row r="105" spans="1:31" x14ac:dyDescent="0.45">
      <c r="A105" s="88" t="s">
        <v>399</v>
      </c>
      <c r="B105" s="88"/>
      <c r="L105" s="4"/>
      <c r="O105" s="3"/>
      <c r="P105"/>
      <c r="S105"/>
      <c r="X105" s="3"/>
      <c r="Y105" s="3"/>
      <c r="Z105" s="3"/>
      <c r="AA105" s="3"/>
      <c r="AC105"/>
      <c r="AD105"/>
      <c r="AE105"/>
    </row>
    <row r="106" spans="1:31" x14ac:dyDescent="0.45">
      <c r="A106" s="88" t="s">
        <v>400</v>
      </c>
      <c r="B106" s="88"/>
      <c r="L106" s="4"/>
      <c r="O106" s="3"/>
      <c r="P106"/>
      <c r="S106"/>
      <c r="X106" s="3"/>
      <c r="Y106" s="3"/>
      <c r="Z106" s="3"/>
      <c r="AA106" s="3"/>
      <c r="AC106"/>
      <c r="AD106"/>
      <c r="AE106"/>
    </row>
    <row r="107" spans="1:31" x14ac:dyDescent="0.45">
      <c r="A107" s="88" t="s">
        <v>401</v>
      </c>
      <c r="B107" s="88"/>
      <c r="L107" s="4"/>
      <c r="O107" s="3"/>
      <c r="P107"/>
      <c r="S107"/>
      <c r="X107" s="3"/>
      <c r="Y107" s="3"/>
      <c r="Z107" s="3"/>
      <c r="AA107" s="3"/>
      <c r="AC107"/>
      <c r="AD107"/>
      <c r="AE107"/>
    </row>
    <row r="108" spans="1:31" x14ac:dyDescent="0.45">
      <c r="A108" s="88" t="s">
        <v>402</v>
      </c>
      <c r="B108" s="88"/>
      <c r="C108" s="88"/>
      <c r="L108" s="4"/>
      <c r="O108" s="3"/>
      <c r="P108"/>
      <c r="S108"/>
      <c r="X108" s="3"/>
      <c r="Y108" s="3"/>
      <c r="Z108" s="3"/>
      <c r="AA108" s="3"/>
      <c r="AC108"/>
      <c r="AD108"/>
      <c r="AE108"/>
    </row>
    <row r="109" spans="1:31" x14ac:dyDescent="0.45">
      <c r="A109" s="88" t="s">
        <v>403</v>
      </c>
      <c r="B109" s="88"/>
      <c r="L109" s="4"/>
      <c r="O109" s="3"/>
      <c r="P109"/>
      <c r="S109"/>
      <c r="X109" s="3"/>
      <c r="Y109" s="3"/>
      <c r="Z109" s="3"/>
      <c r="AA109" s="3"/>
      <c r="AC109"/>
      <c r="AD109"/>
      <c r="AE109"/>
    </row>
    <row r="110" spans="1:31" x14ac:dyDescent="0.45">
      <c r="A110" s="88" t="s">
        <v>404</v>
      </c>
      <c r="B110" s="88"/>
      <c r="L110" s="4"/>
      <c r="O110" s="3"/>
      <c r="P110"/>
      <c r="S110"/>
      <c r="X110" s="3"/>
      <c r="Y110" s="3"/>
      <c r="Z110" s="3"/>
      <c r="AA110" s="3"/>
      <c r="AC110"/>
      <c r="AD110"/>
      <c r="AE110"/>
    </row>
    <row r="111" spans="1:31" x14ac:dyDescent="0.45">
      <c r="A111" s="88" t="s">
        <v>405</v>
      </c>
      <c r="B111" s="88"/>
      <c r="L111" s="4"/>
      <c r="O111" s="3"/>
      <c r="P111"/>
      <c r="S111"/>
      <c r="X111" s="3"/>
      <c r="Y111" s="3"/>
      <c r="Z111" s="3"/>
      <c r="AA111" s="3"/>
      <c r="AC111"/>
      <c r="AD111"/>
      <c r="AE111"/>
    </row>
    <row r="112" spans="1:31" ht="14.25" customHeight="1" x14ac:dyDescent="0.45">
      <c r="A112" s="88" t="s">
        <v>406</v>
      </c>
      <c r="B112" s="88"/>
      <c r="C112" s="88"/>
      <c r="L112" s="4"/>
      <c r="O112" s="3"/>
      <c r="P112"/>
      <c r="S112"/>
      <c r="X112" s="3"/>
      <c r="Y112" s="3"/>
      <c r="Z112" s="3"/>
      <c r="AA112" s="3"/>
      <c r="AC112"/>
      <c r="AD112"/>
      <c r="AE112"/>
    </row>
    <row r="113" spans="1:31" x14ac:dyDescent="0.45">
      <c r="A113" s="88" t="s">
        <v>407</v>
      </c>
      <c r="B113" s="88"/>
      <c r="L113" s="4"/>
      <c r="O113" s="3"/>
      <c r="P113"/>
      <c r="S113"/>
      <c r="X113" s="3"/>
      <c r="Y113" s="3"/>
      <c r="Z113" s="3"/>
      <c r="AA113" s="3"/>
      <c r="AC113"/>
      <c r="AD113"/>
      <c r="AE113"/>
    </row>
    <row r="114" spans="1:31" x14ac:dyDescent="0.45">
      <c r="A114" s="88" t="s">
        <v>396</v>
      </c>
      <c r="B114" s="88"/>
      <c r="L114" s="4"/>
      <c r="O114" s="3"/>
      <c r="P114"/>
      <c r="S114"/>
      <c r="X114" s="3"/>
      <c r="Y114" s="3"/>
      <c r="Z114" s="3"/>
      <c r="AA114" s="3"/>
      <c r="AC114"/>
      <c r="AD114"/>
      <c r="AE114"/>
    </row>
    <row r="115" spans="1:31" x14ac:dyDescent="0.45">
      <c r="A115" s="88" t="s">
        <v>408</v>
      </c>
      <c r="B115" s="88"/>
      <c r="L115" s="4"/>
      <c r="O115" s="3"/>
      <c r="P115"/>
      <c r="S115"/>
      <c r="X115" s="3"/>
      <c r="Y115" s="3"/>
      <c r="Z115" s="3"/>
      <c r="AA115" s="3"/>
      <c r="AC115"/>
      <c r="AD115"/>
      <c r="AE115"/>
    </row>
    <row r="116" spans="1:31" x14ac:dyDescent="0.45">
      <c r="A116" s="99" t="s">
        <v>397</v>
      </c>
      <c r="B116" s="99"/>
      <c r="L116" s="4"/>
      <c r="O116" s="3"/>
      <c r="P116"/>
      <c r="S116"/>
      <c r="X116" s="3"/>
      <c r="Y116" s="3"/>
      <c r="Z116" s="3"/>
      <c r="AA116" s="3"/>
      <c r="AC116"/>
      <c r="AD116"/>
      <c r="AE116"/>
    </row>
    <row r="117" spans="1:31" x14ac:dyDescent="0.45">
      <c r="A117" s="88" t="s">
        <v>409</v>
      </c>
      <c r="B117" s="88"/>
      <c r="L117" s="4"/>
      <c r="O117" s="3"/>
      <c r="P117"/>
      <c r="S117"/>
      <c r="X117" s="3"/>
      <c r="Y117" s="3"/>
      <c r="Z117" s="3"/>
      <c r="AA117" s="3"/>
      <c r="AC117"/>
      <c r="AD117"/>
      <c r="AE117"/>
    </row>
    <row r="118" spans="1:31" x14ac:dyDescent="0.45">
      <c r="A118" s="88" t="s">
        <v>410</v>
      </c>
      <c r="B118" s="88"/>
      <c r="C118" s="88"/>
      <c r="L118" s="4"/>
      <c r="O118" s="3"/>
      <c r="P118"/>
      <c r="S118"/>
      <c r="X118" s="3"/>
      <c r="Y118" s="3"/>
      <c r="Z118" s="3"/>
      <c r="AA118" s="3"/>
      <c r="AC118"/>
      <c r="AD118"/>
      <c r="AE118"/>
    </row>
    <row r="119" spans="1:31" x14ac:dyDescent="0.45">
      <c r="A119" s="88" t="s">
        <v>398</v>
      </c>
      <c r="B119" s="88"/>
      <c r="L119" s="4"/>
      <c r="O119" s="3"/>
      <c r="P119"/>
      <c r="S119"/>
      <c r="X119" s="3"/>
      <c r="Y119" s="3"/>
      <c r="Z119" s="3"/>
      <c r="AA119" s="3"/>
      <c r="AC119"/>
      <c r="AD119"/>
      <c r="AE119"/>
    </row>
    <row r="120" spans="1:31" x14ac:dyDescent="0.45">
      <c r="L120" s="4"/>
      <c r="O120" s="3"/>
      <c r="P120"/>
      <c r="S120"/>
      <c r="X120" s="3"/>
      <c r="Y120" s="3"/>
      <c r="Z120" s="3"/>
      <c r="AA120" s="3"/>
      <c r="AC120"/>
      <c r="AD120"/>
      <c r="AE120"/>
    </row>
    <row r="121" spans="1:31" x14ac:dyDescent="0.45">
      <c r="A121" t="s">
        <v>463</v>
      </c>
    </row>
  </sheetData>
  <sortState xmlns:xlrd2="http://schemas.microsoft.com/office/spreadsheetml/2017/richdata2" ref="A2:AE95">
    <sortCondition ref="B2:B95"/>
  </sortState>
  <mergeCells count="20">
    <mergeCell ref="A119:B119"/>
    <mergeCell ref="A108:C108"/>
    <mergeCell ref="A112:C112"/>
    <mergeCell ref="A118:C118"/>
    <mergeCell ref="A115:B115"/>
    <mergeCell ref="A116:B116"/>
    <mergeCell ref="A117:B117"/>
    <mergeCell ref="A110:B110"/>
    <mergeCell ref="A111:B111"/>
    <mergeCell ref="A113:B113"/>
    <mergeCell ref="A114:B114"/>
    <mergeCell ref="A105:B105"/>
    <mergeCell ref="A106:B106"/>
    <mergeCell ref="A107:B107"/>
    <mergeCell ref="A109:B109"/>
    <mergeCell ref="A98:B98"/>
    <mergeCell ref="A99:B99"/>
    <mergeCell ref="A100:B100"/>
    <mergeCell ref="A101:B101"/>
    <mergeCell ref="A102:B10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500B-DC4E-4A88-987C-5445966BEE18}">
  <dimension ref="A1:AB23"/>
  <sheetViews>
    <sheetView topLeftCell="F1" zoomScale="85" zoomScaleNormal="85" workbookViewId="0">
      <pane ySplit="1" topLeftCell="A2" activePane="bottomLeft" state="frozen"/>
      <selection activeCell="O1" sqref="O1"/>
      <selection pane="bottomLeft" activeCell="I29" sqref="I29"/>
    </sheetView>
  </sheetViews>
  <sheetFormatPr defaultRowHeight="14.25" x14ac:dyDescent="0.45"/>
  <cols>
    <col min="1" max="1" width="29.9296875" bestFit="1" customWidth="1"/>
    <col min="2" max="2" width="24.6640625" style="8" bestFit="1" customWidth="1"/>
    <col min="3" max="3" width="24.46484375" bestFit="1" customWidth="1"/>
    <col min="4" max="4" width="17.59765625" bestFit="1" customWidth="1"/>
    <col min="5" max="5" width="34.53125" bestFit="1" customWidth="1"/>
    <col min="6" max="6" width="14.9296875" bestFit="1" customWidth="1"/>
    <col min="7" max="7" width="16.6640625" bestFit="1" customWidth="1"/>
    <col min="8" max="8" width="15.3984375" bestFit="1" customWidth="1"/>
    <col min="9" max="9" width="16.86328125" bestFit="1" customWidth="1"/>
    <col min="10" max="10" width="44.33203125" bestFit="1" customWidth="1"/>
    <col min="11" max="11" width="46.3984375" bestFit="1" customWidth="1"/>
    <col min="12" max="12" width="48.06640625" bestFit="1" customWidth="1"/>
    <col min="13" max="13" width="17.6640625" customWidth="1"/>
    <col min="14" max="14" width="46.06640625" customWidth="1"/>
    <col min="15" max="15" width="32.6640625" bestFit="1" customWidth="1"/>
    <col min="16" max="16" width="32.6640625" customWidth="1"/>
    <col min="17" max="17" width="44.796875" bestFit="1" customWidth="1"/>
    <col min="18" max="18" width="64.9296875" bestFit="1" customWidth="1"/>
    <col min="19" max="19" width="48.46484375" bestFit="1" customWidth="1"/>
    <col min="20" max="20" width="44.59765625" bestFit="1" customWidth="1"/>
    <col min="22" max="22" width="23.33203125" bestFit="1" customWidth="1"/>
    <col min="23" max="23" width="23.33203125" style="3" customWidth="1"/>
    <col min="24" max="24" width="31.265625" style="3" bestFit="1" customWidth="1"/>
    <col min="25" max="25" width="36.06640625" style="3" bestFit="1" customWidth="1"/>
    <col min="26" max="26" width="37.59765625" style="3" bestFit="1" customWidth="1"/>
    <col min="27" max="27" width="26.06640625" style="3" bestFit="1" customWidth="1"/>
    <col min="28" max="28" width="26.06640625" style="3" customWidth="1"/>
    <col min="29" max="29" width="35.265625" bestFit="1" customWidth="1"/>
    <col min="30" max="30" width="253.46484375" bestFit="1" customWidth="1"/>
  </cols>
  <sheetData>
    <row r="1" spans="1:28" s="3" customFormat="1" x14ac:dyDescent="0.45">
      <c r="A1" s="31" t="s">
        <v>0</v>
      </c>
      <c r="B1" s="13" t="s">
        <v>334</v>
      </c>
      <c r="C1" s="13" t="s">
        <v>347</v>
      </c>
      <c r="D1" s="13" t="s">
        <v>346</v>
      </c>
      <c r="E1" s="13" t="s">
        <v>3</v>
      </c>
      <c r="F1" s="13" t="s">
        <v>4</v>
      </c>
      <c r="G1" s="13" t="s">
        <v>348</v>
      </c>
      <c r="H1" s="13" t="s">
        <v>349</v>
      </c>
      <c r="I1" s="14" t="s">
        <v>350</v>
      </c>
      <c r="J1" s="13" t="s">
        <v>351</v>
      </c>
      <c r="K1" s="13" t="s">
        <v>352</v>
      </c>
      <c r="L1" s="13" t="s">
        <v>353</v>
      </c>
      <c r="M1" s="13" t="s">
        <v>14</v>
      </c>
      <c r="N1" s="13" t="s">
        <v>59</v>
      </c>
      <c r="O1" s="13" t="s">
        <v>357</v>
      </c>
      <c r="P1" s="13" t="s">
        <v>356</v>
      </c>
      <c r="Q1" s="13" t="s">
        <v>195</v>
      </c>
      <c r="R1" s="13" t="s">
        <v>381</v>
      </c>
      <c r="S1" s="13" t="s">
        <v>380</v>
      </c>
      <c r="T1" s="15" t="s">
        <v>379</v>
      </c>
    </row>
    <row r="2" spans="1:28" x14ac:dyDescent="0.45">
      <c r="A2" s="107" t="s">
        <v>141</v>
      </c>
      <c r="B2" s="16" t="s">
        <v>269</v>
      </c>
      <c r="C2" s="16" t="s">
        <v>289</v>
      </c>
      <c r="D2" s="17" t="s">
        <v>290</v>
      </c>
      <c r="E2" s="16" t="s">
        <v>244</v>
      </c>
      <c r="F2" s="16" t="s">
        <v>245</v>
      </c>
      <c r="G2" s="16" t="s">
        <v>291</v>
      </c>
      <c r="H2" s="16" t="s">
        <v>292</v>
      </c>
      <c r="I2" s="17" t="s">
        <v>335</v>
      </c>
      <c r="J2" s="16" t="s">
        <v>267</v>
      </c>
      <c r="K2" s="16" t="s">
        <v>293</v>
      </c>
      <c r="L2" s="16" t="s">
        <v>246</v>
      </c>
      <c r="M2" s="16" t="s">
        <v>15</v>
      </c>
      <c r="N2" s="16" t="s">
        <v>16</v>
      </c>
      <c r="O2" s="16" t="s">
        <v>359</v>
      </c>
      <c r="P2" s="16" t="s">
        <v>358</v>
      </c>
      <c r="Q2" s="16" t="s">
        <v>9</v>
      </c>
      <c r="R2" s="16" t="s">
        <v>7</v>
      </c>
      <c r="S2" s="16" t="s">
        <v>7</v>
      </c>
      <c r="T2" s="18"/>
      <c r="U2" s="3"/>
      <c r="V2" s="3"/>
      <c r="X2"/>
      <c r="Y2"/>
      <c r="Z2"/>
      <c r="AA2"/>
      <c r="AB2"/>
    </row>
    <row r="3" spans="1:28" x14ac:dyDescent="0.45">
      <c r="A3" s="108"/>
      <c r="B3" s="16" t="s">
        <v>271</v>
      </c>
      <c r="C3" s="16">
        <v>45.6</v>
      </c>
      <c r="D3" s="17">
        <v>2.6160000000000001</v>
      </c>
      <c r="E3" s="16">
        <v>243</v>
      </c>
      <c r="F3" s="16">
        <v>18</v>
      </c>
      <c r="G3" s="16">
        <v>10.49</v>
      </c>
      <c r="H3" s="16">
        <v>6.43</v>
      </c>
      <c r="I3" s="17">
        <v>7.3864102564102563</v>
      </c>
      <c r="J3" s="16" t="s">
        <v>7</v>
      </c>
      <c r="K3" s="16">
        <v>55</v>
      </c>
      <c r="L3" s="16">
        <v>29</v>
      </c>
      <c r="M3" s="16"/>
      <c r="N3" s="16"/>
      <c r="O3" s="32" t="s">
        <v>377</v>
      </c>
      <c r="P3" s="16" t="s">
        <v>360</v>
      </c>
      <c r="Q3" s="16"/>
      <c r="R3" s="16"/>
      <c r="S3" s="16"/>
      <c r="T3" s="18"/>
      <c r="U3" s="3"/>
      <c r="V3" s="3"/>
      <c r="X3"/>
      <c r="Y3"/>
      <c r="Z3"/>
      <c r="AA3"/>
      <c r="AB3"/>
    </row>
    <row r="4" spans="1:28" x14ac:dyDescent="0.45">
      <c r="A4" s="108"/>
      <c r="B4" s="16" t="s">
        <v>270</v>
      </c>
      <c r="C4" s="16" t="s">
        <v>294</v>
      </c>
      <c r="D4" s="17" t="s">
        <v>295</v>
      </c>
      <c r="E4" s="16" t="s">
        <v>296</v>
      </c>
      <c r="F4" s="16" t="s">
        <v>297</v>
      </c>
      <c r="G4" s="16" t="s">
        <v>298</v>
      </c>
      <c r="H4" s="16" t="s">
        <v>299</v>
      </c>
      <c r="I4" s="17" t="s">
        <v>336</v>
      </c>
      <c r="J4" s="16" t="s">
        <v>7</v>
      </c>
      <c r="K4" s="16" t="s">
        <v>300</v>
      </c>
      <c r="L4" s="16" t="s">
        <v>301</v>
      </c>
      <c r="M4" s="16" t="s">
        <v>15</v>
      </c>
      <c r="N4" s="16" t="s">
        <v>16</v>
      </c>
      <c r="O4" s="32" t="s">
        <v>377</v>
      </c>
      <c r="P4" s="16" t="s">
        <v>360</v>
      </c>
      <c r="Q4" s="16" t="s">
        <v>7</v>
      </c>
      <c r="R4" s="16" t="s">
        <v>7</v>
      </c>
      <c r="S4" s="16" t="s">
        <v>7</v>
      </c>
      <c r="T4" s="18" t="s">
        <v>7</v>
      </c>
      <c r="U4" s="3"/>
      <c r="V4" s="3"/>
      <c r="X4"/>
      <c r="Y4"/>
      <c r="Z4"/>
      <c r="AA4"/>
      <c r="AB4"/>
    </row>
    <row r="5" spans="1:28" x14ac:dyDescent="0.45">
      <c r="A5" s="109"/>
      <c r="B5" s="16" t="s">
        <v>268</v>
      </c>
      <c r="C5" s="16">
        <v>20.45</v>
      </c>
      <c r="D5" s="17">
        <v>0.95000000000000007</v>
      </c>
      <c r="E5" s="16">
        <v>235</v>
      </c>
      <c r="F5" s="16">
        <v>20</v>
      </c>
      <c r="G5" s="16">
        <v>6.15</v>
      </c>
      <c r="H5" s="16">
        <v>4.5999999999999996</v>
      </c>
      <c r="I5" s="17">
        <v>3.8816666666666668</v>
      </c>
      <c r="J5" s="16" t="s">
        <v>7</v>
      </c>
      <c r="K5" s="16">
        <v>28</v>
      </c>
      <c r="L5" s="16">
        <v>28</v>
      </c>
      <c r="M5" s="16"/>
      <c r="N5" s="16"/>
      <c r="O5" s="32" t="s">
        <v>377</v>
      </c>
      <c r="P5" s="16" t="s">
        <v>360</v>
      </c>
      <c r="Q5" s="16"/>
      <c r="R5" s="16"/>
      <c r="S5" s="16"/>
      <c r="T5" s="18"/>
      <c r="U5" s="3"/>
      <c r="V5" s="3"/>
      <c r="X5"/>
      <c r="Y5"/>
      <c r="Z5"/>
      <c r="AA5"/>
      <c r="AB5"/>
    </row>
    <row r="6" spans="1:28" x14ac:dyDescent="0.45">
      <c r="A6" s="110" t="s">
        <v>382</v>
      </c>
      <c r="B6" s="19" t="s">
        <v>282</v>
      </c>
      <c r="C6" s="19" t="s">
        <v>302</v>
      </c>
      <c r="D6" s="20" t="s">
        <v>303</v>
      </c>
      <c r="E6" s="19" t="s">
        <v>250</v>
      </c>
      <c r="F6" s="19" t="s">
        <v>304</v>
      </c>
      <c r="G6" s="19" t="s">
        <v>305</v>
      </c>
      <c r="H6" s="19" t="s">
        <v>306</v>
      </c>
      <c r="I6" s="20" t="s">
        <v>337</v>
      </c>
      <c r="J6" s="19" t="s">
        <v>9</v>
      </c>
      <c r="K6" s="19" t="s">
        <v>307</v>
      </c>
      <c r="L6" s="19" t="s">
        <v>251</v>
      </c>
      <c r="M6" s="19" t="s">
        <v>15</v>
      </c>
      <c r="N6" s="19" t="s">
        <v>16</v>
      </c>
      <c r="O6" s="19" t="s">
        <v>361</v>
      </c>
      <c r="P6" s="19" t="s">
        <v>362</v>
      </c>
      <c r="Q6" s="19" t="s">
        <v>9</v>
      </c>
      <c r="R6" s="19" t="s">
        <v>274</v>
      </c>
      <c r="S6" s="19" t="s">
        <v>273</v>
      </c>
      <c r="T6" s="21"/>
      <c r="U6" s="3"/>
      <c r="V6" s="3"/>
      <c r="X6"/>
      <c r="Y6"/>
      <c r="Z6"/>
      <c r="AA6"/>
      <c r="AB6"/>
    </row>
    <row r="7" spans="1:28" x14ac:dyDescent="0.45">
      <c r="A7" s="111"/>
      <c r="B7" s="19" t="s">
        <v>271</v>
      </c>
      <c r="C7" s="19">
        <v>42.4</v>
      </c>
      <c r="D7" s="20">
        <v>2.47164705882353</v>
      </c>
      <c r="E7" s="19">
        <v>236</v>
      </c>
      <c r="F7" s="19">
        <v>19</v>
      </c>
      <c r="G7" s="19">
        <v>9.9</v>
      </c>
      <c r="H7" s="19">
        <v>6.24</v>
      </c>
      <c r="I7" s="20">
        <v>7.582156862745097</v>
      </c>
      <c r="J7" s="19" t="s">
        <v>9</v>
      </c>
      <c r="K7" s="19">
        <v>48</v>
      </c>
      <c r="L7" s="19">
        <v>26</v>
      </c>
      <c r="M7" s="19"/>
      <c r="N7" s="19"/>
      <c r="O7" s="33" t="s">
        <v>377</v>
      </c>
      <c r="P7" s="19" t="s">
        <v>360</v>
      </c>
      <c r="Q7" s="19"/>
      <c r="R7" s="19" t="s">
        <v>276</v>
      </c>
      <c r="S7" s="19" t="s">
        <v>277</v>
      </c>
      <c r="T7" s="21"/>
      <c r="U7" s="3"/>
      <c r="V7" s="3"/>
      <c r="X7"/>
      <c r="Y7"/>
      <c r="Z7"/>
      <c r="AA7"/>
      <c r="AB7"/>
    </row>
    <row r="8" spans="1:28" x14ac:dyDescent="0.45">
      <c r="A8" s="112"/>
      <c r="B8" s="19" t="s">
        <v>272</v>
      </c>
      <c r="C8" s="19">
        <v>18.95</v>
      </c>
      <c r="D8" s="20">
        <v>1</v>
      </c>
      <c r="E8" s="19">
        <v>249</v>
      </c>
      <c r="F8" s="19">
        <v>17</v>
      </c>
      <c r="G8" s="19">
        <v>6</v>
      </c>
      <c r="H8" s="19">
        <v>3.5</v>
      </c>
      <c r="I8" s="20">
        <v>3.6566666666666667</v>
      </c>
      <c r="J8" s="19" t="s">
        <v>9</v>
      </c>
      <c r="K8" s="19">
        <v>28</v>
      </c>
      <c r="L8" s="19">
        <v>27</v>
      </c>
      <c r="M8" s="19" t="s">
        <v>149</v>
      </c>
      <c r="N8" s="19" t="s">
        <v>150</v>
      </c>
      <c r="O8" s="19">
        <v>4</v>
      </c>
      <c r="P8" s="19">
        <v>6</v>
      </c>
      <c r="Q8" s="19" t="s">
        <v>7</v>
      </c>
      <c r="R8" s="19" t="s">
        <v>7</v>
      </c>
      <c r="S8" s="19" t="s">
        <v>203</v>
      </c>
      <c r="T8" s="21" t="s">
        <v>7</v>
      </c>
      <c r="U8" s="3"/>
      <c r="V8" s="3"/>
      <c r="X8"/>
      <c r="Y8"/>
      <c r="Z8"/>
      <c r="AA8"/>
      <c r="AB8"/>
    </row>
    <row r="9" spans="1:28" x14ac:dyDescent="0.45">
      <c r="A9" s="113" t="s">
        <v>142</v>
      </c>
      <c r="B9" s="22" t="s">
        <v>269</v>
      </c>
      <c r="C9" s="22" t="s">
        <v>308</v>
      </c>
      <c r="D9" s="23" t="s">
        <v>309</v>
      </c>
      <c r="E9" s="22" t="s">
        <v>252</v>
      </c>
      <c r="F9" s="22" t="s">
        <v>253</v>
      </c>
      <c r="G9" s="22" t="s">
        <v>310</v>
      </c>
      <c r="H9" s="22" t="s">
        <v>311</v>
      </c>
      <c r="I9" s="23" t="s">
        <v>338</v>
      </c>
      <c r="J9" s="22" t="s">
        <v>9</v>
      </c>
      <c r="K9" s="22" t="s">
        <v>312</v>
      </c>
      <c r="L9" s="22" t="s">
        <v>313</v>
      </c>
      <c r="M9" s="22" t="s">
        <v>281</v>
      </c>
      <c r="N9" s="22" t="s">
        <v>16</v>
      </c>
      <c r="O9" s="22" t="s">
        <v>363</v>
      </c>
      <c r="P9" s="22" t="s">
        <v>364</v>
      </c>
      <c r="Q9" s="22" t="s">
        <v>7</v>
      </c>
      <c r="R9" s="22" t="s">
        <v>9</v>
      </c>
      <c r="S9" s="22" t="s">
        <v>279</v>
      </c>
      <c r="T9" s="24"/>
      <c r="U9" s="3"/>
      <c r="V9" s="3"/>
      <c r="X9"/>
      <c r="Y9"/>
      <c r="Z9"/>
      <c r="AA9"/>
      <c r="AB9"/>
    </row>
    <row r="10" spans="1:28" x14ac:dyDescent="0.45">
      <c r="A10" s="114"/>
      <c r="B10" s="22" t="s">
        <v>271</v>
      </c>
      <c r="C10" s="22">
        <v>47.82</v>
      </c>
      <c r="D10" s="23">
        <v>2.9571000000000001</v>
      </c>
      <c r="E10" s="22">
        <v>209</v>
      </c>
      <c r="F10" s="22">
        <v>19</v>
      </c>
      <c r="G10" s="22">
        <v>11.91</v>
      </c>
      <c r="H10" s="22">
        <v>8.26</v>
      </c>
      <c r="I10" s="23">
        <v>10.199280701754386</v>
      </c>
      <c r="J10" s="22"/>
      <c r="K10" s="22">
        <v>74</v>
      </c>
      <c r="L10" s="22">
        <v>26</v>
      </c>
      <c r="M10" s="22" t="s">
        <v>15</v>
      </c>
      <c r="N10" s="22" t="s">
        <v>16</v>
      </c>
      <c r="O10" s="22" t="s">
        <v>365</v>
      </c>
      <c r="P10" s="22" t="s">
        <v>366</v>
      </c>
      <c r="Q10" s="22"/>
      <c r="R10" s="22"/>
      <c r="S10" s="22"/>
      <c r="T10" s="24"/>
      <c r="U10" s="3"/>
      <c r="V10" s="3"/>
      <c r="X10"/>
      <c r="Y10"/>
      <c r="Z10"/>
      <c r="AA10"/>
      <c r="AB10"/>
    </row>
    <row r="11" spans="1:28" x14ac:dyDescent="0.45">
      <c r="A11" s="114"/>
      <c r="B11" s="22" t="s">
        <v>278</v>
      </c>
      <c r="C11" s="22" t="s">
        <v>314</v>
      </c>
      <c r="D11" s="23" t="s">
        <v>315</v>
      </c>
      <c r="E11" s="22" t="s">
        <v>316</v>
      </c>
      <c r="F11" s="22" t="s">
        <v>317</v>
      </c>
      <c r="G11" s="22" t="s">
        <v>318</v>
      </c>
      <c r="H11" s="22" t="s">
        <v>319</v>
      </c>
      <c r="I11" s="23" t="s">
        <v>339</v>
      </c>
      <c r="J11" s="22" t="s">
        <v>9</v>
      </c>
      <c r="K11" s="22" t="s">
        <v>320</v>
      </c>
      <c r="L11" s="22" t="s">
        <v>321</v>
      </c>
      <c r="M11" s="22" t="s">
        <v>280</v>
      </c>
      <c r="N11" s="22" t="s">
        <v>16</v>
      </c>
      <c r="O11" s="22" t="s">
        <v>367</v>
      </c>
      <c r="P11" s="22" t="s">
        <v>368</v>
      </c>
      <c r="Q11" s="22" t="s">
        <v>7</v>
      </c>
      <c r="R11" s="22" t="s">
        <v>9</v>
      </c>
      <c r="S11" s="22" t="s">
        <v>279</v>
      </c>
      <c r="T11" s="24" t="s">
        <v>9</v>
      </c>
      <c r="U11" s="3"/>
      <c r="V11" s="3"/>
      <c r="X11"/>
      <c r="Y11"/>
      <c r="Z11"/>
      <c r="AA11"/>
      <c r="AB11"/>
    </row>
    <row r="12" spans="1:28" x14ac:dyDescent="0.45">
      <c r="A12" s="115"/>
      <c r="B12" s="22" t="s">
        <v>268</v>
      </c>
      <c r="C12" s="22">
        <v>21.18</v>
      </c>
      <c r="D12" s="23">
        <v>1.2382500000000001</v>
      </c>
      <c r="E12" s="22">
        <v>215</v>
      </c>
      <c r="F12" s="22">
        <v>18</v>
      </c>
      <c r="G12" s="22">
        <v>7.98</v>
      </c>
      <c r="H12" s="22">
        <v>4.7050000000000001</v>
      </c>
      <c r="I12" s="23">
        <v>5.5341666666666667</v>
      </c>
      <c r="J12" s="22"/>
      <c r="K12" s="22">
        <v>29</v>
      </c>
      <c r="L12" s="22">
        <v>29</v>
      </c>
      <c r="M12" s="22" t="s">
        <v>15</v>
      </c>
      <c r="N12" s="22" t="s">
        <v>16</v>
      </c>
      <c r="O12" s="22" t="s">
        <v>365</v>
      </c>
      <c r="P12" s="22" t="s">
        <v>369</v>
      </c>
      <c r="Q12" s="22"/>
      <c r="R12" s="22"/>
      <c r="S12" s="22"/>
      <c r="T12" s="24"/>
      <c r="U12" s="3"/>
      <c r="V12" s="3"/>
      <c r="X12"/>
      <c r="Y12"/>
      <c r="Z12"/>
      <c r="AA12"/>
      <c r="AB12"/>
    </row>
    <row r="13" spans="1:28" x14ac:dyDescent="0.45">
      <c r="A13" s="116" t="s">
        <v>140</v>
      </c>
      <c r="B13" s="25" t="s">
        <v>283</v>
      </c>
      <c r="C13" s="25" t="s">
        <v>322</v>
      </c>
      <c r="D13" s="26" t="s">
        <v>323</v>
      </c>
      <c r="E13" s="25" t="s">
        <v>247</v>
      </c>
      <c r="F13" s="25" t="s">
        <v>248</v>
      </c>
      <c r="G13" s="25" t="s">
        <v>324</v>
      </c>
      <c r="H13" s="25" t="s">
        <v>325</v>
      </c>
      <c r="I13" s="26" t="s">
        <v>340</v>
      </c>
      <c r="J13" s="25" t="s">
        <v>9</v>
      </c>
      <c r="K13" s="25" t="s">
        <v>326</v>
      </c>
      <c r="L13" s="25" t="s">
        <v>249</v>
      </c>
      <c r="M13" s="25" t="s">
        <v>15</v>
      </c>
      <c r="N13" s="25" t="s">
        <v>16</v>
      </c>
      <c r="O13" s="25" t="s">
        <v>370</v>
      </c>
      <c r="P13" s="25" t="s">
        <v>371</v>
      </c>
      <c r="Q13" s="25" t="s">
        <v>9</v>
      </c>
      <c r="R13" s="25" t="s">
        <v>286</v>
      </c>
      <c r="S13" s="25" t="s">
        <v>279</v>
      </c>
      <c r="T13" s="27"/>
      <c r="U13" s="3"/>
      <c r="V13" s="3"/>
      <c r="X13"/>
      <c r="Y13"/>
      <c r="Z13"/>
      <c r="AA13"/>
      <c r="AB13"/>
    </row>
    <row r="14" spans="1:28" x14ac:dyDescent="0.45">
      <c r="A14" s="117"/>
      <c r="B14" s="25" t="s">
        <v>271</v>
      </c>
      <c r="C14" s="25">
        <v>40.96</v>
      </c>
      <c r="D14" s="26">
        <v>2.6073333333333339</v>
      </c>
      <c r="E14" s="25">
        <v>209</v>
      </c>
      <c r="F14" s="25">
        <v>19</v>
      </c>
      <c r="G14" s="25">
        <v>11.75</v>
      </c>
      <c r="H14" s="25">
        <v>7.1630000000000011</v>
      </c>
      <c r="I14" s="26">
        <v>8.2919166666666673</v>
      </c>
      <c r="J14" s="25"/>
      <c r="K14" s="25">
        <v>52</v>
      </c>
      <c r="L14" s="25">
        <v>21</v>
      </c>
      <c r="M14" s="25"/>
      <c r="N14" s="25"/>
      <c r="O14" s="25" t="s">
        <v>372</v>
      </c>
      <c r="P14" s="25" t="s">
        <v>373</v>
      </c>
      <c r="Q14" s="25"/>
      <c r="R14" s="25" t="s">
        <v>285</v>
      </c>
      <c r="S14" s="25" t="s">
        <v>279</v>
      </c>
      <c r="T14" s="27"/>
      <c r="U14" s="3"/>
      <c r="V14" s="3"/>
      <c r="X14"/>
      <c r="Y14"/>
      <c r="Z14"/>
      <c r="AA14"/>
      <c r="AB14"/>
    </row>
    <row r="15" spans="1:28" x14ac:dyDescent="0.45">
      <c r="A15" s="117"/>
      <c r="B15" s="25" t="s">
        <v>284</v>
      </c>
      <c r="C15" s="25" t="s">
        <v>327</v>
      </c>
      <c r="D15" s="26" t="s">
        <v>328</v>
      </c>
      <c r="E15" s="25" t="s">
        <v>329</v>
      </c>
      <c r="F15" s="25" t="s">
        <v>330</v>
      </c>
      <c r="G15" s="25" t="s">
        <v>331</v>
      </c>
      <c r="H15" s="25" t="s">
        <v>332</v>
      </c>
      <c r="I15" s="26" t="s">
        <v>341</v>
      </c>
      <c r="J15" s="25" t="s">
        <v>9</v>
      </c>
      <c r="K15" s="25" t="s">
        <v>333</v>
      </c>
      <c r="L15" s="25" t="s">
        <v>333</v>
      </c>
      <c r="M15" s="25" t="s">
        <v>15</v>
      </c>
      <c r="N15" s="25" t="s">
        <v>16</v>
      </c>
      <c r="O15" s="25" t="s">
        <v>374</v>
      </c>
      <c r="P15" s="25" t="s">
        <v>375</v>
      </c>
      <c r="Q15" s="25" t="s">
        <v>7</v>
      </c>
      <c r="R15" s="25" t="s">
        <v>287</v>
      </c>
      <c r="S15" s="25" t="s">
        <v>279</v>
      </c>
      <c r="T15" s="27" t="s">
        <v>7</v>
      </c>
      <c r="U15" s="3"/>
      <c r="V15" s="3"/>
      <c r="X15"/>
      <c r="Y15"/>
      <c r="Z15"/>
      <c r="AA15"/>
      <c r="AB15"/>
    </row>
    <row r="16" spans="1:28" ht="14.65" thickBot="1" x14ac:dyDescent="0.5">
      <c r="A16" s="118"/>
      <c r="B16" s="28" t="s">
        <v>268</v>
      </c>
      <c r="C16" s="28">
        <v>18.600000000000001</v>
      </c>
      <c r="D16" s="29">
        <v>1.2749999999999999</v>
      </c>
      <c r="E16" s="28">
        <v>227</v>
      </c>
      <c r="F16" s="28">
        <v>19</v>
      </c>
      <c r="G16" s="28">
        <v>7.8</v>
      </c>
      <c r="H16" s="28">
        <v>4.8499999999999996</v>
      </c>
      <c r="I16" s="29">
        <v>3.84</v>
      </c>
      <c r="J16" s="28"/>
      <c r="K16" s="28">
        <v>24</v>
      </c>
      <c r="L16" s="28">
        <v>24</v>
      </c>
      <c r="M16" s="28"/>
      <c r="N16" s="28"/>
      <c r="O16" s="28" t="s">
        <v>376</v>
      </c>
      <c r="P16" s="28" t="s">
        <v>373</v>
      </c>
      <c r="Q16" s="28"/>
      <c r="R16" s="28" t="s">
        <v>288</v>
      </c>
      <c r="S16" s="28" t="s">
        <v>279</v>
      </c>
      <c r="T16" s="30"/>
      <c r="U16" s="3"/>
      <c r="V16" s="3"/>
      <c r="X16"/>
      <c r="Y16"/>
      <c r="Z16"/>
      <c r="AA16"/>
      <c r="AB16"/>
    </row>
    <row r="17" spans="1:5" x14ac:dyDescent="0.45">
      <c r="B17" s="10"/>
    </row>
    <row r="19" spans="1:5" ht="14.65" thickBot="1" x14ac:dyDescent="0.5">
      <c r="B19" s="9"/>
    </row>
    <row r="20" spans="1:5" x14ac:dyDescent="0.45">
      <c r="A20" s="104" t="s">
        <v>145</v>
      </c>
      <c r="B20" s="105"/>
      <c r="C20" s="105"/>
      <c r="D20" s="105"/>
      <c r="E20" s="106"/>
    </row>
    <row r="21" spans="1:5" x14ac:dyDescent="0.45">
      <c r="A21" s="101" t="s">
        <v>354</v>
      </c>
      <c r="B21" s="102"/>
      <c r="C21" s="102"/>
      <c r="D21" s="102"/>
      <c r="E21" s="103"/>
    </row>
    <row r="22" spans="1:5" x14ac:dyDescent="0.45">
      <c r="A22" s="101" t="s">
        <v>355</v>
      </c>
      <c r="B22" s="102"/>
      <c r="C22" s="102"/>
      <c r="D22" s="102"/>
      <c r="E22" s="103"/>
    </row>
    <row r="23" spans="1:5" ht="14.65" thickBot="1" x14ac:dyDescent="0.5">
      <c r="A23" s="97" t="s">
        <v>378</v>
      </c>
      <c r="B23" s="100"/>
      <c r="C23" s="100"/>
      <c r="D23" s="100"/>
      <c r="E23" s="98"/>
    </row>
  </sheetData>
  <mergeCells count="8">
    <mergeCell ref="A23:E23"/>
    <mergeCell ref="A22:E22"/>
    <mergeCell ref="A21:E21"/>
    <mergeCell ref="A20:E20"/>
    <mergeCell ref="A2:A5"/>
    <mergeCell ref="A6:A8"/>
    <mergeCell ref="A9:A12"/>
    <mergeCell ref="A13:A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039D-D1B5-4F3B-8F11-15548E070083}">
  <dimension ref="A1:P80"/>
  <sheetViews>
    <sheetView topLeftCell="A41" zoomScaleNormal="100" workbookViewId="0">
      <selection activeCell="A77" sqref="A77"/>
    </sheetView>
  </sheetViews>
  <sheetFormatPr defaultRowHeight="14.25" x14ac:dyDescent="0.45"/>
  <cols>
    <col min="1" max="1" width="41.265625" bestFit="1" customWidth="1"/>
    <col min="2" max="3" width="11.1328125" bestFit="1" customWidth="1"/>
    <col min="4" max="4" width="42.53125" bestFit="1" customWidth="1"/>
    <col min="7" max="7" width="12.33203125" bestFit="1" customWidth="1"/>
    <col min="10" max="10" width="12.53125" bestFit="1" customWidth="1"/>
  </cols>
  <sheetData>
    <row r="1" spans="1:16" x14ac:dyDescent="0.45">
      <c r="A1" s="41" t="s">
        <v>0</v>
      </c>
      <c r="B1" s="42" t="s">
        <v>138</v>
      </c>
      <c r="C1" s="42" t="s">
        <v>139</v>
      </c>
      <c r="D1" s="41" t="s">
        <v>415</v>
      </c>
    </row>
    <row r="2" spans="1:16" x14ac:dyDescent="0.45">
      <c r="A2" s="56" t="s">
        <v>141</v>
      </c>
      <c r="B2" s="53">
        <v>14.599500000000001</v>
      </c>
      <c r="C2" s="53">
        <v>120.9842</v>
      </c>
      <c r="D2" s="53" t="s">
        <v>243</v>
      </c>
    </row>
    <row r="3" spans="1:16" x14ac:dyDescent="0.45">
      <c r="A3" s="56" t="s">
        <v>141</v>
      </c>
      <c r="B3" s="53">
        <v>14.744355000000001</v>
      </c>
      <c r="C3" s="53">
        <v>120.264593</v>
      </c>
      <c r="D3" s="53" t="s">
        <v>227</v>
      </c>
    </row>
    <row r="4" spans="1:16" x14ac:dyDescent="0.45">
      <c r="A4" s="56" t="s">
        <v>141</v>
      </c>
      <c r="B4" s="53">
        <v>14.157688</v>
      </c>
      <c r="C4" s="53">
        <v>121.222865</v>
      </c>
      <c r="D4" s="53" t="s">
        <v>228</v>
      </c>
    </row>
    <row r="5" spans="1:16" x14ac:dyDescent="0.45">
      <c r="A5" s="56" t="s">
        <v>141</v>
      </c>
      <c r="B5" s="53">
        <v>14.157688</v>
      </c>
      <c r="C5" s="53">
        <v>121.222865</v>
      </c>
      <c r="D5" s="53" t="s">
        <v>229</v>
      </c>
    </row>
    <row r="6" spans="1:16" x14ac:dyDescent="0.45">
      <c r="A6" s="56" t="s">
        <v>141</v>
      </c>
      <c r="B6" s="53">
        <v>14.157688</v>
      </c>
      <c r="C6" s="53">
        <v>121.222865</v>
      </c>
      <c r="D6" s="53" t="s">
        <v>230</v>
      </c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x14ac:dyDescent="0.45">
      <c r="A7" s="56" t="s">
        <v>141</v>
      </c>
      <c r="B7" s="53">
        <v>14.157688</v>
      </c>
      <c r="C7" s="53">
        <v>121.222865</v>
      </c>
      <c r="D7" s="53" t="s">
        <v>233</v>
      </c>
      <c r="G7" s="45"/>
      <c r="H7" s="45"/>
      <c r="I7" s="45"/>
      <c r="J7" s="45"/>
      <c r="K7" s="45"/>
      <c r="L7" s="45"/>
      <c r="M7" s="45"/>
      <c r="N7" s="45"/>
      <c r="O7" s="45"/>
      <c r="P7" s="45"/>
    </row>
    <row r="8" spans="1:16" x14ac:dyDescent="0.45">
      <c r="A8" s="56" t="s">
        <v>141</v>
      </c>
      <c r="B8" s="53">
        <v>14.14357</v>
      </c>
      <c r="C8" s="53">
        <v>121.232494</v>
      </c>
      <c r="D8" s="54" t="s">
        <v>412</v>
      </c>
      <c r="G8" s="46"/>
      <c r="H8" s="47"/>
      <c r="I8" s="47"/>
      <c r="J8" s="48"/>
      <c r="K8" s="45"/>
      <c r="L8" s="45"/>
      <c r="M8" s="45"/>
      <c r="N8" s="45"/>
      <c r="O8" s="45"/>
      <c r="P8" s="45"/>
    </row>
    <row r="9" spans="1:16" x14ac:dyDescent="0.45">
      <c r="A9" s="56" t="s">
        <v>141</v>
      </c>
      <c r="B9" s="53">
        <v>14.695916</v>
      </c>
      <c r="C9" s="53">
        <v>121.59790700000001</v>
      </c>
      <c r="D9" s="53" t="s">
        <v>425</v>
      </c>
      <c r="G9" s="46"/>
      <c r="H9" s="47"/>
      <c r="I9" s="47"/>
      <c r="J9" s="48"/>
      <c r="K9" s="45"/>
      <c r="L9" s="45"/>
      <c r="M9" s="45"/>
      <c r="N9" s="45"/>
      <c r="O9" s="45"/>
      <c r="P9" s="45"/>
    </row>
    <row r="10" spans="1:16" x14ac:dyDescent="0.45">
      <c r="A10" s="56" t="s">
        <v>141</v>
      </c>
      <c r="B10" s="53">
        <v>15.683930999999999</v>
      </c>
      <c r="C10" s="53">
        <v>121.507486</v>
      </c>
      <c r="D10" s="53" t="s">
        <v>426</v>
      </c>
      <c r="G10" s="46"/>
      <c r="H10" s="47"/>
      <c r="I10" s="47"/>
      <c r="J10" s="45"/>
      <c r="K10" s="45"/>
      <c r="L10" s="45"/>
      <c r="M10" s="45"/>
      <c r="N10" s="45"/>
      <c r="O10" s="45"/>
      <c r="P10" s="45"/>
    </row>
    <row r="11" spans="1:16" x14ac:dyDescent="0.45">
      <c r="A11" s="56" t="s">
        <v>141</v>
      </c>
      <c r="B11" s="53">
        <v>15.69868</v>
      </c>
      <c r="C11" s="53">
        <v>121.323412</v>
      </c>
      <c r="D11" s="53" t="s">
        <v>427</v>
      </c>
      <c r="G11" s="46"/>
      <c r="H11" s="47"/>
      <c r="I11" s="47"/>
      <c r="J11" s="48"/>
      <c r="K11" s="45"/>
      <c r="L11" s="45"/>
      <c r="M11" s="45"/>
      <c r="N11" s="45"/>
      <c r="O11" s="45"/>
      <c r="P11" s="45"/>
    </row>
    <row r="12" spans="1:16" x14ac:dyDescent="0.45">
      <c r="A12" s="56" t="s">
        <v>141</v>
      </c>
      <c r="B12" s="53">
        <v>14.043142</v>
      </c>
      <c r="C12" s="53">
        <v>122.783083</v>
      </c>
      <c r="D12" s="53" t="s">
        <v>428</v>
      </c>
      <c r="G12" s="46"/>
      <c r="H12" s="47"/>
      <c r="I12" s="47"/>
      <c r="J12" s="48"/>
      <c r="K12" s="45"/>
      <c r="L12" s="45"/>
      <c r="M12" s="45"/>
      <c r="N12" s="45"/>
      <c r="O12" s="45"/>
      <c r="P12" s="45"/>
    </row>
    <row r="13" spans="1:16" x14ac:dyDescent="0.45">
      <c r="A13" s="56" t="s">
        <v>141</v>
      </c>
      <c r="B13" s="53">
        <v>14.165258</v>
      </c>
      <c r="C13" s="53">
        <v>121.243852</v>
      </c>
      <c r="D13" s="53" t="s">
        <v>429</v>
      </c>
      <c r="G13" s="46"/>
      <c r="H13" s="49"/>
      <c r="I13" s="49"/>
      <c r="J13" s="48"/>
      <c r="K13" s="45"/>
      <c r="L13" s="45"/>
      <c r="M13" s="45"/>
      <c r="N13" s="45"/>
      <c r="O13" s="45"/>
      <c r="P13" s="45"/>
    </row>
    <row r="14" spans="1:16" x14ac:dyDescent="0.45">
      <c r="A14" s="56" t="s">
        <v>141</v>
      </c>
      <c r="B14" s="53">
        <v>14.165258</v>
      </c>
      <c r="C14" s="53">
        <v>121.243852</v>
      </c>
      <c r="D14" s="53" t="s">
        <v>430</v>
      </c>
    </row>
    <row r="15" spans="1:16" x14ac:dyDescent="0.45">
      <c r="A15" s="56" t="s">
        <v>141</v>
      </c>
      <c r="B15" s="53">
        <v>13.304309</v>
      </c>
      <c r="C15" s="53">
        <v>121.064865</v>
      </c>
      <c r="D15" s="53" t="s">
        <v>418</v>
      </c>
    </row>
    <row r="16" spans="1:16" x14ac:dyDescent="0.45">
      <c r="A16" s="56" t="s">
        <v>141</v>
      </c>
      <c r="B16" s="53">
        <v>14.599500000000001</v>
      </c>
      <c r="C16" s="53">
        <v>120.9842</v>
      </c>
      <c r="D16" s="53" t="s">
        <v>241</v>
      </c>
    </row>
    <row r="17" spans="1:4" x14ac:dyDescent="0.45">
      <c r="A17" s="56" t="s">
        <v>141</v>
      </c>
      <c r="B17" s="53">
        <v>11.579499999999999</v>
      </c>
      <c r="C17" s="53">
        <v>124.9748</v>
      </c>
      <c r="D17" s="53" t="s">
        <v>239</v>
      </c>
    </row>
    <row r="18" spans="1:4" x14ac:dyDescent="0.45">
      <c r="A18" s="56" t="s">
        <v>393</v>
      </c>
      <c r="B18" s="53">
        <v>14.744355000000001</v>
      </c>
      <c r="C18" s="53">
        <v>120.264593</v>
      </c>
      <c r="D18" s="53" t="s">
        <v>226</v>
      </c>
    </row>
    <row r="19" spans="1:4" x14ac:dyDescent="0.45">
      <c r="A19" s="56" t="s">
        <v>393</v>
      </c>
      <c r="B19" s="53">
        <v>14.157688</v>
      </c>
      <c r="C19" s="53">
        <v>121.222865</v>
      </c>
      <c r="D19" s="53" t="s">
        <v>231</v>
      </c>
    </row>
    <row r="20" spans="1:4" x14ac:dyDescent="0.45">
      <c r="A20" s="56" t="s">
        <v>393</v>
      </c>
      <c r="B20" s="53">
        <v>14.157688</v>
      </c>
      <c r="C20" s="53">
        <v>121.222865</v>
      </c>
      <c r="D20" s="53" t="s">
        <v>232</v>
      </c>
    </row>
    <row r="21" spans="1:4" x14ac:dyDescent="0.45">
      <c r="A21" s="56" t="s">
        <v>393</v>
      </c>
      <c r="B21" s="53">
        <v>14.157688</v>
      </c>
      <c r="C21" s="53">
        <v>121.222865</v>
      </c>
      <c r="D21" s="53" t="s">
        <v>234</v>
      </c>
    </row>
    <row r="22" spans="1:4" x14ac:dyDescent="0.45">
      <c r="A22" s="56" t="s">
        <v>393</v>
      </c>
      <c r="B22" s="53">
        <v>14.14357</v>
      </c>
      <c r="C22" s="53">
        <v>121.232494</v>
      </c>
      <c r="D22" s="53" t="s">
        <v>235</v>
      </c>
    </row>
    <row r="23" spans="1:4" x14ac:dyDescent="0.45">
      <c r="A23" s="56" t="s">
        <v>393</v>
      </c>
      <c r="B23" s="53">
        <v>14.6037</v>
      </c>
      <c r="C23" s="53">
        <v>121.30840000000001</v>
      </c>
      <c r="D23" s="53" t="s">
        <v>431</v>
      </c>
    </row>
    <row r="24" spans="1:4" x14ac:dyDescent="0.45">
      <c r="A24" s="56" t="s">
        <v>393</v>
      </c>
      <c r="B24" s="53">
        <v>13.915323000000001</v>
      </c>
      <c r="C24" s="53">
        <v>121.094999</v>
      </c>
      <c r="D24" s="54" t="s">
        <v>413</v>
      </c>
    </row>
    <row r="25" spans="1:4" x14ac:dyDescent="0.45">
      <c r="A25" s="56" t="s">
        <v>393</v>
      </c>
      <c r="B25" s="53">
        <v>14.872076</v>
      </c>
      <c r="C25" s="53">
        <v>121.226871</v>
      </c>
      <c r="D25" s="53" t="s">
        <v>432</v>
      </c>
    </row>
    <row r="26" spans="1:4" x14ac:dyDescent="0.45">
      <c r="A26" s="56" t="s">
        <v>393</v>
      </c>
      <c r="B26" s="53">
        <v>14.165258</v>
      </c>
      <c r="C26" s="53">
        <v>121.243852</v>
      </c>
      <c r="D26" s="53" t="s">
        <v>433</v>
      </c>
    </row>
    <row r="27" spans="1:4" x14ac:dyDescent="0.45">
      <c r="A27" s="56" t="s">
        <v>393</v>
      </c>
      <c r="B27" s="53">
        <v>14.165258</v>
      </c>
      <c r="C27" s="53">
        <v>121.243852</v>
      </c>
      <c r="D27" s="53" t="s">
        <v>434</v>
      </c>
    </row>
    <row r="28" spans="1:4" x14ac:dyDescent="0.45">
      <c r="A28" s="56" t="s">
        <v>393</v>
      </c>
      <c r="B28" s="53">
        <v>14.165258</v>
      </c>
      <c r="C28" s="53">
        <v>121.243852</v>
      </c>
      <c r="D28" s="53" t="s">
        <v>435</v>
      </c>
    </row>
    <row r="29" spans="1:4" x14ac:dyDescent="0.45">
      <c r="A29" s="56" t="s">
        <v>393</v>
      </c>
      <c r="B29" s="53">
        <v>14.165258</v>
      </c>
      <c r="C29" s="53">
        <v>121.243852</v>
      </c>
      <c r="D29" s="53" t="s">
        <v>436</v>
      </c>
    </row>
    <row r="30" spans="1:4" x14ac:dyDescent="0.45">
      <c r="A30" s="56" t="s">
        <v>393</v>
      </c>
      <c r="B30" s="53">
        <v>16.037700999999998</v>
      </c>
      <c r="C30" s="53">
        <v>119.831096</v>
      </c>
      <c r="D30" s="54" t="s">
        <v>422</v>
      </c>
    </row>
    <row r="31" spans="1:4" x14ac:dyDescent="0.45">
      <c r="A31" s="56" t="s">
        <v>142</v>
      </c>
      <c r="B31" s="53">
        <v>10.7</v>
      </c>
      <c r="C31" s="53">
        <v>122.6166667</v>
      </c>
      <c r="D31" s="53" t="s">
        <v>45</v>
      </c>
    </row>
    <row r="32" spans="1:4" x14ac:dyDescent="0.45">
      <c r="A32" s="56" t="s">
        <v>142</v>
      </c>
      <c r="B32" s="53">
        <v>10.621499999999999</v>
      </c>
      <c r="C32" s="53">
        <v>122.54900000000001</v>
      </c>
      <c r="D32" s="53" t="s">
        <v>48</v>
      </c>
    </row>
    <row r="33" spans="1:4" x14ac:dyDescent="0.45">
      <c r="A33" s="56" t="s">
        <v>142</v>
      </c>
      <c r="B33" s="53">
        <v>9.1790111109999994</v>
      </c>
      <c r="C33" s="53">
        <v>123.181</v>
      </c>
      <c r="D33" s="53" t="s">
        <v>72</v>
      </c>
    </row>
    <row r="34" spans="1:4" x14ac:dyDescent="0.45">
      <c r="A34" s="56" t="s">
        <v>142</v>
      </c>
      <c r="B34" s="53">
        <v>9.3922305559999995</v>
      </c>
      <c r="C34" s="53">
        <v>123.092</v>
      </c>
      <c r="D34" s="53" t="s">
        <v>74</v>
      </c>
    </row>
    <row r="35" spans="1:4" x14ac:dyDescent="0.45">
      <c r="A35" s="56" t="s">
        <v>142</v>
      </c>
      <c r="B35" s="53">
        <v>10.386388889999999</v>
      </c>
      <c r="C35" s="53">
        <v>123.1963889</v>
      </c>
      <c r="D35" s="53" t="s">
        <v>41</v>
      </c>
    </row>
    <row r="36" spans="1:4" x14ac:dyDescent="0.45">
      <c r="A36" s="56" t="s">
        <v>142</v>
      </c>
      <c r="B36" s="53">
        <v>10.333299999999999</v>
      </c>
      <c r="C36" s="53">
        <v>123.75</v>
      </c>
      <c r="D36" s="53" t="s">
        <v>42</v>
      </c>
    </row>
    <row r="37" spans="1:4" x14ac:dyDescent="0.45">
      <c r="A37" s="56" t="s">
        <v>142</v>
      </c>
      <c r="B37" s="53">
        <v>10.333299999999999</v>
      </c>
      <c r="C37" s="53">
        <v>123.75</v>
      </c>
      <c r="D37" s="53" t="s">
        <v>44</v>
      </c>
    </row>
    <row r="38" spans="1:4" x14ac:dyDescent="0.45">
      <c r="A38" s="56" t="s">
        <v>142</v>
      </c>
      <c r="B38" s="53">
        <v>12.336399999999999</v>
      </c>
      <c r="C38" s="53">
        <v>123.633</v>
      </c>
      <c r="D38" s="53" t="s">
        <v>73</v>
      </c>
    </row>
    <row r="39" spans="1:4" x14ac:dyDescent="0.45">
      <c r="A39" s="56" t="s">
        <v>142</v>
      </c>
      <c r="B39" s="53">
        <v>10.718742000000001</v>
      </c>
      <c r="C39" s="53">
        <v>122.55971099999999</v>
      </c>
      <c r="D39" s="53" t="s">
        <v>49</v>
      </c>
    </row>
    <row r="40" spans="1:4" x14ac:dyDescent="0.45">
      <c r="A40" s="56" t="s">
        <v>142</v>
      </c>
      <c r="B40" s="53">
        <v>10.718742000000001</v>
      </c>
      <c r="C40" s="53">
        <v>122.55971099999999</v>
      </c>
      <c r="D40" s="53" t="s">
        <v>130</v>
      </c>
    </row>
    <row r="41" spans="1:4" x14ac:dyDescent="0.45">
      <c r="A41" s="56" t="s">
        <v>142</v>
      </c>
      <c r="B41" s="53">
        <v>10.718742000000001</v>
      </c>
      <c r="C41" s="53">
        <v>122.55971099999999</v>
      </c>
      <c r="D41" s="53" t="s">
        <v>43</v>
      </c>
    </row>
    <row r="42" spans="1:4" x14ac:dyDescent="0.45">
      <c r="A42" s="56" t="s">
        <v>142</v>
      </c>
      <c r="B42" s="53">
        <v>9.3070000000000004</v>
      </c>
      <c r="C42" s="53">
        <v>123.3074</v>
      </c>
      <c r="D42" s="53" t="s">
        <v>124</v>
      </c>
    </row>
    <row r="43" spans="1:4" x14ac:dyDescent="0.45">
      <c r="A43" s="56" t="s">
        <v>142</v>
      </c>
      <c r="B43" s="53">
        <v>10.2646</v>
      </c>
      <c r="C43" s="53">
        <v>123.846</v>
      </c>
      <c r="D43" s="53" t="s">
        <v>126</v>
      </c>
    </row>
    <row r="44" spans="1:4" x14ac:dyDescent="0.45">
      <c r="A44" s="56" t="s">
        <v>142</v>
      </c>
      <c r="B44" s="53">
        <v>9.2997222221999998</v>
      </c>
      <c r="C44" s="53">
        <v>123.2738888889</v>
      </c>
      <c r="D44" s="53" t="s">
        <v>123</v>
      </c>
    </row>
    <row r="45" spans="1:4" x14ac:dyDescent="0.45">
      <c r="A45" s="56" t="s">
        <v>142</v>
      </c>
      <c r="B45" s="53">
        <v>10.311275</v>
      </c>
      <c r="C45" s="53">
        <v>123.8458028</v>
      </c>
      <c r="D45" s="53" t="s">
        <v>128</v>
      </c>
    </row>
    <row r="46" spans="1:4" x14ac:dyDescent="0.45">
      <c r="A46" s="56" t="s">
        <v>142</v>
      </c>
      <c r="B46" s="53">
        <v>10.2646</v>
      </c>
      <c r="C46" s="53">
        <v>123.846</v>
      </c>
      <c r="D46" s="53" t="s">
        <v>125</v>
      </c>
    </row>
    <row r="47" spans="1:4" x14ac:dyDescent="0.45">
      <c r="A47" s="56" t="s">
        <v>142</v>
      </c>
      <c r="B47" s="53">
        <v>9.2570999999999994</v>
      </c>
      <c r="C47" s="53">
        <v>123.22799999999999</v>
      </c>
      <c r="D47" s="53" t="s">
        <v>129</v>
      </c>
    </row>
    <row r="48" spans="1:4" x14ac:dyDescent="0.45">
      <c r="A48" s="56" t="s">
        <v>142</v>
      </c>
      <c r="B48" s="53">
        <v>9.3070000000000004</v>
      </c>
      <c r="C48" s="53">
        <v>123.3074</v>
      </c>
      <c r="D48" s="53" t="s">
        <v>127</v>
      </c>
    </row>
    <row r="49" spans="1:4" x14ac:dyDescent="0.45">
      <c r="A49" s="56" t="s">
        <v>142</v>
      </c>
      <c r="B49" s="57">
        <v>10.7202</v>
      </c>
      <c r="C49" s="53">
        <v>122.5621</v>
      </c>
      <c r="D49" s="53" t="s">
        <v>452</v>
      </c>
    </row>
    <row r="50" spans="1:4" x14ac:dyDescent="0.45">
      <c r="A50" s="56" t="s">
        <v>142</v>
      </c>
      <c r="B50" s="53">
        <v>10.356595</v>
      </c>
      <c r="C50" s="53">
        <v>123.899253</v>
      </c>
      <c r="D50" s="54" t="s">
        <v>411</v>
      </c>
    </row>
    <row r="51" spans="1:4" x14ac:dyDescent="0.45">
      <c r="A51" s="56" t="s">
        <v>142</v>
      </c>
      <c r="B51" s="53">
        <v>14.599500000000001</v>
      </c>
      <c r="C51" s="53">
        <v>120.9842</v>
      </c>
      <c r="D51" s="53" t="s">
        <v>242</v>
      </c>
    </row>
    <row r="52" spans="1:4" x14ac:dyDescent="0.45">
      <c r="A52" s="56" t="s">
        <v>140</v>
      </c>
      <c r="B52" s="53">
        <v>15.3131111111</v>
      </c>
      <c r="C52" s="53">
        <v>120.1114666667</v>
      </c>
      <c r="D52" s="53" t="s">
        <v>132</v>
      </c>
    </row>
    <row r="53" spans="1:4" x14ac:dyDescent="0.45">
      <c r="A53" s="56" t="s">
        <v>140</v>
      </c>
      <c r="B53" s="53">
        <v>13.780525000000001</v>
      </c>
      <c r="C53" s="53">
        <v>123.7363</v>
      </c>
      <c r="D53" s="53" t="s">
        <v>238</v>
      </c>
    </row>
    <row r="54" spans="1:4" x14ac:dyDescent="0.45">
      <c r="A54" s="56" t="s">
        <v>140</v>
      </c>
      <c r="B54" s="53">
        <v>13.787659</v>
      </c>
      <c r="C54" s="53">
        <v>123.840709</v>
      </c>
      <c r="D54" s="53" t="s">
        <v>437</v>
      </c>
    </row>
    <row r="55" spans="1:4" x14ac:dyDescent="0.45">
      <c r="A55" s="56" t="s">
        <v>140</v>
      </c>
      <c r="B55" s="53">
        <v>14.795381000000001</v>
      </c>
      <c r="C55" s="53">
        <v>120.282342</v>
      </c>
      <c r="D55" s="53" t="s">
        <v>438</v>
      </c>
    </row>
    <row r="56" spans="1:4" x14ac:dyDescent="0.45">
      <c r="A56" s="56" t="s">
        <v>140</v>
      </c>
      <c r="B56" s="53">
        <v>12.785406999999999</v>
      </c>
      <c r="C56" s="53">
        <v>123.972088</v>
      </c>
      <c r="D56" s="53" t="s">
        <v>236</v>
      </c>
    </row>
    <row r="57" spans="1:4" x14ac:dyDescent="0.45">
      <c r="A57" s="56" t="s">
        <v>140</v>
      </c>
      <c r="B57" s="58">
        <v>18.410600027777701</v>
      </c>
      <c r="C57" s="58">
        <v>121.062940138888</v>
      </c>
      <c r="D57" s="54" t="s">
        <v>414</v>
      </c>
    </row>
    <row r="58" spans="1:4" x14ac:dyDescent="0.45">
      <c r="A58" s="56" t="s">
        <v>140</v>
      </c>
      <c r="B58" s="53">
        <v>14.716198</v>
      </c>
      <c r="C58" s="53">
        <v>121.940904</v>
      </c>
      <c r="D58" s="53" t="s">
        <v>439</v>
      </c>
    </row>
    <row r="59" spans="1:4" x14ac:dyDescent="0.45">
      <c r="A59" s="56" t="s">
        <v>140</v>
      </c>
      <c r="B59" s="53">
        <v>14.716198</v>
      </c>
      <c r="C59" s="53">
        <v>121.940904</v>
      </c>
      <c r="D59" s="53" t="s">
        <v>440</v>
      </c>
    </row>
    <row r="60" spans="1:4" x14ac:dyDescent="0.45">
      <c r="A60" s="56" t="s">
        <v>140</v>
      </c>
      <c r="B60" s="53">
        <v>14.043142</v>
      </c>
      <c r="C60" s="53">
        <v>122.783083</v>
      </c>
      <c r="D60" s="53" t="s">
        <v>441</v>
      </c>
    </row>
    <row r="61" spans="1:4" x14ac:dyDescent="0.45">
      <c r="A61" s="56" t="s">
        <v>140</v>
      </c>
      <c r="B61" s="53">
        <v>14.043142</v>
      </c>
      <c r="C61" s="53">
        <v>122.783083</v>
      </c>
      <c r="D61" s="53" t="s">
        <v>442</v>
      </c>
    </row>
    <row r="62" spans="1:4" x14ac:dyDescent="0.45">
      <c r="A62" s="56" t="s">
        <v>140</v>
      </c>
      <c r="B62" s="53">
        <v>14.407871</v>
      </c>
      <c r="C62" s="53">
        <v>121.526985</v>
      </c>
      <c r="D62" s="53" t="s">
        <v>443</v>
      </c>
    </row>
    <row r="63" spans="1:4" x14ac:dyDescent="0.45">
      <c r="A63" s="56" t="s">
        <v>140</v>
      </c>
      <c r="B63" s="53">
        <v>12.723344000000001</v>
      </c>
      <c r="C63" s="53">
        <v>124.09667</v>
      </c>
      <c r="D63" s="53" t="s">
        <v>444</v>
      </c>
    </row>
    <row r="64" spans="1:4" x14ac:dyDescent="0.45">
      <c r="A64" s="56" t="s">
        <v>140</v>
      </c>
      <c r="B64" s="53">
        <v>12.692693</v>
      </c>
      <c r="C64" s="53">
        <v>124.069547</v>
      </c>
      <c r="D64" s="53" t="s">
        <v>445</v>
      </c>
    </row>
    <row r="65" spans="1:7" x14ac:dyDescent="0.45">
      <c r="A65" s="56" t="s">
        <v>140</v>
      </c>
      <c r="B65" s="53">
        <v>13.599493000000001</v>
      </c>
      <c r="C65" s="53">
        <v>123.233486</v>
      </c>
      <c r="D65" s="53" t="s">
        <v>161</v>
      </c>
    </row>
    <row r="66" spans="1:7" x14ac:dyDescent="0.45">
      <c r="A66" s="56" t="s">
        <v>140</v>
      </c>
      <c r="B66" s="53">
        <v>13.766310000000001</v>
      </c>
      <c r="C66" s="53">
        <v>124.25112799999999</v>
      </c>
      <c r="D66" s="53" t="s">
        <v>446</v>
      </c>
    </row>
    <row r="67" spans="1:7" x14ac:dyDescent="0.45">
      <c r="A67" s="56" t="s">
        <v>140</v>
      </c>
      <c r="B67" s="59">
        <v>14.739143</v>
      </c>
      <c r="C67" s="59">
        <v>121.94334499999999</v>
      </c>
      <c r="D67" s="53" t="s">
        <v>417</v>
      </c>
    </row>
    <row r="68" spans="1:7" x14ac:dyDescent="0.45">
      <c r="A68" s="56" t="s">
        <v>140</v>
      </c>
      <c r="B68" s="53">
        <v>13.305580000000001</v>
      </c>
      <c r="C68" s="53">
        <v>123.68898</v>
      </c>
      <c r="D68" s="53" t="s">
        <v>447</v>
      </c>
    </row>
    <row r="69" spans="1:7" x14ac:dyDescent="0.45">
      <c r="A69" s="56" t="s">
        <v>140</v>
      </c>
      <c r="B69" s="53">
        <v>13.305580000000001</v>
      </c>
      <c r="C69" s="53">
        <v>123.68898</v>
      </c>
      <c r="D69" s="53" t="s">
        <v>448</v>
      </c>
    </row>
    <row r="70" spans="1:7" x14ac:dyDescent="0.45">
      <c r="A70" s="56" t="s">
        <v>140</v>
      </c>
      <c r="B70" s="53">
        <v>13.305580000000001</v>
      </c>
      <c r="C70" s="53">
        <v>123.68898</v>
      </c>
      <c r="D70" s="55" t="s">
        <v>449</v>
      </c>
    </row>
    <row r="71" spans="1:7" x14ac:dyDescent="0.45">
      <c r="A71" s="56" t="s">
        <v>140</v>
      </c>
      <c r="B71" s="53">
        <v>13.4325335</v>
      </c>
      <c r="C71" s="53">
        <v>123.51671210000001</v>
      </c>
      <c r="D71" s="53" t="s">
        <v>28</v>
      </c>
    </row>
    <row r="72" spans="1:7" x14ac:dyDescent="0.45">
      <c r="A72" s="56" t="s">
        <v>140</v>
      </c>
      <c r="B72" s="53">
        <v>12.749197000000001</v>
      </c>
      <c r="C72" s="53">
        <v>124.08349800000001</v>
      </c>
      <c r="D72" s="53" t="s">
        <v>420</v>
      </c>
    </row>
    <row r="73" spans="1:7" x14ac:dyDescent="0.45">
      <c r="A73" s="56" t="s">
        <v>140</v>
      </c>
      <c r="B73" s="53">
        <v>12.749197000000001</v>
      </c>
      <c r="C73" s="53">
        <v>124.08349800000001</v>
      </c>
      <c r="D73" s="53" t="s">
        <v>419</v>
      </c>
    </row>
    <row r="74" spans="1:7" x14ac:dyDescent="0.45">
      <c r="A74" s="56" t="s">
        <v>140</v>
      </c>
      <c r="B74" s="53">
        <v>17.368558</v>
      </c>
      <c r="C74" s="53">
        <v>121.98521</v>
      </c>
      <c r="D74" s="53" t="s">
        <v>462</v>
      </c>
    </row>
    <row r="75" spans="1:7" x14ac:dyDescent="0.45">
      <c r="A75" s="56" t="s">
        <v>140</v>
      </c>
      <c r="B75" s="53">
        <v>13.414652</v>
      </c>
      <c r="C75" s="53">
        <v>123.671052</v>
      </c>
      <c r="D75" s="53" t="s">
        <v>237</v>
      </c>
    </row>
    <row r="76" spans="1:7" x14ac:dyDescent="0.45">
      <c r="A76" s="56" t="s">
        <v>140</v>
      </c>
      <c r="B76" s="53">
        <v>13.1775</v>
      </c>
      <c r="C76" s="53">
        <v>123.52800000000001</v>
      </c>
      <c r="D76" s="53" t="s">
        <v>240</v>
      </c>
    </row>
    <row r="77" spans="1:7" ht="14.65" thickBot="1" x14ac:dyDescent="0.5"/>
    <row r="78" spans="1:7" x14ac:dyDescent="0.45">
      <c r="A78" s="104" t="s">
        <v>145</v>
      </c>
      <c r="B78" s="105"/>
      <c r="C78" s="105"/>
      <c r="D78" s="105"/>
      <c r="E78" s="105"/>
      <c r="F78" s="105"/>
      <c r="G78" s="43"/>
    </row>
    <row r="79" spans="1:7" x14ac:dyDescent="0.45">
      <c r="A79" s="52" t="s">
        <v>424</v>
      </c>
      <c r="B79" s="50"/>
      <c r="C79" s="50"/>
      <c r="D79" s="50"/>
      <c r="E79" s="50"/>
      <c r="F79" s="50"/>
      <c r="G79" s="51"/>
    </row>
    <row r="80" spans="1:7" ht="14.65" thickBot="1" x14ac:dyDescent="0.5">
      <c r="A80" s="119" t="s">
        <v>394</v>
      </c>
      <c r="B80" s="120"/>
      <c r="C80" s="120"/>
      <c r="D80" s="120"/>
      <c r="E80" s="120"/>
      <c r="F80" s="120"/>
      <c r="G80" s="121"/>
    </row>
  </sheetData>
  <sortState xmlns:xlrd2="http://schemas.microsoft.com/office/spreadsheetml/2017/richdata2" ref="A2:D76">
    <sortCondition ref="A2:A76"/>
  </sortState>
  <mergeCells count="2">
    <mergeCell ref="A80:G80"/>
    <mergeCell ref="A78:F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SuppTable1_Morph-Data</vt:lpstr>
      <vt:lpstr>SuppTable2_Summary-Table</vt:lpstr>
      <vt:lpstr>SuppTable3_Mapped-Data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Bernstein</dc:creator>
  <cp:lastModifiedBy>Anonymous Reviewer</cp:lastModifiedBy>
  <dcterms:created xsi:type="dcterms:W3CDTF">2019-11-20T15:44:46Z</dcterms:created>
  <dcterms:modified xsi:type="dcterms:W3CDTF">2021-03-16T01:46:23Z</dcterms:modified>
</cp:coreProperties>
</file>